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ables/table1.xml" ContentType="application/vnd.openxmlformats-officedocument.spreadsheetml.table+xml"/>
  <Override PartName="/xl/comments10.xml" ContentType="application/vnd.openxmlformats-officedocument.spreadsheetml.comments+xml"/>
  <Override PartName="/xl/tables/table2.xml" ContentType="application/vnd.openxmlformats-officedocument.spreadsheetml.table+xml"/>
  <Override PartName="/xl/comments1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C:\Users\ayoung\Documents\catcost\"/>
    </mc:Choice>
  </mc:AlternateContent>
  <xr:revisionPtr revIDLastSave="0" documentId="13_ncr:1_{E82FFA67-735F-4381-879E-BB358A13B74A}" xr6:coauthVersionLast="46" xr6:coauthVersionMax="46" xr10:uidLastSave="{00000000-0000-0000-0000-000000000000}"/>
  <bookViews>
    <workbookView xWindow="-120" yWindow="-120" windowWidth="29040" windowHeight="16440" tabRatio="716" activeTab="10" xr2:uid="{00000000-000D-0000-FFFF-FFFF00000000}"/>
  </bookViews>
  <sheets>
    <sheet name="0 Instructions" sheetId="1" r:id="rId1"/>
    <sheet name="1 Inputs" sheetId="2" r:id="rId2"/>
    <sheet name="2 Materials" sheetId="3" r:id="rId3"/>
    <sheet name="3a Step Method" sheetId="22" r:id="rId4"/>
    <sheet name="3b Equip" sheetId="13" r:id="rId5"/>
    <sheet name="3c Utilities" sheetId="18" r:id="rId6"/>
    <sheet name="3d CapEx" sheetId="12" r:id="rId7"/>
    <sheet name="3e OpEx" sheetId="11" r:id="rId8"/>
    <sheet name="4 Spent Catalyst" sheetId="23" r:id="rId9"/>
    <sheet name="5 Outputs" sheetId="9" r:id="rId10"/>
    <sheet name="Materials Library" sheetId="6" r:id="rId11"/>
    <sheet name="Step Library" sheetId="25" r:id="rId12"/>
    <sheet name="Equip. Library" sheetId="7" r:id="rId13"/>
    <sheet name="Spent Cat Library" sheetId="24" r:id="rId14"/>
    <sheet name="UnitConv" sheetId="14" r:id="rId15"/>
    <sheet name="ChemPPI" sheetId="15" r:id="rId16"/>
    <sheet name="CEPCI" sheetId="17" r:id="rId17"/>
  </sheets>
  <definedNames>
    <definedName name="ActualProduction">'1 Inputs'!$K$39</definedName>
    <definedName name="APWeightPercent">'2 Materials'!$D$10</definedName>
    <definedName name="BasisYear">'1 Inputs'!$D$9</definedName>
    <definedName name="BasisYearRange">ChemPPI[[Year]:[Year]]</definedName>
    <definedName name="CurrencySymbol">'1 Inputs'!$D$11</definedName>
    <definedName name="DesignProductionRate">'1 Inputs'!$K$45</definedName>
    <definedName name="EquipInstalled">'3b Equip'!$E$10</definedName>
    <definedName name="EquipPurchase">'3b Equip'!$E$9</definedName>
    <definedName name="EstimateName">'1 Inputs'!$C$6</definedName>
    <definedName name="FCI">'3d CapEx'!$H$28</definedName>
    <definedName name="FlatMargin">'1 Inputs'!$K$53</definedName>
    <definedName name="fnEqExpPars">INDEX(fnEquipLibRange,fnEquipRowNum,5):INDEX(fnEquipLibRange,fnEquipRowNum,9)</definedName>
    <definedName name="fnEquipCEPCI">VLOOKUP(BasisYear,CEPCI!$A$5:$F$200,2,FALSE)/VLOOKUP('3b Equip'!$C1,fnEquipLibRange,12,FALSE)</definedName>
    <definedName name="fnEquipCEPCIbyYear">VLOOKUP(BasisYear,CEPCI!$A$5:$F$200,2,FALSE)/VLOOKUP(VLOOKUP('3b Equip'!$C1,fnEquipLibRange,14,FALSE),CEPCI!$A$5:$F$200,2,FALSE)</definedName>
    <definedName name="fnEquipChemPPI">VLOOKUP(BasisYear,ChemPPI[],14,FALSE)/VLOOKUP(VLOOKUP('3b Equip'!$C1,fnEquipLibRange,14,FALSE),ChemPPI[],14,FALSE)</definedName>
    <definedName name="fnEquipConstMaterial">INDEX(fnEquipLibRange,fnEquipRowNum,25+MATCH('3b Equip'!$E1,INDIRECT("'Equip. Library'!Q"&amp;fnEquipRowNum&amp;":Z"&amp;fnEquipRowNum),0))</definedName>
    <definedName name="fnEquipCostCorr">CHOOSE(LEFT(VLOOKUP('3b Equip'!$C1,fnEquipLibRange,10,FALSE)),fnEquipPowerLaw,fnEquipExpPoly)</definedName>
    <definedName name="fnEquipCostIndex">IFERROR(fnEquipCEPCI,IFERROR(fnEquipCEPCIbyYear,fnEquipChemPPI))</definedName>
    <definedName name="fnEquipExpPoly">EXP(INDEX(fnEqExpPars,1)+INDEX(fnEqExpPars,2)*LN('3b Equip'!$L1)+INDEX(fnEqExpPars,3)*LN('3b Equip'!$L1)^2+INDEX(fnEqExpPars,4)*LN('3b Equip'!$L1)^3+INDEX(fnEqExpPars,5)*LN('3b Equip'!$L1)^4)</definedName>
    <definedName name="fnEquipInstFactor">INDEX(fnEquipLibRange,fnEquipRowNum,37)</definedName>
    <definedName name="fnEquipLaborFactor">INDEX(fnEquipLibRange,fnEquipRowNum,38)</definedName>
    <definedName name="fnEquipLibRange">'Equip. Library'!$B$1:INDIRECT("'Equip. Library'!R"&amp;(MATCH("END",'Equip. Library'!$B$1:$B$2026,0)-1)&amp;"C"&amp;COUNTA('Equip. Library'!$A$1:$CV$1),FALSE)</definedName>
    <definedName name="fnEquipNames">'Equip. Library'!$B$2:INDEX('Equip. Library'!$B$2:$B$2026,MATCH("END",'Equip. Library'!$B$2:$B$2026,0)-1)</definedName>
    <definedName name="fnEquipPowerLaw">VLOOKUP('3b Equip'!$C1,fnEquipLibRange,5,FALSE)+VLOOKUP('3b Equip'!$C1,fnEquipLibRange,6,FALSE)*'3b Equip'!$L1^VLOOKUP('3b Equip'!$C1,fnEquipLibRange,7,FALSE)</definedName>
    <definedName name="fnEquipRowNum">1+MATCH('3b Equip'!$C1,fnEquipNames,0)</definedName>
    <definedName name="fnEquipTemplates">OFFSET('3b Equip'!$AA$1,0,0,COUNTIF('3b Equip'!$C$1:$C$9936,"CapEx &amp; OpEx Factors Template Name"),1)</definedName>
    <definedName name="fnStepCostHourly">INDEX(Steps[],MATCH('3a Step Method'!$C1,Steps[[Step Name]:[Step Name]],0),MATCH('3a Step Method'!$D$8,Steps[#Headers],0))</definedName>
    <definedName name="fnStepNotAvail">"N/A at "&amp;HLOOKUP(LEFT('3a Step Method'!$D$8),{"S","M","L";"small scale","medium scale","large scale"},2,FALSE)</definedName>
    <definedName name="fnStepTemplates">OFFSET('3a Step Method'!$AA$1,0,0,COUNTIF('3a Step Method'!$C$1:$C$10208,"Step Method Template Name"),1)</definedName>
    <definedName name="GeneralExp">'3e OpEx'!$H$31</definedName>
    <definedName name="LaborFacTotal">'3b Equip'!$E$11</definedName>
    <definedName name="LaborHours">'1 Inputs'!$K$42</definedName>
    <definedName name="LSM">'3e OpEx'!$H$18</definedName>
    <definedName name="MassUnits">UnitConv[[MassNames]:[MassNames]]</definedName>
    <definedName name="MaterialsAnnualCost">'2 Materials'!$R$14</definedName>
    <definedName name="MaterialsUnitCost">'2 Materials'!$Q$14</definedName>
    <definedName name="MetalNames">#REF!</definedName>
    <definedName name="molar_volume_scf_def">'Materials Library'!$B$8</definedName>
    <definedName name="OutMassUnit">'1 Inputs'!$D$14</definedName>
    <definedName name="PlantLife">'1 Inputs'!$K$48</definedName>
    <definedName name="ProcEstApproach">'1 Inputs'!$K$12</definedName>
    <definedName name="RawMaterialNames">RawMaterials[[Material Name]:[Material Name]]</definedName>
    <definedName name="ROI">'1 Inputs'!$K$52</definedName>
    <definedName name="SpentDensNames">Spent4[Catalyst]</definedName>
    <definedName name="SpentHazNames">Spent3[Catalyst Hazard Class]</definedName>
    <definedName name="SpentMetals">Spent2[Metal]</definedName>
    <definedName name="SpentSupports">Spent1[Support]</definedName>
    <definedName name="SpentValue">'4 Spent Catalyst'!$D$47</definedName>
    <definedName name="StepCampaignTime">'1 Inputs'!$K$26</definedName>
    <definedName name="StepCampaignTotal">'3a Step Method'!$D$16</definedName>
    <definedName name="StepEquipSize">'1 Inputs'!$K$23</definedName>
    <definedName name="StepGnA">'1 Inputs'!$K$29</definedName>
    <definedName name="StepMargin">'1 Inputs'!$K$31</definedName>
    <definedName name="StepNames">Steps[Step Name]</definedName>
    <definedName name="StepOrderSize">'1 Inputs'!$K$22</definedName>
    <definedName name="StepOrderSizeOut">'3a Step Method'!$D$7</definedName>
    <definedName name="StepSARD">'1 Inputs'!$K$30</definedName>
    <definedName name="StepUnitTotal">'3a Step Method'!$D$17</definedName>
    <definedName name="TCI">'3d CapEx'!$H$30</definedName>
    <definedName name="TIRO">'3e OpEx'!$H$25</definedName>
    <definedName name="Units">UnitConv[[Unit]:[Unit]]</definedName>
    <definedName name="UtilitiesAnnualCost">'3c Utilities'!$N$20</definedName>
    <definedName name="UtilitiesUnitCost">'3c Utilities'!$M$20</definedName>
    <definedName name="Version">'0 Instructions'!$D$5</definedName>
    <definedName name="WorkingCapital">'3d CapEx'!$H$29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 i="1" l="1"/>
  <c r="N53" i="15" l="1"/>
  <c r="N52" i="15"/>
  <c r="F38" i="23" l="1"/>
  <c r="E38" i="23"/>
  <c r="C25" i="18" l="1"/>
  <c r="E91" i="9" l="1"/>
  <c r="E92" i="9"/>
  <c r="E44" i="9"/>
  <c r="E45" i="9"/>
  <c r="C123" i="9"/>
  <c r="C122" i="9"/>
  <c r="E19" i="9"/>
  <c r="C67" i="9" l="1"/>
  <c r="C68" i="9"/>
  <c r="N51" i="15" l="1"/>
  <c r="D96" i="18" l="1"/>
  <c r="G94" i="18"/>
  <c r="D80" i="18"/>
  <c r="G78" i="18"/>
  <c r="D64" i="18"/>
  <c r="G62" i="18"/>
  <c r="D62" i="18"/>
  <c r="D48" i="18"/>
  <c r="G46" i="18"/>
  <c r="D32" i="18"/>
  <c r="D30" i="18"/>
  <c r="G30" i="18"/>
  <c r="C6" i="18" l="1"/>
  <c r="D13" i="18" s="1"/>
  <c r="D14" i="18" l="1"/>
  <c r="E12" i="18"/>
  <c r="E16" i="18"/>
  <c r="F13" i="18"/>
  <c r="F17" i="18"/>
  <c r="E15" i="18"/>
  <c r="F12" i="18"/>
  <c r="F16" i="18"/>
  <c r="E17" i="18"/>
  <c r="E14" i="18"/>
  <c r="F14" i="18"/>
  <c r="F15" i="18"/>
  <c r="E13" i="18"/>
  <c r="D16" i="18"/>
  <c r="D12" i="18"/>
  <c r="D15" i="18"/>
  <c r="D17" i="18"/>
  <c r="B220" i="13"/>
  <c r="A286" i="13" s="1"/>
  <c r="B225" i="13"/>
  <c r="E227" i="13"/>
  <c r="E231" i="13"/>
  <c r="E234" i="13"/>
  <c r="B236" i="13"/>
  <c r="S239" i="13"/>
  <c r="S240" i="13"/>
  <c r="S241" i="13"/>
  <c r="S242" i="13"/>
  <c r="S243" i="13"/>
  <c r="S244" i="13"/>
  <c r="S245" i="13"/>
  <c r="S246" i="13"/>
  <c r="S247" i="13"/>
  <c r="S248" i="13"/>
  <c r="S249" i="13"/>
  <c r="S250" i="13"/>
  <c r="S251" i="13"/>
  <c r="S252" i="13"/>
  <c r="S253" i="13"/>
  <c r="S254" i="13"/>
  <c r="S255" i="13"/>
  <c r="S256" i="13"/>
  <c r="S257" i="13"/>
  <c r="S258" i="13"/>
  <c r="S259" i="13"/>
  <c r="S260" i="13"/>
  <c r="S261" i="13"/>
  <c r="S262" i="13"/>
  <c r="S263" i="13"/>
  <c r="S264" i="13"/>
  <c r="I265" i="13"/>
  <c r="K265" i="13"/>
  <c r="N265" i="13" s="1"/>
  <c r="L265" i="13"/>
  <c r="S265" i="13"/>
  <c r="I266" i="13"/>
  <c r="K266" i="13"/>
  <c r="N266" i="13" s="1"/>
  <c r="L266" i="13"/>
  <c r="S266" i="13"/>
  <c r="I267" i="13"/>
  <c r="K267" i="13"/>
  <c r="N267" i="13" s="1"/>
  <c r="L267" i="13"/>
  <c r="S267" i="13"/>
  <c r="I268" i="13"/>
  <c r="K268" i="13"/>
  <c r="N268" i="13" s="1"/>
  <c r="L268" i="13"/>
  <c r="S268" i="13"/>
  <c r="I269" i="13"/>
  <c r="K269" i="13"/>
  <c r="N269" i="13" s="1"/>
  <c r="L269" i="13"/>
  <c r="S269" i="13"/>
  <c r="I270" i="13"/>
  <c r="K270" i="13"/>
  <c r="N270" i="13" s="1"/>
  <c r="L270" i="13"/>
  <c r="S270" i="13"/>
  <c r="I271" i="13"/>
  <c r="K271" i="13"/>
  <c r="N271" i="13" s="1"/>
  <c r="L271" i="13"/>
  <c r="S271" i="13"/>
  <c r="I272" i="13"/>
  <c r="K272" i="13"/>
  <c r="N272" i="13" s="1"/>
  <c r="L272" i="13"/>
  <c r="S272" i="13"/>
  <c r="I273" i="13"/>
  <c r="K273" i="13"/>
  <c r="N273" i="13" s="1"/>
  <c r="L273" i="13"/>
  <c r="S273" i="13"/>
  <c r="I274" i="13"/>
  <c r="K274" i="13"/>
  <c r="N274" i="13" s="1"/>
  <c r="L274" i="13"/>
  <c r="S274" i="13"/>
  <c r="I275" i="13"/>
  <c r="K275" i="13"/>
  <c r="N275" i="13" s="1"/>
  <c r="L275" i="13"/>
  <c r="S275" i="13"/>
  <c r="I276" i="13"/>
  <c r="K276" i="13"/>
  <c r="N276" i="13" s="1"/>
  <c r="L276" i="13"/>
  <c r="S276" i="13"/>
  <c r="I277" i="13"/>
  <c r="K277" i="13"/>
  <c r="N277" i="13" s="1"/>
  <c r="L277" i="13"/>
  <c r="S277" i="13"/>
  <c r="I278" i="13"/>
  <c r="K278" i="13"/>
  <c r="N278" i="13" s="1"/>
  <c r="L278" i="13"/>
  <c r="S278" i="13"/>
  <c r="B280" i="13"/>
  <c r="C281" i="13"/>
  <c r="I241" i="13"/>
  <c r="T240" i="13"/>
  <c r="I245" i="13"/>
  <c r="T273" i="13"/>
  <c r="T265" i="13"/>
  <c r="T243" i="13"/>
  <c r="T255" i="13"/>
  <c r="H250" i="13"/>
  <c r="I255" i="13"/>
  <c r="E245" i="13"/>
  <c r="H251" i="13"/>
  <c r="H265" i="13"/>
  <c r="T249" i="13"/>
  <c r="I246" i="13"/>
  <c r="O273" i="13"/>
  <c r="E276" i="13"/>
  <c r="T254" i="13"/>
  <c r="H255" i="13"/>
  <c r="H245" i="13"/>
  <c r="E240" i="13"/>
  <c r="I242" i="13"/>
  <c r="T247" i="13"/>
  <c r="H262" i="13"/>
  <c r="H278" i="13"/>
  <c r="I257" i="13"/>
  <c r="H239" i="13"/>
  <c r="I256" i="13"/>
  <c r="H272" i="13"/>
  <c r="I260" i="13"/>
  <c r="H246" i="13"/>
  <c r="I248" i="13"/>
  <c r="I253" i="13"/>
  <c r="E241" i="13"/>
  <c r="E260" i="13"/>
  <c r="E278" i="13"/>
  <c r="H264" i="13"/>
  <c r="H259" i="13"/>
  <c r="H269" i="13"/>
  <c r="H260" i="13"/>
  <c r="T266" i="13"/>
  <c r="E261" i="13"/>
  <c r="T264" i="13"/>
  <c r="E269" i="13"/>
  <c r="I243" i="13"/>
  <c r="T263" i="13"/>
  <c r="H275" i="13"/>
  <c r="E243" i="13"/>
  <c r="O274" i="13"/>
  <c r="T245" i="13"/>
  <c r="E262" i="13"/>
  <c r="I262" i="13"/>
  <c r="H270" i="13"/>
  <c r="O277" i="13"/>
  <c r="E239" i="13"/>
  <c r="H248" i="13"/>
  <c r="I259" i="13"/>
  <c r="T276" i="13"/>
  <c r="T267" i="13"/>
  <c r="H258" i="13"/>
  <c r="T253" i="13"/>
  <c r="I263" i="13"/>
  <c r="O265" i="13"/>
  <c r="E246" i="13"/>
  <c r="O272" i="13"/>
  <c r="I249" i="13"/>
  <c r="E255" i="13"/>
  <c r="H257" i="13"/>
  <c r="T244" i="13"/>
  <c r="T257" i="13"/>
  <c r="T252" i="13"/>
  <c r="T259" i="13"/>
  <c r="H271" i="13"/>
  <c r="T269" i="13"/>
  <c r="H253" i="13"/>
  <c r="T246" i="13"/>
  <c r="E267" i="13"/>
  <c r="H240" i="13"/>
  <c r="O270" i="13"/>
  <c r="I254" i="13"/>
  <c r="T242" i="13"/>
  <c r="O271" i="13"/>
  <c r="I251" i="13"/>
  <c r="E249" i="13"/>
  <c r="T272" i="13"/>
  <c r="E253" i="13"/>
  <c r="T250" i="13"/>
  <c r="E277" i="13"/>
  <c r="I239" i="13"/>
  <c r="I252" i="13"/>
  <c r="T260" i="13"/>
  <c r="O276" i="13"/>
  <c r="I247" i="13"/>
  <c r="H263" i="13"/>
  <c r="E264" i="13"/>
  <c r="O267" i="13"/>
  <c r="T251" i="13"/>
  <c r="E244" i="13"/>
  <c r="E248" i="13"/>
  <c r="E265" i="13"/>
  <c r="H261" i="13"/>
  <c r="E271" i="13"/>
  <c r="T239" i="13"/>
  <c r="H252" i="13"/>
  <c r="E251" i="13"/>
  <c r="H268" i="13"/>
  <c r="T262" i="13"/>
  <c r="H276" i="13"/>
  <c r="H241" i="13"/>
  <c r="I244" i="13"/>
  <c r="O266" i="13"/>
  <c r="I258" i="13"/>
  <c r="T256" i="13"/>
  <c r="H242" i="13"/>
  <c r="T278" i="13"/>
  <c r="T248" i="13"/>
  <c r="E274" i="13"/>
  <c r="H247" i="13"/>
  <c r="P277" i="13"/>
  <c r="E266" i="13"/>
  <c r="E263" i="13"/>
  <c r="H273" i="13"/>
  <c r="H243" i="13"/>
  <c r="T271" i="13"/>
  <c r="T241" i="13"/>
  <c r="E273" i="13"/>
  <c r="H249" i="13"/>
  <c r="H254" i="13"/>
  <c r="E268" i="13"/>
  <c r="H256" i="13"/>
  <c r="T275" i="13"/>
  <c r="T270" i="13"/>
  <c r="I250" i="13"/>
  <c r="O278" i="13"/>
  <c r="E272" i="13"/>
  <c r="T268" i="13"/>
  <c r="H274" i="13"/>
  <c r="E254" i="13"/>
  <c r="E275" i="13"/>
  <c r="H244" i="13"/>
  <c r="T274" i="13"/>
  <c r="T277" i="13"/>
  <c r="H277" i="13"/>
  <c r="I264" i="13"/>
  <c r="T258" i="13"/>
  <c r="O275" i="13"/>
  <c r="H267" i="13"/>
  <c r="I240" i="13"/>
  <c r="T261" i="13"/>
  <c r="H266" i="13"/>
  <c r="E259" i="13"/>
  <c r="E270" i="13"/>
  <c r="O269" i="13"/>
  <c r="I261" i="13"/>
  <c r="O268" i="13"/>
  <c r="I55" i="3" l="1"/>
  <c r="I54" i="3"/>
  <c r="I53" i="3"/>
  <c r="I52" i="3"/>
  <c r="I51" i="3"/>
  <c r="I50" i="3"/>
  <c r="I49" i="3"/>
  <c r="I48" i="3"/>
  <c r="I47" i="3"/>
  <c r="I46" i="3"/>
  <c r="I45" i="3"/>
  <c r="I44" i="3"/>
  <c r="I33" i="3"/>
  <c r="I34" i="3"/>
  <c r="I35" i="3"/>
  <c r="I36" i="3"/>
  <c r="I22" i="3"/>
  <c r="I23" i="3"/>
  <c r="I24" i="3"/>
  <c r="I25" i="3"/>
  <c r="P270" i="13"/>
  <c r="P271" i="13"/>
  <c r="P266" i="13"/>
  <c r="P269" i="13"/>
  <c r="P274" i="13"/>
  <c r="P272" i="13"/>
  <c r="P268" i="13"/>
  <c r="P267" i="13"/>
  <c r="P265" i="13"/>
  <c r="P275" i="13"/>
  <c r="P276" i="13"/>
  <c r="P278" i="13"/>
  <c r="P273" i="13"/>
  <c r="D86" i="9" l="1"/>
  <c r="D43" i="9"/>
  <c r="D15" i="9"/>
  <c r="C84" i="9"/>
  <c r="C41" i="9"/>
  <c r="C13" i="9" l="1"/>
  <c r="E94" i="9" l="1"/>
  <c r="D88" i="9"/>
  <c r="D91" i="9"/>
  <c r="D44" i="9"/>
  <c r="D16" i="9"/>
  <c r="C49" i="9"/>
  <c r="C9" i="1" l="1"/>
  <c r="K207" i="13" l="1"/>
  <c r="L207" i="13"/>
  <c r="K208" i="13"/>
  <c r="L208" i="13"/>
  <c r="K209" i="13"/>
  <c r="L209" i="13"/>
  <c r="K210" i="13"/>
  <c r="L210" i="13"/>
  <c r="K211" i="13"/>
  <c r="L211" i="13"/>
  <c r="K165" i="13"/>
  <c r="L165" i="13"/>
  <c r="K166" i="13"/>
  <c r="L166" i="13"/>
  <c r="K167" i="13"/>
  <c r="L167" i="13"/>
  <c r="K168" i="13"/>
  <c r="L168" i="13"/>
  <c r="K169" i="13"/>
  <c r="L169" i="13"/>
  <c r="K37" i="13"/>
  <c r="L37" i="13"/>
  <c r="K38" i="13"/>
  <c r="L38" i="13"/>
  <c r="K39" i="13"/>
  <c r="L39" i="13"/>
  <c r="K40" i="13"/>
  <c r="L40" i="13"/>
  <c r="K41" i="13"/>
  <c r="L41" i="13"/>
  <c r="K42" i="13"/>
  <c r="L42" i="13"/>
  <c r="K43" i="13"/>
  <c r="L43" i="13"/>
  <c r="K44" i="13"/>
  <c r="L44" i="13"/>
  <c r="K45" i="13"/>
  <c r="L45" i="13"/>
  <c r="K46" i="13"/>
  <c r="L46" i="13"/>
  <c r="K47" i="13"/>
  <c r="L47" i="13"/>
  <c r="K48" i="13"/>
  <c r="L48" i="13"/>
  <c r="K49" i="13"/>
  <c r="L49" i="13"/>
  <c r="K50" i="13"/>
  <c r="L50" i="13"/>
  <c r="K51" i="13"/>
  <c r="L51" i="13"/>
  <c r="K52" i="13"/>
  <c r="L52" i="13"/>
  <c r="K53" i="13"/>
  <c r="L53" i="13"/>
  <c r="K54" i="13"/>
  <c r="L54" i="13"/>
  <c r="K55" i="13"/>
  <c r="L55" i="13"/>
  <c r="K56" i="13"/>
  <c r="L56" i="13"/>
  <c r="K57" i="13"/>
  <c r="L57" i="13"/>
  <c r="K58" i="13"/>
  <c r="L58" i="13"/>
  <c r="K59" i="13"/>
  <c r="L59" i="13"/>
  <c r="K60" i="13"/>
  <c r="L60" i="13"/>
  <c r="K61" i="13"/>
  <c r="L61" i="13"/>
  <c r="K62" i="13"/>
  <c r="L62" i="13"/>
  <c r="K63" i="13"/>
  <c r="L63" i="13"/>
  <c r="K64" i="13"/>
  <c r="L64" i="13"/>
  <c r="K65" i="13"/>
  <c r="L65" i="13"/>
  <c r="K66" i="13"/>
  <c r="L66" i="13"/>
  <c r="K67" i="13"/>
  <c r="L67" i="13"/>
  <c r="K68" i="13"/>
  <c r="L68" i="13"/>
  <c r="K69" i="13"/>
  <c r="L69" i="13"/>
  <c r="K70" i="13"/>
  <c r="L70" i="13"/>
  <c r="K71" i="13"/>
  <c r="L71" i="13"/>
  <c r="K72" i="13"/>
  <c r="L72" i="13"/>
  <c r="K73" i="13"/>
  <c r="L73" i="13"/>
  <c r="K74" i="13"/>
  <c r="L74" i="13"/>
  <c r="K75" i="13"/>
  <c r="L75" i="13"/>
  <c r="L36" i="13"/>
  <c r="K36" i="13"/>
  <c r="L119" i="13"/>
  <c r="L120" i="13"/>
  <c r="L121" i="13"/>
  <c r="L122" i="13"/>
  <c r="K119" i="13"/>
  <c r="K120" i="13"/>
  <c r="K121" i="13"/>
  <c r="K122" i="13"/>
  <c r="D28" i="13"/>
  <c r="D189" i="13"/>
  <c r="D142" i="13"/>
  <c r="D95" i="13"/>
  <c r="N39" i="2"/>
  <c r="N37" i="2"/>
  <c r="N45" i="2"/>
  <c r="K118" i="13"/>
  <c r="L118" i="13"/>
  <c r="G7" i="3" l="1"/>
  <c r="G12" i="3"/>
  <c r="G11" i="3"/>
  <c r="E7" i="22"/>
  <c r="G32" i="3" l="1"/>
  <c r="E450" i="22"/>
  <c r="E451" i="22"/>
  <c r="E452" i="22"/>
  <c r="E453" i="22"/>
  <c r="E454" i="22"/>
  <c r="E455" i="22"/>
  <c r="E415" i="22"/>
  <c r="E416" i="22"/>
  <c r="E417" i="22"/>
  <c r="E418" i="22"/>
  <c r="E419" i="22"/>
  <c r="E420" i="22"/>
  <c r="E421" i="22"/>
  <c r="E422" i="22"/>
  <c r="E385" i="22"/>
  <c r="E386" i="22"/>
  <c r="E387" i="22"/>
  <c r="E388" i="22"/>
  <c r="E389" i="22"/>
  <c r="E346" i="22"/>
  <c r="E347" i="22"/>
  <c r="E348" i="22"/>
  <c r="E349" i="22"/>
  <c r="E350" i="22"/>
  <c r="E304" i="22"/>
  <c r="E305" i="22"/>
  <c r="E306" i="22"/>
  <c r="E307" i="22"/>
  <c r="E308" i="22"/>
  <c r="E309" i="22"/>
  <c r="E310" i="22"/>
  <c r="E311" i="22"/>
  <c r="E312" i="22"/>
  <c r="E313" i="22"/>
  <c r="E314" i="22"/>
  <c r="E315" i="22"/>
  <c r="E272" i="22"/>
  <c r="E273" i="22"/>
  <c r="E274" i="22"/>
  <c r="E275" i="22"/>
  <c r="E276" i="22"/>
  <c r="E277" i="22"/>
  <c r="E278" i="22"/>
  <c r="E279" i="22"/>
  <c r="E280" i="22"/>
  <c r="E281" i="22"/>
  <c r="E282" i="22"/>
  <c r="E237" i="22"/>
  <c r="E238" i="22"/>
  <c r="E239" i="22"/>
  <c r="E240" i="22"/>
  <c r="E241" i="22"/>
  <c r="E242" i="22"/>
  <c r="E243" i="22"/>
  <c r="E244" i="22"/>
  <c r="E245" i="22"/>
  <c r="E246" i="22"/>
  <c r="E247" i="22"/>
  <c r="E248" i="22"/>
  <c r="E249" i="22"/>
  <c r="E208" i="22"/>
  <c r="E209" i="22"/>
  <c r="E210" i="22"/>
  <c r="E211" i="22"/>
  <c r="E212" i="22"/>
  <c r="E213" i="22"/>
  <c r="E214" i="22"/>
  <c r="E215" i="22"/>
  <c r="E216" i="22"/>
  <c r="E177" i="22"/>
  <c r="E178" i="22"/>
  <c r="E179" i="22"/>
  <c r="E180" i="22"/>
  <c r="E181" i="22"/>
  <c r="E182" i="22"/>
  <c r="E183" i="22"/>
  <c r="E141" i="22"/>
  <c r="E142" i="22"/>
  <c r="E143" i="22"/>
  <c r="E144" i="22"/>
  <c r="E145" i="22"/>
  <c r="E146" i="22"/>
  <c r="E147" i="22"/>
  <c r="E148" i="22"/>
  <c r="E149" i="22"/>
  <c r="E150" i="22"/>
  <c r="E111" i="22"/>
  <c r="E112" i="22"/>
  <c r="E113" i="22"/>
  <c r="E114" i="22"/>
  <c r="E115" i="22"/>
  <c r="E116" i="22"/>
  <c r="E117" i="22"/>
  <c r="E81" i="22"/>
  <c r="E82" i="22"/>
  <c r="E83" i="22"/>
  <c r="E84" i="22"/>
  <c r="E35" i="22"/>
  <c r="E36" i="22"/>
  <c r="E37" i="22"/>
  <c r="E38" i="22"/>
  <c r="E39" i="22"/>
  <c r="E40" i="22"/>
  <c r="E41" i="22"/>
  <c r="E42" i="22"/>
  <c r="E43" i="22"/>
  <c r="E44" i="22"/>
  <c r="E45" i="22"/>
  <c r="E46" i="22"/>
  <c r="E47" i="22"/>
  <c r="E48" i="22"/>
  <c r="E49" i="22"/>
  <c r="D6" i="22" l="1"/>
  <c r="K23" i="2"/>
  <c r="K25" i="2"/>
  <c r="K24" i="2"/>
  <c r="K26" i="2" l="1"/>
  <c r="B1" i="9" l="1"/>
  <c r="B1" i="23"/>
  <c r="B1" i="11"/>
  <c r="B1" i="12"/>
  <c r="B1" i="18"/>
  <c r="B1" i="13"/>
  <c r="B1" i="22"/>
  <c r="B1" i="3"/>
  <c r="B1" i="2"/>
  <c r="K31" i="2" l="1"/>
  <c r="W55" i="6" l="1"/>
  <c r="AF55" i="6" s="1"/>
  <c r="W142" i="6"/>
  <c r="AI142" i="6" s="1"/>
  <c r="W143" i="6"/>
  <c r="AF143" i="6" s="1"/>
  <c r="W224" i="6"/>
  <c r="AG224" i="6" s="1"/>
  <c r="W240" i="6"/>
  <c r="AG240" i="6" s="1"/>
  <c r="W241" i="6"/>
  <c r="AF241" i="6" s="1"/>
  <c r="W329" i="6"/>
  <c r="AF329" i="6" s="1"/>
  <c r="W349" i="6"/>
  <c r="AF349" i="6" s="1"/>
  <c r="W359" i="6"/>
  <c r="AG359" i="6" s="1"/>
  <c r="W400" i="6"/>
  <c r="AG400" i="6" s="1"/>
  <c r="W476" i="6"/>
  <c r="AG476" i="6" s="1"/>
  <c r="W477" i="6"/>
  <c r="AF477" i="6" s="1"/>
  <c r="W488" i="6"/>
  <c r="AI488" i="6" s="1"/>
  <c r="W600" i="6"/>
  <c r="AI600" i="6" s="1"/>
  <c r="X55" i="6"/>
  <c r="AB55" i="6" s="1"/>
  <c r="X142" i="6"/>
  <c r="AB142" i="6" s="1"/>
  <c r="X143" i="6"/>
  <c r="AB143" i="6" s="1"/>
  <c r="X224" i="6"/>
  <c r="AB224" i="6" s="1"/>
  <c r="X240" i="6"/>
  <c r="AB240" i="6" s="1"/>
  <c r="X241" i="6"/>
  <c r="AB241" i="6" s="1"/>
  <c r="X329" i="6"/>
  <c r="AB329" i="6" s="1"/>
  <c r="X349" i="6"/>
  <c r="AB349" i="6" s="1"/>
  <c r="X359" i="6"/>
  <c r="AB359" i="6" s="1"/>
  <c r="X400" i="6"/>
  <c r="AB400" i="6" s="1"/>
  <c r="X476" i="6"/>
  <c r="AB476" i="6" s="1"/>
  <c r="X477" i="6"/>
  <c r="AB477" i="6" s="1"/>
  <c r="X488" i="6"/>
  <c r="AB488" i="6" s="1"/>
  <c r="X600" i="6"/>
  <c r="AB600" i="6" s="1"/>
  <c r="Y55" i="6"/>
  <c r="AC55" i="6" s="1"/>
  <c r="Y142" i="6"/>
  <c r="AC142" i="6" s="1"/>
  <c r="Y143" i="6"/>
  <c r="AC143" i="6" s="1"/>
  <c r="Y224" i="6"/>
  <c r="AC224" i="6" s="1"/>
  <c r="Y240" i="6"/>
  <c r="AC240" i="6" s="1"/>
  <c r="Y241" i="6"/>
  <c r="AC241" i="6" s="1"/>
  <c r="Y329" i="6"/>
  <c r="AC329" i="6" s="1"/>
  <c r="Y349" i="6"/>
  <c r="Y359" i="6"/>
  <c r="Y400" i="6"/>
  <c r="AC400" i="6" s="1"/>
  <c r="Y476" i="6"/>
  <c r="AC476" i="6" s="1"/>
  <c r="Y477" i="6"/>
  <c r="AC477" i="6" s="1"/>
  <c r="Y488" i="6"/>
  <c r="AC488" i="6" s="1"/>
  <c r="Y600" i="6"/>
  <c r="AC600" i="6" s="1"/>
  <c r="Z55" i="6"/>
  <c r="AD55" i="6" s="1"/>
  <c r="Z142" i="6"/>
  <c r="AD142" i="6" s="1"/>
  <c r="Z143" i="6"/>
  <c r="AD143" i="6" s="1"/>
  <c r="Z224" i="6"/>
  <c r="AD224" i="6" s="1"/>
  <c r="Z240" i="6"/>
  <c r="AD240" i="6" s="1"/>
  <c r="Z241" i="6"/>
  <c r="AD241" i="6" s="1"/>
  <c r="Z329" i="6"/>
  <c r="AD329" i="6" s="1"/>
  <c r="Z349" i="6"/>
  <c r="AD349" i="6" s="1"/>
  <c r="Z359" i="6"/>
  <c r="AD359" i="6" s="1"/>
  <c r="Z400" i="6"/>
  <c r="AD400" i="6" s="1"/>
  <c r="Z476" i="6"/>
  <c r="AD476" i="6" s="1"/>
  <c r="Z477" i="6"/>
  <c r="AD477" i="6" s="1"/>
  <c r="Z488" i="6"/>
  <c r="AD488" i="6" s="1"/>
  <c r="Z600" i="6"/>
  <c r="AD600" i="6" s="1"/>
  <c r="AA55" i="6"/>
  <c r="AE55" i="6" s="1"/>
  <c r="AA142" i="6"/>
  <c r="AE142" i="6" s="1"/>
  <c r="AA143" i="6"/>
  <c r="AE143" i="6" s="1"/>
  <c r="AA224" i="6"/>
  <c r="AE224" i="6" s="1"/>
  <c r="AA240" i="6"/>
  <c r="AE240" i="6" s="1"/>
  <c r="AA241" i="6"/>
  <c r="AE241" i="6" s="1"/>
  <c r="AA329" i="6"/>
  <c r="AE329" i="6" s="1"/>
  <c r="AA349" i="6"/>
  <c r="AE349" i="6" s="1"/>
  <c r="AA359" i="6"/>
  <c r="AE359" i="6" s="1"/>
  <c r="AA400" i="6"/>
  <c r="AE400" i="6" s="1"/>
  <c r="AA476" i="6"/>
  <c r="AE476" i="6" s="1"/>
  <c r="AA477" i="6"/>
  <c r="AE477" i="6" s="1"/>
  <c r="AA488" i="6"/>
  <c r="AE488" i="6" s="1"/>
  <c r="AA600" i="6"/>
  <c r="AE600" i="6" s="1"/>
  <c r="AC349" i="6"/>
  <c r="AC359" i="6"/>
  <c r="AH55" i="6"/>
  <c r="AH142" i="6"/>
  <c r="AH143" i="6"/>
  <c r="AH224" i="6"/>
  <c r="AH240" i="6"/>
  <c r="AH241" i="6"/>
  <c r="AH329" i="6"/>
  <c r="AH349" i="6"/>
  <c r="AH359" i="6"/>
  <c r="AH400" i="6"/>
  <c r="AH476" i="6"/>
  <c r="AH477" i="6"/>
  <c r="AH488" i="6"/>
  <c r="AH600" i="6"/>
  <c r="AI55" i="6" l="1"/>
  <c r="AG55" i="6"/>
  <c r="AI143" i="6"/>
  <c r="AI359" i="6"/>
  <c r="AF359" i="6"/>
  <c r="AI400" i="6"/>
  <c r="AF224" i="6"/>
  <c r="AF400" i="6"/>
  <c r="AI476" i="6"/>
  <c r="AF240" i="6"/>
  <c r="AF476" i="6"/>
  <c r="AG143" i="6"/>
  <c r="AF488" i="6"/>
  <c r="AI224" i="6"/>
  <c r="AF600" i="6"/>
  <c r="AG488" i="6"/>
  <c r="AG600" i="6"/>
  <c r="AG477" i="6"/>
  <c r="AI477" i="6"/>
  <c r="AI240" i="6"/>
  <c r="AG349" i="6"/>
  <c r="AG241" i="6"/>
  <c r="AI349" i="6"/>
  <c r="AI329" i="6"/>
  <c r="AG329" i="6"/>
  <c r="AI241" i="6"/>
  <c r="AF142" i="6"/>
  <c r="AG142" i="6"/>
  <c r="W17" i="6"/>
  <c r="AG17" i="6" s="1"/>
  <c r="W18" i="6"/>
  <c r="AF18" i="6" s="1"/>
  <c r="W19" i="6"/>
  <c r="AI19" i="6" s="1"/>
  <c r="W20" i="6"/>
  <c r="AG20" i="6" s="1"/>
  <c r="W21" i="6"/>
  <c r="AI21" i="6" s="1"/>
  <c r="W22" i="6"/>
  <c r="W23" i="6"/>
  <c r="AF23" i="6" s="1"/>
  <c r="W24" i="6"/>
  <c r="AI24" i="6" s="1"/>
  <c r="W25" i="6"/>
  <c r="AG25" i="6" s="1"/>
  <c r="W26" i="6"/>
  <c r="AI26" i="6" s="1"/>
  <c r="W27" i="6"/>
  <c r="AI27" i="6" s="1"/>
  <c r="W28" i="6"/>
  <c r="AF28" i="6" s="1"/>
  <c r="W29" i="6"/>
  <c r="AI29" i="6" s="1"/>
  <c r="W30" i="6"/>
  <c r="W31" i="6"/>
  <c r="AF31" i="6" s="1"/>
  <c r="W32" i="6"/>
  <c r="AI32" i="6" s="1"/>
  <c r="W33" i="6"/>
  <c r="AF33" i="6" s="1"/>
  <c r="W34" i="6"/>
  <c r="AF34" i="6" s="1"/>
  <c r="W35" i="6"/>
  <c r="AI35" i="6" s="1"/>
  <c r="W36" i="6"/>
  <c r="AI36" i="6" s="1"/>
  <c r="W37" i="6"/>
  <c r="AF37" i="6" s="1"/>
  <c r="W38" i="6"/>
  <c r="W39" i="6"/>
  <c r="W40" i="6"/>
  <c r="AI40" i="6" s="1"/>
  <c r="W41" i="6"/>
  <c r="AI41" i="6" s="1"/>
  <c r="W42" i="6"/>
  <c r="AI42" i="6" s="1"/>
  <c r="W43" i="6"/>
  <c r="AI43" i="6" s="1"/>
  <c r="W44" i="6"/>
  <c r="AG44" i="6" s="1"/>
  <c r="W45" i="6"/>
  <c r="AI45" i="6" s="1"/>
  <c r="W46" i="6"/>
  <c r="W47" i="6"/>
  <c r="W48" i="6"/>
  <c r="AI48" i="6" s="1"/>
  <c r="W49" i="6"/>
  <c r="AG49" i="6" s="1"/>
  <c r="W50" i="6"/>
  <c r="AF50" i="6" s="1"/>
  <c r="W51" i="6"/>
  <c r="AI51" i="6" s="1"/>
  <c r="W52" i="6"/>
  <c r="AF52" i="6" s="1"/>
  <c r="W53" i="6"/>
  <c r="W54" i="6"/>
  <c r="W56" i="6"/>
  <c r="AI56" i="6" s="1"/>
  <c r="W57" i="6"/>
  <c r="AG57" i="6" s="1"/>
  <c r="W58" i="6"/>
  <c r="AF58" i="6" s="1"/>
  <c r="W59" i="6"/>
  <c r="AI59" i="6" s="1"/>
  <c r="W60" i="6"/>
  <c r="AF60" i="6" s="1"/>
  <c r="W61" i="6"/>
  <c r="AI61" i="6" s="1"/>
  <c r="W62" i="6"/>
  <c r="W63" i="6"/>
  <c r="W64" i="6"/>
  <c r="AF64" i="6" s="1"/>
  <c r="W65" i="6"/>
  <c r="AG65" i="6" s="1"/>
  <c r="W66" i="6"/>
  <c r="AI66" i="6" s="1"/>
  <c r="W67" i="6"/>
  <c r="AI67" i="6" s="1"/>
  <c r="W68" i="6"/>
  <c r="AI68" i="6" s="1"/>
  <c r="W69" i="6"/>
  <c r="AG69" i="6" s="1"/>
  <c r="W70" i="6"/>
  <c r="W71" i="6"/>
  <c r="W72" i="6"/>
  <c r="AF72" i="6" s="1"/>
  <c r="W73" i="6"/>
  <c r="AI73" i="6" s="1"/>
  <c r="W74" i="6"/>
  <c r="AG74" i="6" s="1"/>
  <c r="W75" i="6"/>
  <c r="AF75" i="6" s="1"/>
  <c r="W76" i="6"/>
  <c r="AF76" i="6" s="1"/>
  <c r="W77" i="6"/>
  <c r="AF77" i="6" s="1"/>
  <c r="W78" i="6"/>
  <c r="AI78" i="6" s="1"/>
  <c r="W79" i="6"/>
  <c r="W80" i="6"/>
  <c r="AF80" i="6" s="1"/>
  <c r="W81" i="6"/>
  <c r="AI81" i="6" s="1"/>
  <c r="W82" i="6"/>
  <c r="AF82" i="6" s="1"/>
  <c r="W83" i="6"/>
  <c r="AI83" i="6" s="1"/>
  <c r="W84" i="6"/>
  <c r="AI84" i="6" s="1"/>
  <c r="W85" i="6"/>
  <c r="AI85" i="6" s="1"/>
  <c r="W86" i="6"/>
  <c r="AI86" i="6" s="1"/>
  <c r="W87" i="6"/>
  <c r="W88" i="6"/>
  <c r="AG88" i="6" s="1"/>
  <c r="W89" i="6"/>
  <c r="AF89" i="6" s="1"/>
  <c r="W90" i="6"/>
  <c r="AI90" i="6" s="1"/>
  <c r="W91" i="6"/>
  <c r="AF91" i="6" s="1"/>
  <c r="W92" i="6"/>
  <c r="AF92" i="6" s="1"/>
  <c r="W93" i="6"/>
  <c r="W94" i="6"/>
  <c r="W95" i="6"/>
  <c r="W96" i="6"/>
  <c r="AF96" i="6" s="1"/>
  <c r="W97" i="6"/>
  <c r="AG97" i="6" s="1"/>
  <c r="W98" i="6"/>
  <c r="AG98" i="6" s="1"/>
  <c r="W99" i="6"/>
  <c r="AI99" i="6" s="1"/>
  <c r="W100" i="6"/>
  <c r="AF100" i="6" s="1"/>
  <c r="W101" i="6"/>
  <c r="W102" i="6"/>
  <c r="W103" i="6"/>
  <c r="AI103" i="6" s="1"/>
  <c r="W104" i="6"/>
  <c r="AG104" i="6" s="1"/>
  <c r="W105" i="6"/>
  <c r="AI105" i="6" s="1"/>
  <c r="W106" i="6"/>
  <c r="AF106" i="6" s="1"/>
  <c r="W107" i="6"/>
  <c r="AI107" i="6" s="1"/>
  <c r="W108" i="6"/>
  <c r="AI108" i="6" s="1"/>
  <c r="W109" i="6"/>
  <c r="W110" i="6"/>
  <c r="W111" i="6"/>
  <c r="AI111" i="6" s="1"/>
  <c r="W112" i="6"/>
  <c r="AG112" i="6" s="1"/>
  <c r="W113" i="6"/>
  <c r="AI113" i="6" s="1"/>
  <c r="W114" i="6"/>
  <c r="AI114" i="6" s="1"/>
  <c r="W115" i="6"/>
  <c r="AF115" i="6" s="1"/>
  <c r="W116" i="6"/>
  <c r="AF116" i="6" s="1"/>
  <c r="W117" i="6"/>
  <c r="AG117" i="6" s="1"/>
  <c r="W118" i="6"/>
  <c r="AG118" i="6" s="1"/>
  <c r="W119" i="6"/>
  <c r="AI119" i="6" s="1"/>
  <c r="W120" i="6"/>
  <c r="AF120" i="6" s="1"/>
  <c r="W121" i="6"/>
  <c r="AF121" i="6" s="1"/>
  <c r="W122" i="6"/>
  <c r="W123" i="6"/>
  <c r="W124" i="6"/>
  <c r="AI124" i="6" s="1"/>
  <c r="W125" i="6"/>
  <c r="AI125" i="6" s="1"/>
  <c r="W126" i="6"/>
  <c r="AI126" i="6" s="1"/>
  <c r="W127" i="6"/>
  <c r="AI127" i="6" s="1"/>
  <c r="W128" i="6"/>
  <c r="AF128" i="6" s="1"/>
  <c r="W129" i="6"/>
  <c r="AG129" i="6" s="1"/>
  <c r="W130" i="6"/>
  <c r="W131" i="6"/>
  <c r="AF131" i="6" s="1"/>
  <c r="W132" i="6"/>
  <c r="AG132" i="6" s="1"/>
  <c r="W133" i="6"/>
  <c r="AG133" i="6" s="1"/>
  <c r="W134" i="6"/>
  <c r="AI134" i="6" s="1"/>
  <c r="W135" i="6"/>
  <c r="W136" i="6"/>
  <c r="AF136" i="6" s="1"/>
  <c r="W137" i="6"/>
  <c r="AI137" i="6" s="1"/>
  <c r="W138" i="6"/>
  <c r="W139" i="6"/>
  <c r="W140" i="6"/>
  <c r="AG140" i="6" s="1"/>
  <c r="W141" i="6"/>
  <c r="AI141" i="6" s="1"/>
  <c r="W144" i="6"/>
  <c r="AF144" i="6" s="1"/>
  <c r="W145" i="6"/>
  <c r="AI145" i="6" s="1"/>
  <c r="W146" i="6"/>
  <c r="AI146" i="6" s="1"/>
  <c r="W147" i="6"/>
  <c r="AI147" i="6" s="1"/>
  <c r="W148" i="6"/>
  <c r="AI148" i="6" s="1"/>
  <c r="W149" i="6"/>
  <c r="W150" i="6"/>
  <c r="W151" i="6"/>
  <c r="AF151" i="6" s="1"/>
  <c r="W152" i="6"/>
  <c r="AI152" i="6" s="1"/>
  <c r="W153" i="6"/>
  <c r="AG153" i="6" s="1"/>
  <c r="W154" i="6"/>
  <c r="W155" i="6"/>
  <c r="AF155" i="6" s="1"/>
  <c r="W156" i="6"/>
  <c r="AF156" i="6" s="1"/>
  <c r="W157" i="6"/>
  <c r="W158" i="6"/>
  <c r="AF158" i="6" s="1"/>
  <c r="W159" i="6"/>
  <c r="AI159" i="6" s="1"/>
  <c r="W160" i="6"/>
  <c r="AG160" i="6" s="1"/>
  <c r="W161" i="6"/>
  <c r="W162" i="6"/>
  <c r="AG162" i="6" s="1"/>
  <c r="W163" i="6"/>
  <c r="AG163" i="6" s="1"/>
  <c r="W164" i="6"/>
  <c r="AF164" i="6" s="1"/>
  <c r="W165" i="6"/>
  <c r="W166" i="6"/>
  <c r="W167" i="6"/>
  <c r="AF167" i="6" s="1"/>
  <c r="W168" i="6"/>
  <c r="AI168" i="6" s="1"/>
  <c r="W169" i="6"/>
  <c r="AI169" i="6" s="1"/>
  <c r="W170" i="6"/>
  <c r="AF170" i="6" s="1"/>
  <c r="W171" i="6"/>
  <c r="AG171" i="6" s="1"/>
  <c r="W172" i="6"/>
  <c r="AG172" i="6" s="1"/>
  <c r="W173" i="6"/>
  <c r="W174" i="6"/>
  <c r="W175" i="6"/>
  <c r="AI175" i="6" s="1"/>
  <c r="W176" i="6"/>
  <c r="AI176" i="6" s="1"/>
  <c r="W177" i="6"/>
  <c r="AI177" i="6" s="1"/>
  <c r="W178" i="6"/>
  <c r="AF178" i="6" s="1"/>
  <c r="W179" i="6"/>
  <c r="AI179" i="6" s="1"/>
  <c r="W180" i="6"/>
  <c r="W181" i="6"/>
  <c r="AF181" i="6" s="1"/>
  <c r="W182" i="6"/>
  <c r="AF182" i="6" s="1"/>
  <c r="W183" i="6"/>
  <c r="AF183" i="6" s="1"/>
  <c r="W184" i="6"/>
  <c r="AG184" i="6" s="1"/>
  <c r="W185" i="6"/>
  <c r="AF185" i="6" s="1"/>
  <c r="W186" i="6"/>
  <c r="AF186" i="6" s="1"/>
  <c r="W187" i="6"/>
  <c r="AF187" i="6" s="1"/>
  <c r="W188" i="6"/>
  <c r="W189" i="6"/>
  <c r="AG189" i="6" s="1"/>
  <c r="W190" i="6"/>
  <c r="AI190" i="6" s="1"/>
  <c r="W191" i="6"/>
  <c r="AI191" i="6" s="1"/>
  <c r="W192" i="6"/>
  <c r="AF192" i="6" s="1"/>
  <c r="W193" i="6"/>
  <c r="AF193" i="6" s="1"/>
  <c r="W194" i="6"/>
  <c r="AF194" i="6" s="1"/>
  <c r="W195" i="6"/>
  <c r="AG195" i="6" s="1"/>
  <c r="W196" i="6"/>
  <c r="W197" i="6"/>
  <c r="W198" i="6"/>
  <c r="AF198" i="6" s="1"/>
  <c r="W199" i="6"/>
  <c r="AF199" i="6" s="1"/>
  <c r="W200" i="6"/>
  <c r="AI200" i="6" s="1"/>
  <c r="W201" i="6"/>
  <c r="AF201" i="6" s="1"/>
  <c r="W202" i="6"/>
  <c r="AG202" i="6" s="1"/>
  <c r="W203" i="6"/>
  <c r="AG203" i="6" s="1"/>
  <c r="W204" i="6"/>
  <c r="AF204" i="6" s="1"/>
  <c r="W205" i="6"/>
  <c r="AF205" i="6" s="1"/>
  <c r="W206" i="6"/>
  <c r="AG206" i="6" s="1"/>
  <c r="W207" i="6"/>
  <c r="AF207" i="6" s="1"/>
  <c r="W208" i="6"/>
  <c r="AF208" i="6" s="1"/>
  <c r="W209" i="6"/>
  <c r="W210" i="6"/>
  <c r="AG210" i="6" s="1"/>
  <c r="W211" i="6"/>
  <c r="AI211" i="6" s="1"/>
  <c r="W212" i="6"/>
  <c r="AF212" i="6" s="1"/>
  <c r="W213" i="6"/>
  <c r="AF213" i="6" s="1"/>
  <c r="W214" i="6"/>
  <c r="AF214" i="6" s="1"/>
  <c r="W215" i="6"/>
  <c r="AI215" i="6" s="1"/>
  <c r="W216" i="6"/>
  <c r="AI216" i="6" s="1"/>
  <c r="W217" i="6"/>
  <c r="AF217" i="6" s="1"/>
  <c r="W218" i="6"/>
  <c r="AF218" i="6" s="1"/>
  <c r="W219" i="6"/>
  <c r="W220" i="6"/>
  <c r="W221" i="6"/>
  <c r="AF221" i="6" s="1"/>
  <c r="W222" i="6"/>
  <c r="AG222" i="6" s="1"/>
  <c r="W223" i="6"/>
  <c r="AF223" i="6" s="1"/>
  <c r="W225" i="6"/>
  <c r="W226" i="6"/>
  <c r="AI226" i="6" s="1"/>
  <c r="W227" i="6"/>
  <c r="AF227" i="6" s="1"/>
  <c r="W228" i="6"/>
  <c r="AG228" i="6" s="1"/>
  <c r="W229" i="6"/>
  <c r="AG229" i="6" s="1"/>
  <c r="W230" i="6"/>
  <c r="AF230" i="6" s="1"/>
  <c r="W231" i="6"/>
  <c r="W232" i="6"/>
  <c r="AF232" i="6" s="1"/>
  <c r="W233" i="6"/>
  <c r="AI233" i="6" s="1"/>
  <c r="W234" i="6"/>
  <c r="W235" i="6"/>
  <c r="AF235" i="6" s="1"/>
  <c r="W236" i="6"/>
  <c r="AG236" i="6" s="1"/>
  <c r="W237" i="6"/>
  <c r="AF237" i="6" s="1"/>
  <c r="W238" i="6"/>
  <c r="W239" i="6"/>
  <c r="AG239" i="6" s="1"/>
  <c r="W242" i="6"/>
  <c r="AF242" i="6" s="1"/>
  <c r="W243" i="6"/>
  <c r="AI243" i="6" s="1"/>
  <c r="W244" i="6"/>
  <c r="AF244" i="6" s="1"/>
  <c r="W245" i="6"/>
  <c r="AF245" i="6" s="1"/>
  <c r="W246" i="6"/>
  <c r="AG246" i="6" s="1"/>
  <c r="W247" i="6"/>
  <c r="W248" i="6"/>
  <c r="W249" i="6"/>
  <c r="AF249" i="6" s="1"/>
  <c r="W250" i="6"/>
  <c r="AG250" i="6" s="1"/>
  <c r="W251" i="6"/>
  <c r="AG251" i="6" s="1"/>
  <c r="W252" i="6"/>
  <c r="AF252" i="6" s="1"/>
  <c r="W253" i="6"/>
  <c r="AF253" i="6" s="1"/>
  <c r="W254" i="6"/>
  <c r="W255" i="6"/>
  <c r="W256" i="6"/>
  <c r="AF256" i="6" s="1"/>
  <c r="W257" i="6"/>
  <c r="AF257" i="6" s="1"/>
  <c r="W258" i="6"/>
  <c r="AF258" i="6" s="1"/>
  <c r="W259" i="6"/>
  <c r="AF259" i="6" s="1"/>
  <c r="W260" i="6"/>
  <c r="W261" i="6"/>
  <c r="AF261" i="6" s="1"/>
  <c r="W262" i="6"/>
  <c r="AI262" i="6" s="1"/>
  <c r="W263" i="6"/>
  <c r="AF263" i="6" s="1"/>
  <c r="W264" i="6"/>
  <c r="AI264" i="6" s="1"/>
  <c r="W265" i="6"/>
  <c r="AG265" i="6" s="1"/>
  <c r="W266" i="6"/>
  <c r="AG266" i="6" s="1"/>
  <c r="W267" i="6"/>
  <c r="AI267" i="6" s="1"/>
  <c r="W268" i="6"/>
  <c r="AF268" i="6" s="1"/>
  <c r="W269" i="6"/>
  <c r="AG269" i="6" s="1"/>
  <c r="W270" i="6"/>
  <c r="AG270" i="6" s="1"/>
  <c r="W271" i="6"/>
  <c r="W272" i="6"/>
  <c r="AI272" i="6" s="1"/>
  <c r="W273" i="6"/>
  <c r="AF273" i="6" s="1"/>
  <c r="W274" i="6"/>
  <c r="AF274" i="6" s="1"/>
  <c r="W275" i="6"/>
  <c r="AI275" i="6" s="1"/>
  <c r="W276" i="6"/>
  <c r="W277" i="6"/>
  <c r="AI277" i="6" s="1"/>
  <c r="W278" i="6"/>
  <c r="W279" i="6"/>
  <c r="AF279" i="6" s="1"/>
  <c r="W280" i="6"/>
  <c r="AF280" i="6" s="1"/>
  <c r="W281" i="6"/>
  <c r="AI281" i="6" s="1"/>
  <c r="W282" i="6"/>
  <c r="AG282" i="6" s="1"/>
  <c r="W283" i="6"/>
  <c r="AG283" i="6" s="1"/>
  <c r="W284" i="6"/>
  <c r="AF284" i="6" s="1"/>
  <c r="W285" i="6"/>
  <c r="AF285" i="6" s="1"/>
  <c r="W286" i="6"/>
  <c r="W287" i="6"/>
  <c r="AG287" i="6" s="1"/>
  <c r="W288" i="6"/>
  <c r="AG288" i="6" s="1"/>
  <c r="W289" i="6"/>
  <c r="AG289" i="6" s="1"/>
  <c r="W290" i="6"/>
  <c r="AF290" i="6" s="1"/>
  <c r="W291" i="6"/>
  <c r="AF291" i="6" s="1"/>
  <c r="W292" i="6"/>
  <c r="AF292" i="6" s="1"/>
  <c r="W293" i="6"/>
  <c r="AF293" i="6" s="1"/>
  <c r="W294" i="6"/>
  <c r="W295" i="6"/>
  <c r="AI295" i="6" s="1"/>
  <c r="W296" i="6"/>
  <c r="AF296" i="6" s="1"/>
  <c r="W297" i="6"/>
  <c r="AF297" i="6" s="1"/>
  <c r="W298" i="6"/>
  <c r="AG298" i="6" s="1"/>
  <c r="W299" i="6"/>
  <c r="AI299" i="6" s="1"/>
  <c r="W300" i="6"/>
  <c r="AI300" i="6" s="1"/>
  <c r="W301" i="6"/>
  <c r="W302" i="6"/>
  <c r="W303" i="6"/>
  <c r="AF303" i="6" s="1"/>
  <c r="W304" i="6"/>
  <c r="AI304" i="6" s="1"/>
  <c r="W305" i="6"/>
  <c r="AI305" i="6" s="1"/>
  <c r="W306" i="6"/>
  <c r="AF306" i="6" s="1"/>
  <c r="W307" i="6"/>
  <c r="AI307" i="6" s="1"/>
  <c r="W308" i="6"/>
  <c r="AF308" i="6" s="1"/>
  <c r="W309" i="6"/>
  <c r="W310" i="6"/>
  <c r="AF310" i="6" s="1"/>
  <c r="W311" i="6"/>
  <c r="AI311" i="6" s="1"/>
  <c r="W312" i="6"/>
  <c r="AG312" i="6" s="1"/>
  <c r="W313" i="6"/>
  <c r="AG313" i="6" s="1"/>
  <c r="W314" i="6"/>
  <c r="AG314" i="6" s="1"/>
  <c r="W315" i="6"/>
  <c r="AF315" i="6" s="1"/>
  <c r="W316" i="6"/>
  <c r="AI316" i="6" s="1"/>
  <c r="W317" i="6"/>
  <c r="W318" i="6"/>
  <c r="W319" i="6"/>
  <c r="AI319" i="6" s="1"/>
  <c r="W320" i="6"/>
  <c r="AG320" i="6" s="1"/>
  <c r="W321" i="6"/>
  <c r="AF321" i="6" s="1"/>
  <c r="W322" i="6"/>
  <c r="AI322" i="6" s="1"/>
  <c r="W323" i="6"/>
  <c r="AI323" i="6" s="1"/>
  <c r="W324" i="6"/>
  <c r="AF324" i="6" s="1"/>
  <c r="W325" i="6"/>
  <c r="W326" i="6"/>
  <c r="W327" i="6"/>
  <c r="AI327" i="6" s="1"/>
  <c r="W328" i="6"/>
  <c r="AI328" i="6" s="1"/>
  <c r="W330" i="6"/>
  <c r="AI330" i="6" s="1"/>
  <c r="W331" i="6"/>
  <c r="AF331" i="6" s="1"/>
  <c r="W332" i="6"/>
  <c r="AI332" i="6" s="1"/>
  <c r="W333" i="6"/>
  <c r="W334" i="6"/>
  <c r="W335" i="6"/>
  <c r="AG335" i="6" s="1"/>
  <c r="W336" i="6"/>
  <c r="AF336" i="6" s="1"/>
  <c r="W337" i="6"/>
  <c r="AG337" i="6" s="1"/>
  <c r="W338" i="6"/>
  <c r="AG338" i="6" s="1"/>
  <c r="W339" i="6"/>
  <c r="AI339" i="6" s="1"/>
  <c r="W340" i="6"/>
  <c r="AI340" i="6" s="1"/>
  <c r="W341" i="6"/>
  <c r="AI341" i="6" s="1"/>
  <c r="W342" i="6"/>
  <c r="AF342" i="6" s="1"/>
  <c r="W343" i="6"/>
  <c r="AI343" i="6" s="1"/>
  <c r="W344" i="6"/>
  <c r="W345" i="6"/>
  <c r="AG345" i="6" s="1"/>
  <c r="W346" i="6"/>
  <c r="AF346" i="6" s="1"/>
  <c r="W347" i="6"/>
  <c r="AF347" i="6" s="1"/>
  <c r="W348" i="6"/>
  <c r="AI348" i="6" s="1"/>
  <c r="W350" i="6"/>
  <c r="W351" i="6"/>
  <c r="W352" i="6"/>
  <c r="W353" i="6"/>
  <c r="AI353" i="6" s="1"/>
  <c r="W354" i="6"/>
  <c r="AF354" i="6" s="1"/>
  <c r="W355" i="6"/>
  <c r="AF355" i="6" s="1"/>
  <c r="W356" i="6"/>
  <c r="AI356" i="6" s="1"/>
  <c r="W357" i="6"/>
  <c r="AF357" i="6" s="1"/>
  <c r="W358" i="6"/>
  <c r="AF358" i="6" s="1"/>
  <c r="W360" i="6"/>
  <c r="AI360" i="6" s="1"/>
  <c r="W361" i="6"/>
  <c r="AF361" i="6" s="1"/>
  <c r="W362" i="6"/>
  <c r="AF362" i="6" s="1"/>
  <c r="W363" i="6"/>
  <c r="AG363" i="6" s="1"/>
  <c r="W364" i="6"/>
  <c r="AI364" i="6" s="1"/>
  <c r="W365" i="6"/>
  <c r="AF365" i="6" s="1"/>
  <c r="W366" i="6"/>
  <c r="AF366" i="6" s="1"/>
  <c r="W367" i="6"/>
  <c r="AF367" i="6" s="1"/>
  <c r="W368" i="6"/>
  <c r="AF368" i="6" s="1"/>
  <c r="W369" i="6"/>
  <c r="W370" i="6"/>
  <c r="W371" i="6"/>
  <c r="W372" i="6"/>
  <c r="AF372" i="6" s="1"/>
  <c r="W373" i="6"/>
  <c r="AF373" i="6" s="1"/>
  <c r="W374" i="6"/>
  <c r="AI374" i="6" s="1"/>
  <c r="W375" i="6"/>
  <c r="AF375" i="6" s="1"/>
  <c r="W376" i="6"/>
  <c r="AF376" i="6" s="1"/>
  <c r="W377" i="6"/>
  <c r="AF377" i="6" s="1"/>
  <c r="W378" i="6"/>
  <c r="AG378" i="6" s="1"/>
  <c r="W379" i="6"/>
  <c r="W380" i="6"/>
  <c r="W381" i="6"/>
  <c r="AG381" i="6" s="1"/>
  <c r="W382" i="6"/>
  <c r="AI382" i="6" s="1"/>
  <c r="W383" i="6"/>
  <c r="AI383" i="6" s="1"/>
  <c r="W384" i="6"/>
  <c r="AF384" i="6" s="1"/>
  <c r="W385" i="6"/>
  <c r="AG385" i="6" s="1"/>
  <c r="W386" i="6"/>
  <c r="AG386" i="6" s="1"/>
  <c r="W387" i="6"/>
  <c r="W388" i="6"/>
  <c r="W389" i="6"/>
  <c r="AI389" i="6" s="1"/>
  <c r="W390" i="6"/>
  <c r="AF390" i="6" s="1"/>
  <c r="W391" i="6"/>
  <c r="AF391" i="6" s="1"/>
  <c r="W392" i="6"/>
  <c r="AF392" i="6" s="1"/>
  <c r="W393" i="6"/>
  <c r="AG393" i="6" s="1"/>
  <c r="W394" i="6"/>
  <c r="AG394" i="6" s="1"/>
  <c r="W395" i="6"/>
  <c r="W396" i="6"/>
  <c r="W397" i="6"/>
  <c r="AG397" i="6" s="1"/>
  <c r="W398" i="6"/>
  <c r="AG398" i="6" s="1"/>
  <c r="W399" i="6"/>
  <c r="W401" i="6"/>
  <c r="AF401" i="6" s="1"/>
  <c r="W402" i="6"/>
  <c r="AF402" i="6" s="1"/>
  <c r="W403" i="6"/>
  <c r="AF403" i="6" s="1"/>
  <c r="W404" i="6"/>
  <c r="W405" i="6"/>
  <c r="W406" i="6"/>
  <c r="AI406" i="6" s="1"/>
  <c r="W407" i="6"/>
  <c r="AI407" i="6" s="1"/>
  <c r="W408" i="6"/>
  <c r="AG408" i="6" s="1"/>
  <c r="W409" i="6"/>
  <c r="AF409" i="6" s="1"/>
  <c r="W410" i="6"/>
  <c r="AG410" i="6" s="1"/>
  <c r="W411" i="6"/>
  <c r="AI411" i="6" s="1"/>
  <c r="W412" i="6"/>
  <c r="W413" i="6"/>
  <c r="AF413" i="6" s="1"/>
  <c r="W414" i="6"/>
  <c r="AF414" i="6" s="1"/>
  <c r="W415" i="6"/>
  <c r="AI415" i="6" s="1"/>
  <c r="W416" i="6"/>
  <c r="W417" i="6"/>
  <c r="AF417" i="6" s="1"/>
  <c r="W418" i="6"/>
  <c r="AF418" i="6" s="1"/>
  <c r="W419" i="6"/>
  <c r="AF419" i="6" s="1"/>
  <c r="W420" i="6"/>
  <c r="W421" i="6"/>
  <c r="W422" i="6"/>
  <c r="AI422" i="6" s="1"/>
  <c r="W423" i="6"/>
  <c r="AF423" i="6" s="1"/>
  <c r="W424" i="6"/>
  <c r="AG424" i="6" s="1"/>
  <c r="W425" i="6"/>
  <c r="AF425" i="6" s="1"/>
  <c r="W426" i="6"/>
  <c r="AF426" i="6" s="1"/>
  <c r="W427" i="6"/>
  <c r="AF427" i="6" s="1"/>
  <c r="W428" i="6"/>
  <c r="W429" i="6"/>
  <c r="W430" i="6"/>
  <c r="AI430" i="6" s="1"/>
  <c r="W431" i="6"/>
  <c r="AG431" i="6" s="1"/>
  <c r="W432" i="6"/>
  <c r="AF432" i="6" s="1"/>
  <c r="W433" i="6"/>
  <c r="AG433" i="6" s="1"/>
  <c r="W434" i="6"/>
  <c r="AF434" i="6" s="1"/>
  <c r="W435" i="6"/>
  <c r="AI435" i="6" s="1"/>
  <c r="W436" i="6"/>
  <c r="W437" i="6"/>
  <c r="AF437" i="6" s="1"/>
  <c r="W438" i="6"/>
  <c r="AF438" i="6" s="1"/>
  <c r="W439" i="6"/>
  <c r="AI439" i="6" s="1"/>
  <c r="W440" i="6"/>
  <c r="AG440" i="6" s="1"/>
  <c r="W441" i="6"/>
  <c r="AG441" i="6" s="1"/>
  <c r="W442" i="6"/>
  <c r="AF442" i="6" s="1"/>
  <c r="W443" i="6"/>
  <c r="AF443" i="6" s="1"/>
  <c r="W444" i="6"/>
  <c r="W445" i="6"/>
  <c r="AG445" i="6" s="1"/>
  <c r="W446" i="6"/>
  <c r="AI446" i="6" s="1"/>
  <c r="W447" i="6"/>
  <c r="AI447" i="6" s="1"/>
  <c r="W448" i="6"/>
  <c r="AF448" i="6" s="1"/>
  <c r="W449" i="6"/>
  <c r="AG449" i="6" s="1"/>
  <c r="W450" i="6"/>
  <c r="AF450" i="6" s="1"/>
  <c r="W451" i="6"/>
  <c r="AI451" i="6" s="1"/>
  <c r="W452" i="6"/>
  <c r="W453" i="6"/>
  <c r="W454" i="6"/>
  <c r="AG454" i="6" s="1"/>
  <c r="W455" i="6"/>
  <c r="AF455" i="6" s="1"/>
  <c r="W456" i="6"/>
  <c r="AG456" i="6" s="1"/>
  <c r="W457" i="6"/>
  <c r="AF457" i="6" s="1"/>
  <c r="W458" i="6"/>
  <c r="AG458" i="6" s="1"/>
  <c r="W459" i="6"/>
  <c r="AG459" i="6" s="1"/>
  <c r="W460" i="6"/>
  <c r="W461" i="6"/>
  <c r="W462" i="6"/>
  <c r="AI462" i="6" s="1"/>
  <c r="W463" i="6"/>
  <c r="AG463" i="6" s="1"/>
  <c r="W464" i="6"/>
  <c r="W465" i="6"/>
  <c r="AG465" i="6" s="1"/>
  <c r="W466" i="6"/>
  <c r="AF466" i="6" s="1"/>
  <c r="W467" i="6"/>
  <c r="AF467" i="6" s="1"/>
  <c r="W468" i="6"/>
  <c r="W469" i="6"/>
  <c r="AF469" i="6" s="1"/>
  <c r="W470" i="6"/>
  <c r="AI470" i="6" s="1"/>
  <c r="W471" i="6"/>
  <c r="AI471" i="6" s="1"/>
  <c r="W472" i="6"/>
  <c r="AG472" i="6" s="1"/>
  <c r="W473" i="6"/>
  <c r="AG473" i="6" s="1"/>
  <c r="W474" i="6"/>
  <c r="AF474" i="6" s="1"/>
  <c r="W475" i="6"/>
  <c r="W478" i="6"/>
  <c r="AF478" i="6" s="1"/>
  <c r="W479" i="6"/>
  <c r="AF479" i="6" s="1"/>
  <c r="W480" i="6"/>
  <c r="AI480" i="6" s="1"/>
  <c r="W481" i="6"/>
  <c r="W482" i="6"/>
  <c r="AG482" i="6" s="1"/>
  <c r="W483" i="6"/>
  <c r="AG483" i="6" s="1"/>
  <c r="W484" i="6"/>
  <c r="AI484" i="6" s="1"/>
  <c r="W485" i="6"/>
  <c r="AF485" i="6" s="1"/>
  <c r="W486" i="6"/>
  <c r="AF486" i="6" s="1"/>
  <c r="W487" i="6"/>
  <c r="AF487" i="6" s="1"/>
  <c r="W489" i="6"/>
  <c r="W490" i="6"/>
  <c r="AG490" i="6" s="1"/>
  <c r="W491" i="6"/>
  <c r="AF491" i="6" s="1"/>
  <c r="W492" i="6"/>
  <c r="AF492" i="6" s="1"/>
  <c r="W493" i="6"/>
  <c r="AG493" i="6" s="1"/>
  <c r="W494" i="6"/>
  <c r="AI494" i="6" s="1"/>
  <c r="W495" i="6"/>
  <c r="AF495" i="6" s="1"/>
  <c r="W496" i="6"/>
  <c r="AI496" i="6" s="1"/>
  <c r="W497" i="6"/>
  <c r="W498" i="6"/>
  <c r="AF498" i="6" s="1"/>
  <c r="W499" i="6"/>
  <c r="AF499" i="6" s="1"/>
  <c r="W500" i="6"/>
  <c r="AF500" i="6" s="1"/>
  <c r="W501" i="6"/>
  <c r="AF501" i="6" s="1"/>
  <c r="W502" i="6"/>
  <c r="AI502" i="6" s="1"/>
  <c r="W503" i="6"/>
  <c r="AF503" i="6" s="1"/>
  <c r="W504" i="6"/>
  <c r="AF504" i="6" s="1"/>
  <c r="W505" i="6"/>
  <c r="W506" i="6"/>
  <c r="AG506" i="6" s="1"/>
  <c r="W507" i="6"/>
  <c r="AF507" i="6" s="1"/>
  <c r="W508" i="6"/>
  <c r="AF508" i="6" s="1"/>
  <c r="W509" i="6"/>
  <c r="AF509" i="6" s="1"/>
  <c r="W510" i="6"/>
  <c r="AI510" i="6" s="1"/>
  <c r="W511" i="6"/>
  <c r="AF511" i="6" s="1"/>
  <c r="W512" i="6"/>
  <c r="AG512" i="6" s="1"/>
  <c r="W513" i="6"/>
  <c r="W514" i="6"/>
  <c r="AF514" i="6" s="1"/>
  <c r="W515" i="6"/>
  <c r="AF515" i="6" s="1"/>
  <c r="W516" i="6"/>
  <c r="AF516" i="6" s="1"/>
  <c r="W517" i="6"/>
  <c r="AG517" i="6" s="1"/>
  <c r="W518" i="6"/>
  <c r="AF518" i="6" s="1"/>
  <c r="W519" i="6"/>
  <c r="AF519" i="6" s="1"/>
  <c r="W520" i="6"/>
  <c r="AF520" i="6" s="1"/>
  <c r="W521" i="6"/>
  <c r="W522" i="6"/>
  <c r="AI522" i="6" s="1"/>
  <c r="W523" i="6"/>
  <c r="AF523" i="6" s="1"/>
  <c r="W524" i="6"/>
  <c r="AF524" i="6" s="1"/>
  <c r="W525" i="6"/>
  <c r="AG525" i="6" s="1"/>
  <c r="W526" i="6"/>
  <c r="AG526" i="6" s="1"/>
  <c r="W527" i="6"/>
  <c r="AF527" i="6" s="1"/>
  <c r="W528" i="6"/>
  <c r="AF528" i="6" s="1"/>
  <c r="W529" i="6"/>
  <c r="W530" i="6"/>
  <c r="AF530" i="6" s="1"/>
  <c r="W531" i="6"/>
  <c r="AF531" i="6" s="1"/>
  <c r="W532" i="6"/>
  <c r="AF532" i="6" s="1"/>
  <c r="W533" i="6"/>
  <c r="AF533" i="6" s="1"/>
  <c r="W534" i="6"/>
  <c r="AG534" i="6" s="1"/>
  <c r="W535" i="6"/>
  <c r="AF535" i="6" s="1"/>
  <c r="W536" i="6"/>
  <c r="AG536" i="6" s="1"/>
  <c r="W537" i="6"/>
  <c r="AF537" i="6" s="1"/>
  <c r="W538" i="6"/>
  <c r="AG538" i="6" s="1"/>
  <c r="W539" i="6"/>
  <c r="AF539" i="6" s="1"/>
  <c r="W540" i="6"/>
  <c r="AF540" i="6" s="1"/>
  <c r="W541" i="6"/>
  <c r="AI541" i="6" s="1"/>
  <c r="W542" i="6"/>
  <c r="AG542" i="6" s="1"/>
  <c r="W543" i="6"/>
  <c r="AF543" i="6" s="1"/>
  <c r="W544" i="6"/>
  <c r="AI544" i="6" s="1"/>
  <c r="W545" i="6"/>
  <c r="W546" i="6"/>
  <c r="AI546" i="6" s="1"/>
  <c r="W547" i="6"/>
  <c r="AF547" i="6" s="1"/>
  <c r="W548" i="6"/>
  <c r="AG548" i="6" s="1"/>
  <c r="W549" i="6"/>
  <c r="AG549" i="6" s="1"/>
  <c r="W550" i="6"/>
  <c r="AG550" i="6" s="1"/>
  <c r="W551" i="6"/>
  <c r="AF551" i="6" s="1"/>
  <c r="W552" i="6"/>
  <c r="AF552" i="6" s="1"/>
  <c r="W553" i="6"/>
  <c r="W554" i="6"/>
  <c r="AF554" i="6" s="1"/>
  <c r="W555" i="6"/>
  <c r="AG555" i="6" s="1"/>
  <c r="W556" i="6"/>
  <c r="AF556" i="6" s="1"/>
  <c r="W557" i="6"/>
  <c r="AG557" i="6" s="1"/>
  <c r="W558" i="6"/>
  <c r="AF558" i="6" s="1"/>
  <c r="W559" i="6"/>
  <c r="AG559" i="6" s="1"/>
  <c r="W560" i="6"/>
  <c r="AG560" i="6" s="1"/>
  <c r="W561" i="6"/>
  <c r="W562" i="6"/>
  <c r="AF562" i="6" s="1"/>
  <c r="W563" i="6"/>
  <c r="AF563" i="6" s="1"/>
  <c r="W564" i="6"/>
  <c r="AG564" i="6" s="1"/>
  <c r="W565" i="6"/>
  <c r="AF565" i="6" s="1"/>
  <c r="W566" i="6"/>
  <c r="AI566" i="6" s="1"/>
  <c r="W567" i="6"/>
  <c r="AI567" i="6" s="1"/>
  <c r="W568" i="6"/>
  <c r="AI568" i="6" s="1"/>
  <c r="W569" i="6"/>
  <c r="AG569" i="6" s="1"/>
  <c r="W570" i="6"/>
  <c r="AF570" i="6" s="1"/>
  <c r="W571" i="6"/>
  <c r="AF571" i="6" s="1"/>
  <c r="W572" i="6"/>
  <c r="AF572" i="6" s="1"/>
  <c r="W573" i="6"/>
  <c r="AI573" i="6" s="1"/>
  <c r="W574" i="6"/>
  <c r="AI574" i="6" s="1"/>
  <c r="W575" i="6"/>
  <c r="AG575" i="6" s="1"/>
  <c r="W576" i="6"/>
  <c r="AF576" i="6" s="1"/>
  <c r="W577" i="6"/>
  <c r="W578" i="6"/>
  <c r="AF578" i="6" s="1"/>
  <c r="W579" i="6"/>
  <c r="AF579" i="6" s="1"/>
  <c r="W580" i="6"/>
  <c r="AG580" i="6" s="1"/>
  <c r="W581" i="6"/>
  <c r="AG581" i="6" s="1"/>
  <c r="W582" i="6"/>
  <c r="AG582" i="6" s="1"/>
  <c r="W583" i="6"/>
  <c r="AF583" i="6" s="1"/>
  <c r="W584" i="6"/>
  <c r="AI584" i="6" s="1"/>
  <c r="W585" i="6"/>
  <c r="W586" i="6"/>
  <c r="AF586" i="6" s="1"/>
  <c r="W587" i="6"/>
  <c r="AF587" i="6" s="1"/>
  <c r="W588" i="6"/>
  <c r="AF588" i="6" s="1"/>
  <c r="W589" i="6"/>
  <c r="AF589" i="6" s="1"/>
  <c r="W590" i="6"/>
  <c r="AF590" i="6" s="1"/>
  <c r="W591" i="6"/>
  <c r="AF591" i="6" s="1"/>
  <c r="W592" i="6"/>
  <c r="AF592" i="6" s="1"/>
  <c r="W593" i="6"/>
  <c r="AF593" i="6" s="1"/>
  <c r="W594" i="6"/>
  <c r="AG594" i="6" s="1"/>
  <c r="W595" i="6"/>
  <c r="AF595" i="6" s="1"/>
  <c r="W596" i="6"/>
  <c r="AG596" i="6" s="1"/>
  <c r="W597" i="6"/>
  <c r="AF597" i="6" s="1"/>
  <c r="W598" i="6"/>
  <c r="AI598" i="6" s="1"/>
  <c r="W599" i="6"/>
  <c r="AF599" i="6" s="1"/>
  <c r="W601" i="6"/>
  <c r="AF601" i="6" s="1"/>
  <c r="W602" i="6"/>
  <c r="AF602" i="6" s="1"/>
  <c r="W603" i="6"/>
  <c r="AF603" i="6" s="1"/>
  <c r="W604" i="6"/>
  <c r="AF604" i="6" s="1"/>
  <c r="W605" i="6"/>
  <c r="AG605" i="6" s="1"/>
  <c r="W606" i="6"/>
  <c r="AG606" i="6" s="1"/>
  <c r="W607" i="6"/>
  <c r="AG607" i="6" s="1"/>
  <c r="W608" i="6"/>
  <c r="AI608" i="6" s="1"/>
  <c r="W609" i="6"/>
  <c r="W610" i="6"/>
  <c r="AG610" i="6" s="1"/>
  <c r="W611" i="6"/>
  <c r="AG611" i="6" s="1"/>
  <c r="W612" i="6"/>
  <c r="AF612" i="6" s="1"/>
  <c r="W613" i="6"/>
  <c r="AG613" i="6" s="1"/>
  <c r="W614" i="6"/>
  <c r="AG614" i="6" s="1"/>
  <c r="W615" i="6"/>
  <c r="AF615" i="6" s="1"/>
  <c r="W616" i="6"/>
  <c r="AI616" i="6" s="1"/>
  <c r="W617" i="6"/>
  <c r="AF617" i="6" s="1"/>
  <c r="W618" i="6"/>
  <c r="AF618" i="6" s="1"/>
  <c r="W619" i="6"/>
  <c r="AF619" i="6" s="1"/>
  <c r="W620" i="6"/>
  <c r="AG620" i="6" s="1"/>
  <c r="W621" i="6"/>
  <c r="AF621" i="6" s="1"/>
  <c r="X17" i="6"/>
  <c r="X18" i="6"/>
  <c r="AB18" i="6" s="1"/>
  <c r="X19" i="6"/>
  <c r="AB19" i="6" s="1"/>
  <c r="X20" i="6"/>
  <c r="AB20" i="6" s="1"/>
  <c r="X21" i="6"/>
  <c r="AB21" i="6" s="1"/>
  <c r="X22" i="6"/>
  <c r="AB22" i="6" s="1"/>
  <c r="X23" i="6"/>
  <c r="AB23" i="6" s="1"/>
  <c r="X24" i="6"/>
  <c r="X25" i="6"/>
  <c r="AB25" i="6" s="1"/>
  <c r="X26" i="6"/>
  <c r="AB26" i="6" s="1"/>
  <c r="X27" i="6"/>
  <c r="AB27" i="6" s="1"/>
  <c r="X28" i="6"/>
  <c r="AB28" i="6" s="1"/>
  <c r="X29" i="6"/>
  <c r="AB29" i="6" s="1"/>
  <c r="X30" i="6"/>
  <c r="AB30" i="6" s="1"/>
  <c r="X31" i="6"/>
  <c r="AB31" i="6" s="1"/>
  <c r="X32" i="6"/>
  <c r="X33" i="6"/>
  <c r="AB33" i="6" s="1"/>
  <c r="X34" i="6"/>
  <c r="AB34" i="6" s="1"/>
  <c r="X35" i="6"/>
  <c r="AB35" i="6" s="1"/>
  <c r="X36" i="6"/>
  <c r="AB36" i="6" s="1"/>
  <c r="X37" i="6"/>
  <c r="AB37" i="6" s="1"/>
  <c r="X38" i="6"/>
  <c r="AB38" i="6" s="1"/>
  <c r="X39" i="6"/>
  <c r="AB39" i="6" s="1"/>
  <c r="X40" i="6"/>
  <c r="X41" i="6"/>
  <c r="AB41" i="6" s="1"/>
  <c r="X42" i="6"/>
  <c r="AB42" i="6" s="1"/>
  <c r="X43" i="6"/>
  <c r="AB43" i="6" s="1"/>
  <c r="X44" i="6"/>
  <c r="AB44" i="6" s="1"/>
  <c r="X45" i="6"/>
  <c r="AB45" i="6" s="1"/>
  <c r="X46" i="6"/>
  <c r="AB46" i="6" s="1"/>
  <c r="X47" i="6"/>
  <c r="AB47" i="6" s="1"/>
  <c r="X48" i="6"/>
  <c r="X49" i="6"/>
  <c r="AB49" i="6" s="1"/>
  <c r="X50" i="6"/>
  <c r="AB50" i="6" s="1"/>
  <c r="X51" i="6"/>
  <c r="AB51" i="6" s="1"/>
  <c r="X52" i="6"/>
  <c r="AB52" i="6" s="1"/>
  <c r="X53" i="6"/>
  <c r="X54" i="6"/>
  <c r="AB54" i="6" s="1"/>
  <c r="X56" i="6"/>
  <c r="AB56" i="6" s="1"/>
  <c r="X57" i="6"/>
  <c r="AB57" i="6" s="1"/>
  <c r="X58" i="6"/>
  <c r="X59" i="6"/>
  <c r="AB59" i="6" s="1"/>
  <c r="X60" i="6"/>
  <c r="AB60" i="6" s="1"/>
  <c r="X61" i="6"/>
  <c r="AB61" i="6" s="1"/>
  <c r="X62" i="6"/>
  <c r="X63" i="6"/>
  <c r="AB63" i="6" s="1"/>
  <c r="X64" i="6"/>
  <c r="AB64" i="6" s="1"/>
  <c r="X65" i="6"/>
  <c r="AB65" i="6" s="1"/>
  <c r="X66" i="6"/>
  <c r="X67" i="6"/>
  <c r="AB67" i="6" s="1"/>
  <c r="X68" i="6"/>
  <c r="AB68" i="6" s="1"/>
  <c r="X69" i="6"/>
  <c r="AB69" i="6" s="1"/>
  <c r="X70" i="6"/>
  <c r="AB70" i="6" s="1"/>
  <c r="X71" i="6"/>
  <c r="AB71" i="6" s="1"/>
  <c r="X72" i="6"/>
  <c r="AB72" i="6" s="1"/>
  <c r="X73" i="6"/>
  <c r="AB73" i="6" s="1"/>
  <c r="X74" i="6"/>
  <c r="AB74" i="6" s="1"/>
  <c r="X75" i="6"/>
  <c r="AB75" i="6" s="1"/>
  <c r="X76" i="6"/>
  <c r="AB76" i="6" s="1"/>
  <c r="X77" i="6"/>
  <c r="AB77" i="6" s="1"/>
  <c r="X78" i="6"/>
  <c r="AB78" i="6" s="1"/>
  <c r="X79" i="6"/>
  <c r="AB79" i="6" s="1"/>
  <c r="X80" i="6"/>
  <c r="AB80" i="6" s="1"/>
  <c r="X81" i="6"/>
  <c r="X82" i="6"/>
  <c r="AB82" i="6" s="1"/>
  <c r="X83" i="6"/>
  <c r="AB83" i="6" s="1"/>
  <c r="X84" i="6"/>
  <c r="AB84" i="6" s="1"/>
  <c r="X85" i="6"/>
  <c r="AB85" i="6" s="1"/>
  <c r="X86" i="6"/>
  <c r="AB86" i="6" s="1"/>
  <c r="X87" i="6"/>
  <c r="AB87" i="6" s="1"/>
  <c r="X88" i="6"/>
  <c r="AB88" i="6" s="1"/>
  <c r="X89" i="6"/>
  <c r="X90" i="6"/>
  <c r="AB90" i="6" s="1"/>
  <c r="X91" i="6"/>
  <c r="AB91" i="6" s="1"/>
  <c r="X92" i="6"/>
  <c r="AB92" i="6" s="1"/>
  <c r="X93" i="6"/>
  <c r="AB93" i="6" s="1"/>
  <c r="X94" i="6"/>
  <c r="AB94" i="6" s="1"/>
  <c r="X95" i="6"/>
  <c r="AB95" i="6" s="1"/>
  <c r="X96" i="6"/>
  <c r="AB96" i="6" s="1"/>
  <c r="X97" i="6"/>
  <c r="X98" i="6"/>
  <c r="AB98" i="6" s="1"/>
  <c r="X99" i="6"/>
  <c r="AB99" i="6" s="1"/>
  <c r="X100" i="6"/>
  <c r="AB100" i="6" s="1"/>
  <c r="X101" i="6"/>
  <c r="AB101" i="6" s="1"/>
  <c r="X102" i="6"/>
  <c r="AB102" i="6" s="1"/>
  <c r="X103" i="6"/>
  <c r="AB103" i="6" s="1"/>
  <c r="X104" i="6"/>
  <c r="AB104" i="6" s="1"/>
  <c r="X105" i="6"/>
  <c r="AB105" i="6" s="1"/>
  <c r="X106" i="6"/>
  <c r="AB106" i="6" s="1"/>
  <c r="X107" i="6"/>
  <c r="AB107" i="6" s="1"/>
  <c r="X108" i="6"/>
  <c r="AB108" i="6" s="1"/>
  <c r="X109" i="6"/>
  <c r="AB109" i="6" s="1"/>
  <c r="X110" i="6"/>
  <c r="AB110" i="6" s="1"/>
  <c r="X111" i="6"/>
  <c r="AB111" i="6" s="1"/>
  <c r="X112" i="6"/>
  <c r="AB112" i="6" s="1"/>
  <c r="X113" i="6"/>
  <c r="AB113" i="6" s="1"/>
  <c r="X114" i="6"/>
  <c r="AB114" i="6" s="1"/>
  <c r="X115" i="6"/>
  <c r="AB115" i="6" s="1"/>
  <c r="X116" i="6"/>
  <c r="AB116" i="6" s="1"/>
  <c r="X117" i="6"/>
  <c r="AB117" i="6" s="1"/>
  <c r="X118" i="6"/>
  <c r="AB118" i="6" s="1"/>
  <c r="X119" i="6"/>
  <c r="AB119" i="6" s="1"/>
  <c r="X120" i="6"/>
  <c r="AB120" i="6" s="1"/>
  <c r="X121" i="6"/>
  <c r="AB121" i="6" s="1"/>
  <c r="X122" i="6"/>
  <c r="X123" i="6"/>
  <c r="AB123" i="6" s="1"/>
  <c r="X124" i="6"/>
  <c r="AB124" i="6" s="1"/>
  <c r="X125" i="6"/>
  <c r="AB125" i="6" s="1"/>
  <c r="X126" i="6"/>
  <c r="X127" i="6"/>
  <c r="AB127" i="6" s="1"/>
  <c r="X128" i="6"/>
  <c r="AB128" i="6" s="1"/>
  <c r="X129" i="6"/>
  <c r="AB129" i="6" s="1"/>
  <c r="X130" i="6"/>
  <c r="X131" i="6"/>
  <c r="AB131" i="6" s="1"/>
  <c r="X132" i="6"/>
  <c r="AB132" i="6" s="1"/>
  <c r="X133" i="6"/>
  <c r="AB133" i="6" s="1"/>
  <c r="X134" i="6"/>
  <c r="X135" i="6"/>
  <c r="AB135" i="6" s="1"/>
  <c r="X136" i="6"/>
  <c r="AB136" i="6" s="1"/>
  <c r="X137" i="6"/>
  <c r="AB137" i="6" s="1"/>
  <c r="X138" i="6"/>
  <c r="X139" i="6"/>
  <c r="AB139" i="6" s="1"/>
  <c r="X140" i="6"/>
  <c r="AB140" i="6" s="1"/>
  <c r="X141" i="6"/>
  <c r="AB141" i="6" s="1"/>
  <c r="X144" i="6"/>
  <c r="AB144" i="6" s="1"/>
  <c r="X145" i="6"/>
  <c r="AB145" i="6" s="1"/>
  <c r="X146" i="6"/>
  <c r="AB146" i="6" s="1"/>
  <c r="X147" i="6"/>
  <c r="AB147" i="6" s="1"/>
  <c r="X148" i="6"/>
  <c r="AB148" i="6" s="1"/>
  <c r="X149" i="6"/>
  <c r="AB149" i="6" s="1"/>
  <c r="X150" i="6"/>
  <c r="AB150" i="6" s="1"/>
  <c r="X151" i="6"/>
  <c r="AB151" i="6" s="1"/>
  <c r="X152" i="6"/>
  <c r="AB152" i="6" s="1"/>
  <c r="X153" i="6"/>
  <c r="AB153" i="6" s="1"/>
  <c r="X154" i="6"/>
  <c r="AB154" i="6" s="1"/>
  <c r="X155" i="6"/>
  <c r="AB155" i="6" s="1"/>
  <c r="X156" i="6"/>
  <c r="X157" i="6"/>
  <c r="AB157" i="6" s="1"/>
  <c r="X158" i="6"/>
  <c r="AB158" i="6" s="1"/>
  <c r="X159" i="6"/>
  <c r="AB159" i="6" s="1"/>
  <c r="X160" i="6"/>
  <c r="AB160" i="6" s="1"/>
  <c r="X161" i="6"/>
  <c r="AB161" i="6" s="1"/>
  <c r="X162" i="6"/>
  <c r="AB162" i="6" s="1"/>
  <c r="X163" i="6"/>
  <c r="AB163" i="6" s="1"/>
  <c r="X164" i="6"/>
  <c r="AB164" i="6" s="1"/>
  <c r="X165" i="6"/>
  <c r="AB165" i="6" s="1"/>
  <c r="X166" i="6"/>
  <c r="AB166" i="6" s="1"/>
  <c r="X167" i="6"/>
  <c r="AB167" i="6" s="1"/>
  <c r="X168" i="6"/>
  <c r="AB168" i="6" s="1"/>
  <c r="X169" i="6"/>
  <c r="AB169" i="6" s="1"/>
  <c r="X170" i="6"/>
  <c r="AB170" i="6" s="1"/>
  <c r="X171" i="6"/>
  <c r="AB171" i="6" s="1"/>
  <c r="X172" i="6"/>
  <c r="AB172" i="6" s="1"/>
  <c r="X173" i="6"/>
  <c r="AB173" i="6" s="1"/>
  <c r="X174" i="6"/>
  <c r="AB174" i="6" s="1"/>
  <c r="X175" i="6"/>
  <c r="AB175" i="6" s="1"/>
  <c r="X176" i="6"/>
  <c r="X177" i="6"/>
  <c r="AB177" i="6" s="1"/>
  <c r="X178" i="6"/>
  <c r="AB178" i="6" s="1"/>
  <c r="X179" i="6"/>
  <c r="AB179" i="6" s="1"/>
  <c r="X180" i="6"/>
  <c r="X181" i="6"/>
  <c r="AB181" i="6" s="1"/>
  <c r="X182" i="6"/>
  <c r="AB182" i="6" s="1"/>
  <c r="X183" i="6"/>
  <c r="AB183" i="6" s="1"/>
  <c r="X184" i="6"/>
  <c r="AB184" i="6" s="1"/>
  <c r="X185" i="6"/>
  <c r="AB185" i="6" s="1"/>
  <c r="X186" i="6"/>
  <c r="AB186" i="6" s="1"/>
  <c r="X187" i="6"/>
  <c r="AB187" i="6" s="1"/>
  <c r="X188" i="6"/>
  <c r="AB188" i="6" s="1"/>
  <c r="X189" i="6"/>
  <c r="AB189" i="6" s="1"/>
  <c r="X190" i="6"/>
  <c r="AB190" i="6" s="1"/>
  <c r="X191" i="6"/>
  <c r="AB191" i="6" s="1"/>
  <c r="X192" i="6"/>
  <c r="X193" i="6"/>
  <c r="AB193" i="6" s="1"/>
  <c r="X194" i="6"/>
  <c r="AB194" i="6" s="1"/>
  <c r="X195" i="6"/>
  <c r="AB195" i="6" s="1"/>
  <c r="X196" i="6"/>
  <c r="AB196" i="6" s="1"/>
  <c r="X197" i="6"/>
  <c r="AB197" i="6" s="1"/>
  <c r="X198" i="6"/>
  <c r="AB198" i="6" s="1"/>
  <c r="X199" i="6"/>
  <c r="AB199" i="6" s="1"/>
  <c r="X200" i="6"/>
  <c r="X201" i="6"/>
  <c r="AB201" i="6" s="1"/>
  <c r="X202" i="6"/>
  <c r="AB202" i="6" s="1"/>
  <c r="X203" i="6"/>
  <c r="AB203" i="6" s="1"/>
  <c r="X204" i="6"/>
  <c r="AB204" i="6" s="1"/>
  <c r="X205" i="6"/>
  <c r="AB205" i="6" s="1"/>
  <c r="X206" i="6"/>
  <c r="AB206" i="6" s="1"/>
  <c r="X207" i="6"/>
  <c r="AB207" i="6" s="1"/>
  <c r="X208" i="6"/>
  <c r="AB208" i="6" s="1"/>
  <c r="X209" i="6"/>
  <c r="AB209" i="6" s="1"/>
  <c r="X210" i="6"/>
  <c r="AB210" i="6" s="1"/>
  <c r="X211" i="6"/>
  <c r="X212" i="6"/>
  <c r="AB212" i="6" s="1"/>
  <c r="X213" i="6"/>
  <c r="AB213" i="6" s="1"/>
  <c r="X214" i="6"/>
  <c r="AB214" i="6" s="1"/>
  <c r="X215" i="6"/>
  <c r="AB215" i="6" s="1"/>
  <c r="X216" i="6"/>
  <c r="AB216" i="6" s="1"/>
  <c r="X217" i="6"/>
  <c r="AB217" i="6" s="1"/>
  <c r="X218" i="6"/>
  <c r="AB218" i="6" s="1"/>
  <c r="X219" i="6"/>
  <c r="AB219" i="6" s="1"/>
  <c r="X220" i="6"/>
  <c r="AB220" i="6" s="1"/>
  <c r="X221" i="6"/>
  <c r="AB221" i="6" s="1"/>
  <c r="X222" i="6"/>
  <c r="AB222" i="6" s="1"/>
  <c r="X223" i="6"/>
  <c r="AB223" i="6" s="1"/>
  <c r="X225" i="6"/>
  <c r="X226" i="6"/>
  <c r="AB226" i="6" s="1"/>
  <c r="X227" i="6"/>
  <c r="AB227" i="6" s="1"/>
  <c r="X228" i="6"/>
  <c r="AB228" i="6" s="1"/>
  <c r="X229" i="6"/>
  <c r="AB229" i="6" s="1"/>
  <c r="X230" i="6"/>
  <c r="AB230" i="6" s="1"/>
  <c r="X231" i="6"/>
  <c r="AB231" i="6" s="1"/>
  <c r="X232" i="6"/>
  <c r="AB232" i="6" s="1"/>
  <c r="X233" i="6"/>
  <c r="X234" i="6"/>
  <c r="AB234" i="6" s="1"/>
  <c r="X235" i="6"/>
  <c r="AB235" i="6" s="1"/>
  <c r="X236" i="6"/>
  <c r="AB236" i="6" s="1"/>
  <c r="X237" i="6"/>
  <c r="AB237" i="6" s="1"/>
  <c r="X238" i="6"/>
  <c r="AB238" i="6" s="1"/>
  <c r="X239" i="6"/>
  <c r="AB239" i="6" s="1"/>
  <c r="X242" i="6"/>
  <c r="AB242" i="6" s="1"/>
  <c r="X243" i="6"/>
  <c r="X244" i="6"/>
  <c r="AB244" i="6" s="1"/>
  <c r="X245" i="6"/>
  <c r="AB245" i="6" s="1"/>
  <c r="X246" i="6"/>
  <c r="AB246" i="6" s="1"/>
  <c r="X247" i="6"/>
  <c r="AB247" i="6" s="1"/>
  <c r="X248" i="6"/>
  <c r="AB248" i="6" s="1"/>
  <c r="X249" i="6"/>
  <c r="X250" i="6"/>
  <c r="AB250" i="6" s="1"/>
  <c r="X251" i="6"/>
  <c r="AB251" i="6" s="1"/>
  <c r="X252" i="6"/>
  <c r="AB252" i="6" s="1"/>
  <c r="X253" i="6"/>
  <c r="AB253" i="6" s="1"/>
  <c r="X254" i="6"/>
  <c r="AB254" i="6" s="1"/>
  <c r="X255" i="6"/>
  <c r="AB255" i="6" s="1"/>
  <c r="X256" i="6"/>
  <c r="AB256" i="6" s="1"/>
  <c r="X257" i="6"/>
  <c r="AB257" i="6" s="1"/>
  <c r="X258" i="6"/>
  <c r="AB258" i="6" s="1"/>
  <c r="X259" i="6"/>
  <c r="AB259" i="6" s="1"/>
  <c r="X260" i="6"/>
  <c r="AB260" i="6" s="1"/>
  <c r="X261" i="6"/>
  <c r="AB261" i="6" s="1"/>
  <c r="X262" i="6"/>
  <c r="AB262" i="6" s="1"/>
  <c r="X263" i="6"/>
  <c r="AB263" i="6" s="1"/>
  <c r="X264" i="6"/>
  <c r="AB264" i="6" s="1"/>
  <c r="X265" i="6"/>
  <c r="AB265" i="6" s="1"/>
  <c r="X266" i="6"/>
  <c r="AB266" i="6" s="1"/>
  <c r="X267" i="6"/>
  <c r="AB267" i="6" s="1"/>
  <c r="X268" i="6"/>
  <c r="AB268" i="6" s="1"/>
  <c r="X269" i="6"/>
  <c r="AB269" i="6" s="1"/>
  <c r="X270" i="6"/>
  <c r="AB270" i="6" s="1"/>
  <c r="X271" i="6"/>
  <c r="AB271" i="6" s="1"/>
  <c r="X272" i="6"/>
  <c r="AB272" i="6" s="1"/>
  <c r="X273" i="6"/>
  <c r="AB273" i="6" s="1"/>
  <c r="X274" i="6"/>
  <c r="AB274" i="6" s="1"/>
  <c r="X275" i="6"/>
  <c r="X276" i="6"/>
  <c r="AB276" i="6" s="1"/>
  <c r="X277" i="6"/>
  <c r="AB277" i="6" s="1"/>
  <c r="X278" i="6"/>
  <c r="X279" i="6"/>
  <c r="AB279" i="6" s="1"/>
  <c r="X280" i="6"/>
  <c r="AB280" i="6" s="1"/>
  <c r="X281" i="6"/>
  <c r="AB281" i="6" s="1"/>
  <c r="X282" i="6"/>
  <c r="AB282" i="6" s="1"/>
  <c r="X283" i="6"/>
  <c r="AB283" i="6" s="1"/>
  <c r="X284" i="6"/>
  <c r="AB284" i="6" s="1"/>
  <c r="X285" i="6"/>
  <c r="AB285" i="6" s="1"/>
  <c r="X286" i="6"/>
  <c r="AB286" i="6" s="1"/>
  <c r="X287" i="6"/>
  <c r="AB287" i="6" s="1"/>
  <c r="X288" i="6"/>
  <c r="AB288" i="6" s="1"/>
  <c r="X289" i="6"/>
  <c r="AB289" i="6" s="1"/>
  <c r="X290" i="6"/>
  <c r="AB290" i="6" s="1"/>
  <c r="X291" i="6"/>
  <c r="AB291" i="6" s="1"/>
  <c r="X292" i="6"/>
  <c r="AB292" i="6" s="1"/>
  <c r="X293" i="6"/>
  <c r="AB293" i="6" s="1"/>
  <c r="X294" i="6"/>
  <c r="AB294" i="6" s="1"/>
  <c r="X295" i="6"/>
  <c r="X296" i="6"/>
  <c r="AB296" i="6" s="1"/>
  <c r="X297" i="6"/>
  <c r="AB297" i="6" s="1"/>
  <c r="X298" i="6"/>
  <c r="AB298" i="6" s="1"/>
  <c r="X299" i="6"/>
  <c r="AB299" i="6" s="1"/>
  <c r="X300" i="6"/>
  <c r="AB300" i="6" s="1"/>
  <c r="X301" i="6"/>
  <c r="AB301" i="6" s="1"/>
  <c r="X302" i="6"/>
  <c r="AB302" i="6" s="1"/>
  <c r="X303" i="6"/>
  <c r="AB303" i="6" s="1"/>
  <c r="X304" i="6"/>
  <c r="AB304" i="6" s="1"/>
  <c r="X305" i="6"/>
  <c r="AB305" i="6" s="1"/>
  <c r="X306" i="6"/>
  <c r="AB306" i="6" s="1"/>
  <c r="X307" i="6"/>
  <c r="AB307" i="6" s="1"/>
  <c r="X308" i="6"/>
  <c r="AB308" i="6" s="1"/>
  <c r="X309" i="6"/>
  <c r="AB309" i="6" s="1"/>
  <c r="X310" i="6"/>
  <c r="AB310" i="6" s="1"/>
  <c r="X311" i="6"/>
  <c r="AB311" i="6" s="1"/>
  <c r="X312" i="6"/>
  <c r="AB312" i="6" s="1"/>
  <c r="X313" i="6"/>
  <c r="AB313" i="6" s="1"/>
  <c r="X314" i="6"/>
  <c r="AB314" i="6" s="1"/>
  <c r="X315" i="6"/>
  <c r="AB315" i="6" s="1"/>
  <c r="X316" i="6"/>
  <c r="AB316" i="6" s="1"/>
  <c r="X317" i="6"/>
  <c r="AB317" i="6" s="1"/>
  <c r="X318" i="6"/>
  <c r="AB318" i="6" s="1"/>
  <c r="X319" i="6"/>
  <c r="X320" i="6"/>
  <c r="AB320" i="6" s="1"/>
  <c r="X321" i="6"/>
  <c r="AB321" i="6" s="1"/>
  <c r="X322" i="6"/>
  <c r="AB322" i="6" s="1"/>
  <c r="X323" i="6"/>
  <c r="AB323" i="6" s="1"/>
  <c r="X324" i="6"/>
  <c r="AB324" i="6" s="1"/>
  <c r="X325" i="6"/>
  <c r="AB325" i="6" s="1"/>
  <c r="X326" i="6"/>
  <c r="AB326" i="6" s="1"/>
  <c r="X327" i="6"/>
  <c r="X328" i="6"/>
  <c r="AB328" i="6" s="1"/>
  <c r="X330" i="6"/>
  <c r="AB330" i="6" s="1"/>
  <c r="X331" i="6"/>
  <c r="AB331" i="6" s="1"/>
  <c r="X332" i="6"/>
  <c r="X333" i="6"/>
  <c r="AB333" i="6" s="1"/>
  <c r="X334" i="6"/>
  <c r="AB334" i="6" s="1"/>
  <c r="X335" i="6"/>
  <c r="AB335" i="6" s="1"/>
  <c r="X336" i="6"/>
  <c r="AB336" i="6" s="1"/>
  <c r="X337" i="6"/>
  <c r="AB337" i="6" s="1"/>
  <c r="X338" i="6"/>
  <c r="AB338" i="6" s="1"/>
  <c r="X339" i="6"/>
  <c r="AB339" i="6" s="1"/>
  <c r="X340" i="6"/>
  <c r="X341" i="6"/>
  <c r="AB341" i="6" s="1"/>
  <c r="X342" i="6"/>
  <c r="AB342" i="6" s="1"/>
  <c r="X343" i="6"/>
  <c r="AB343" i="6" s="1"/>
  <c r="X344" i="6"/>
  <c r="AB344" i="6" s="1"/>
  <c r="X345" i="6"/>
  <c r="AB345" i="6" s="1"/>
  <c r="X346" i="6"/>
  <c r="AB346" i="6" s="1"/>
  <c r="X347" i="6"/>
  <c r="AB347" i="6" s="1"/>
  <c r="X348" i="6"/>
  <c r="AB348" i="6" s="1"/>
  <c r="X350" i="6"/>
  <c r="AB350" i="6" s="1"/>
  <c r="X351" i="6"/>
  <c r="AB351" i="6" s="1"/>
  <c r="X352" i="6"/>
  <c r="AB352" i="6" s="1"/>
  <c r="X353" i="6"/>
  <c r="AB353" i="6" s="1"/>
  <c r="X354" i="6"/>
  <c r="AB354" i="6" s="1"/>
  <c r="X355" i="6"/>
  <c r="AB355" i="6" s="1"/>
  <c r="X356" i="6"/>
  <c r="AB356" i="6" s="1"/>
  <c r="X357" i="6"/>
  <c r="AB357" i="6" s="1"/>
  <c r="X358" i="6"/>
  <c r="AB358" i="6" s="1"/>
  <c r="X360" i="6"/>
  <c r="AB360" i="6" s="1"/>
  <c r="X361" i="6"/>
  <c r="AB361" i="6" s="1"/>
  <c r="X362" i="6"/>
  <c r="AB362" i="6" s="1"/>
  <c r="X363" i="6"/>
  <c r="AB363" i="6" s="1"/>
  <c r="X364" i="6"/>
  <c r="AB364" i="6" s="1"/>
  <c r="X365" i="6"/>
  <c r="AB365" i="6" s="1"/>
  <c r="X366" i="6"/>
  <c r="AB366" i="6" s="1"/>
  <c r="X367" i="6"/>
  <c r="AB367" i="6" s="1"/>
  <c r="X368" i="6"/>
  <c r="AB368" i="6" s="1"/>
  <c r="X369" i="6"/>
  <c r="AB369" i="6" s="1"/>
  <c r="X370" i="6"/>
  <c r="AB370" i="6" s="1"/>
  <c r="X371" i="6"/>
  <c r="AB371" i="6" s="1"/>
  <c r="X372" i="6"/>
  <c r="AB372" i="6" s="1"/>
  <c r="X373" i="6"/>
  <c r="AB373" i="6" s="1"/>
  <c r="X374" i="6"/>
  <c r="AB374" i="6" s="1"/>
  <c r="X375" i="6"/>
  <c r="AB375" i="6" s="1"/>
  <c r="X376" i="6"/>
  <c r="AB376" i="6" s="1"/>
  <c r="X377" i="6"/>
  <c r="AB377" i="6" s="1"/>
  <c r="X378" i="6"/>
  <c r="AB378" i="6" s="1"/>
  <c r="X379" i="6"/>
  <c r="AB379" i="6" s="1"/>
  <c r="X380" i="6"/>
  <c r="AB380" i="6" s="1"/>
  <c r="X381" i="6"/>
  <c r="AB381" i="6" s="1"/>
  <c r="X382" i="6"/>
  <c r="AB382" i="6" s="1"/>
  <c r="X383" i="6"/>
  <c r="AB383" i="6" s="1"/>
  <c r="X384" i="6"/>
  <c r="AB384" i="6" s="1"/>
  <c r="X385" i="6"/>
  <c r="AB385" i="6" s="1"/>
  <c r="X386" i="6"/>
  <c r="AB386" i="6" s="1"/>
  <c r="X387" i="6"/>
  <c r="AB387" i="6" s="1"/>
  <c r="X388" i="6"/>
  <c r="AB388" i="6" s="1"/>
  <c r="X389" i="6"/>
  <c r="AB389" i="6" s="1"/>
  <c r="X390" i="6"/>
  <c r="AB390" i="6" s="1"/>
  <c r="X391" i="6"/>
  <c r="AB391" i="6" s="1"/>
  <c r="X392" i="6"/>
  <c r="AB392" i="6" s="1"/>
  <c r="X393" i="6"/>
  <c r="AB393" i="6" s="1"/>
  <c r="X394" i="6"/>
  <c r="AB394" i="6" s="1"/>
  <c r="X395" i="6"/>
  <c r="AB395" i="6" s="1"/>
  <c r="X396" i="6"/>
  <c r="AB396" i="6" s="1"/>
  <c r="X397" i="6"/>
  <c r="AB397" i="6" s="1"/>
  <c r="X398" i="6"/>
  <c r="AB398" i="6" s="1"/>
  <c r="X399" i="6"/>
  <c r="AB399" i="6" s="1"/>
  <c r="X401" i="6"/>
  <c r="AB401" i="6" s="1"/>
  <c r="X402" i="6"/>
  <c r="AB402" i="6" s="1"/>
  <c r="X403" i="6"/>
  <c r="AB403" i="6" s="1"/>
  <c r="X404" i="6"/>
  <c r="AB404" i="6" s="1"/>
  <c r="X405" i="6"/>
  <c r="AB405" i="6" s="1"/>
  <c r="X406" i="6"/>
  <c r="AB406" i="6" s="1"/>
  <c r="X407" i="6"/>
  <c r="AB407" i="6" s="1"/>
  <c r="X408" i="6"/>
  <c r="AB408" i="6" s="1"/>
  <c r="X409" i="6"/>
  <c r="AB409" i="6" s="1"/>
  <c r="X410" i="6"/>
  <c r="AB410" i="6" s="1"/>
  <c r="X411" i="6"/>
  <c r="AB411" i="6" s="1"/>
  <c r="X412" i="6"/>
  <c r="AB412" i="6" s="1"/>
  <c r="X413" i="6"/>
  <c r="AB413" i="6" s="1"/>
  <c r="X414" i="6"/>
  <c r="AB414" i="6" s="1"/>
  <c r="X415" i="6"/>
  <c r="AB415" i="6" s="1"/>
  <c r="X416" i="6"/>
  <c r="AB416" i="6" s="1"/>
  <c r="X417" i="6"/>
  <c r="AB417" i="6" s="1"/>
  <c r="X418" i="6"/>
  <c r="AB418" i="6" s="1"/>
  <c r="X419" i="6"/>
  <c r="AB419" i="6" s="1"/>
  <c r="X420" i="6"/>
  <c r="AB420" i="6" s="1"/>
  <c r="X421" i="6"/>
  <c r="AB421" i="6" s="1"/>
  <c r="X422" i="6"/>
  <c r="AB422" i="6" s="1"/>
  <c r="X423" i="6"/>
  <c r="AB423" i="6" s="1"/>
  <c r="X424" i="6"/>
  <c r="AB424" i="6" s="1"/>
  <c r="X425" i="6"/>
  <c r="AB425" i="6" s="1"/>
  <c r="X426" i="6"/>
  <c r="AB426" i="6" s="1"/>
  <c r="X427" i="6"/>
  <c r="AB427" i="6" s="1"/>
  <c r="X428" i="6"/>
  <c r="AB428" i="6" s="1"/>
  <c r="X429" i="6"/>
  <c r="AB429" i="6" s="1"/>
  <c r="X430" i="6"/>
  <c r="AB430" i="6" s="1"/>
  <c r="X431" i="6"/>
  <c r="AB431" i="6" s="1"/>
  <c r="X432" i="6"/>
  <c r="AB432" i="6" s="1"/>
  <c r="X433" i="6"/>
  <c r="AB433" i="6" s="1"/>
  <c r="X434" i="6"/>
  <c r="AB434" i="6" s="1"/>
  <c r="X435" i="6"/>
  <c r="AB435" i="6" s="1"/>
  <c r="X436" i="6"/>
  <c r="AB436" i="6" s="1"/>
  <c r="X437" i="6"/>
  <c r="AB437" i="6" s="1"/>
  <c r="X438" i="6"/>
  <c r="AB438" i="6" s="1"/>
  <c r="X439" i="6"/>
  <c r="AB439" i="6" s="1"/>
  <c r="X440" i="6"/>
  <c r="AB440" i="6" s="1"/>
  <c r="X441" i="6"/>
  <c r="AB441" i="6" s="1"/>
  <c r="X442" i="6"/>
  <c r="AB442" i="6" s="1"/>
  <c r="X443" i="6"/>
  <c r="AB443" i="6" s="1"/>
  <c r="X444" i="6"/>
  <c r="AB444" i="6" s="1"/>
  <c r="X445" i="6"/>
  <c r="AB445" i="6" s="1"/>
  <c r="X446" i="6"/>
  <c r="AB446" i="6" s="1"/>
  <c r="X447" i="6"/>
  <c r="AB447" i="6" s="1"/>
  <c r="X448" i="6"/>
  <c r="AB448" i="6" s="1"/>
  <c r="X449" i="6"/>
  <c r="AB449" i="6" s="1"/>
  <c r="X450" i="6"/>
  <c r="AB450" i="6" s="1"/>
  <c r="X451" i="6"/>
  <c r="AB451" i="6" s="1"/>
  <c r="X452" i="6"/>
  <c r="AB452" i="6" s="1"/>
  <c r="X453" i="6"/>
  <c r="AB453" i="6" s="1"/>
  <c r="X454" i="6"/>
  <c r="AB454" i="6" s="1"/>
  <c r="X455" i="6"/>
  <c r="AB455" i="6" s="1"/>
  <c r="X456" i="6"/>
  <c r="AB456" i="6" s="1"/>
  <c r="X457" i="6"/>
  <c r="AB457" i="6" s="1"/>
  <c r="X458" i="6"/>
  <c r="AB458" i="6" s="1"/>
  <c r="X459" i="6"/>
  <c r="AB459" i="6" s="1"/>
  <c r="X460" i="6"/>
  <c r="AB460" i="6" s="1"/>
  <c r="X461" i="6"/>
  <c r="AB461" i="6" s="1"/>
  <c r="X462" i="6"/>
  <c r="AB462" i="6" s="1"/>
  <c r="X463" i="6"/>
  <c r="AB463" i="6" s="1"/>
  <c r="X464" i="6"/>
  <c r="AB464" i="6" s="1"/>
  <c r="X465" i="6"/>
  <c r="AB465" i="6" s="1"/>
  <c r="X466" i="6"/>
  <c r="AB466" i="6" s="1"/>
  <c r="X467" i="6"/>
  <c r="AB467" i="6" s="1"/>
  <c r="X468" i="6"/>
  <c r="AB468" i="6" s="1"/>
  <c r="X469" i="6"/>
  <c r="AB469" i="6" s="1"/>
  <c r="X470" i="6"/>
  <c r="AB470" i="6" s="1"/>
  <c r="X471" i="6"/>
  <c r="AB471" i="6" s="1"/>
  <c r="X472" i="6"/>
  <c r="AB472" i="6" s="1"/>
  <c r="X473" i="6"/>
  <c r="AB473" i="6" s="1"/>
  <c r="X474" i="6"/>
  <c r="AB474" i="6" s="1"/>
  <c r="X475" i="6"/>
  <c r="AB475" i="6" s="1"/>
  <c r="X478" i="6"/>
  <c r="AB478" i="6" s="1"/>
  <c r="X479" i="6"/>
  <c r="AB479" i="6" s="1"/>
  <c r="X480" i="6"/>
  <c r="AB480" i="6" s="1"/>
  <c r="X481" i="6"/>
  <c r="AB481" i="6" s="1"/>
  <c r="X482" i="6"/>
  <c r="AB482" i="6" s="1"/>
  <c r="X483" i="6"/>
  <c r="AB483" i="6" s="1"/>
  <c r="X484" i="6"/>
  <c r="AB484" i="6" s="1"/>
  <c r="X485" i="6"/>
  <c r="AB485" i="6" s="1"/>
  <c r="X486" i="6"/>
  <c r="AB486" i="6" s="1"/>
  <c r="X487" i="6"/>
  <c r="AB487" i="6" s="1"/>
  <c r="X489" i="6"/>
  <c r="AB489" i="6" s="1"/>
  <c r="X490" i="6"/>
  <c r="X491" i="6"/>
  <c r="AB491" i="6" s="1"/>
  <c r="X492" i="6"/>
  <c r="AB492" i="6" s="1"/>
  <c r="X493" i="6"/>
  <c r="AB493" i="6" s="1"/>
  <c r="X494" i="6"/>
  <c r="AB494" i="6" s="1"/>
  <c r="X495" i="6"/>
  <c r="AB495" i="6" s="1"/>
  <c r="X496" i="6"/>
  <c r="AB496" i="6" s="1"/>
  <c r="X497" i="6"/>
  <c r="AB497" i="6" s="1"/>
  <c r="X498" i="6"/>
  <c r="X499" i="6"/>
  <c r="AB499" i="6" s="1"/>
  <c r="X500" i="6"/>
  <c r="AB500" i="6" s="1"/>
  <c r="X501" i="6"/>
  <c r="AB501" i="6" s="1"/>
  <c r="X502" i="6"/>
  <c r="AB502" i="6" s="1"/>
  <c r="X503" i="6"/>
  <c r="AB503" i="6" s="1"/>
  <c r="X504" i="6"/>
  <c r="AB504" i="6" s="1"/>
  <c r="X505" i="6"/>
  <c r="AB505" i="6" s="1"/>
  <c r="X506" i="6"/>
  <c r="X507" i="6"/>
  <c r="AB507" i="6" s="1"/>
  <c r="X508" i="6"/>
  <c r="AB508" i="6" s="1"/>
  <c r="X509" i="6"/>
  <c r="AB509" i="6" s="1"/>
  <c r="X510" i="6"/>
  <c r="AB510" i="6" s="1"/>
  <c r="X511" i="6"/>
  <c r="AB511" i="6" s="1"/>
  <c r="X512" i="6"/>
  <c r="AB512" i="6" s="1"/>
  <c r="X513" i="6"/>
  <c r="AB513" i="6" s="1"/>
  <c r="X514" i="6"/>
  <c r="X515" i="6"/>
  <c r="AB515" i="6" s="1"/>
  <c r="X516" i="6"/>
  <c r="AB516" i="6" s="1"/>
  <c r="X517" i="6"/>
  <c r="AB517" i="6" s="1"/>
  <c r="X518" i="6"/>
  <c r="AB518" i="6" s="1"/>
  <c r="X519" i="6"/>
  <c r="AB519" i="6" s="1"/>
  <c r="X520" i="6"/>
  <c r="AB520" i="6" s="1"/>
  <c r="X521" i="6"/>
  <c r="AB521" i="6" s="1"/>
  <c r="X522" i="6"/>
  <c r="X523" i="6"/>
  <c r="AB523" i="6" s="1"/>
  <c r="X524" i="6"/>
  <c r="AB524" i="6" s="1"/>
  <c r="X525" i="6"/>
  <c r="AB525" i="6" s="1"/>
  <c r="X526" i="6"/>
  <c r="AB526" i="6" s="1"/>
  <c r="X527" i="6"/>
  <c r="AB527" i="6" s="1"/>
  <c r="X528" i="6"/>
  <c r="AB528" i="6" s="1"/>
  <c r="X529" i="6"/>
  <c r="AB529" i="6" s="1"/>
  <c r="X530" i="6"/>
  <c r="AB530" i="6" s="1"/>
  <c r="X531" i="6"/>
  <c r="AB531" i="6" s="1"/>
  <c r="X532" i="6"/>
  <c r="AB532" i="6" s="1"/>
  <c r="X533" i="6"/>
  <c r="AB533" i="6" s="1"/>
  <c r="X534" i="6"/>
  <c r="AB534" i="6" s="1"/>
  <c r="X535" i="6"/>
  <c r="AB535" i="6" s="1"/>
  <c r="X536" i="6"/>
  <c r="AB536" i="6" s="1"/>
  <c r="X537" i="6"/>
  <c r="AB537" i="6" s="1"/>
  <c r="X538" i="6"/>
  <c r="X539" i="6"/>
  <c r="AB539" i="6" s="1"/>
  <c r="X540" i="6"/>
  <c r="AB540" i="6" s="1"/>
  <c r="X541" i="6"/>
  <c r="AB541" i="6" s="1"/>
  <c r="X542" i="6"/>
  <c r="AB542" i="6" s="1"/>
  <c r="X543" i="6"/>
  <c r="AB543" i="6" s="1"/>
  <c r="X544" i="6"/>
  <c r="AB544" i="6" s="1"/>
  <c r="X545" i="6"/>
  <c r="AB545" i="6" s="1"/>
  <c r="X546" i="6"/>
  <c r="X547" i="6"/>
  <c r="AB547" i="6" s="1"/>
  <c r="X548" i="6"/>
  <c r="AB548" i="6" s="1"/>
  <c r="X549" i="6"/>
  <c r="AB549" i="6" s="1"/>
  <c r="X550" i="6"/>
  <c r="AB550" i="6" s="1"/>
  <c r="X551" i="6"/>
  <c r="AB551" i="6" s="1"/>
  <c r="X552" i="6"/>
  <c r="AB552" i="6" s="1"/>
  <c r="X553" i="6"/>
  <c r="AB553" i="6" s="1"/>
  <c r="X554" i="6"/>
  <c r="X555" i="6"/>
  <c r="AB555" i="6" s="1"/>
  <c r="X556" i="6"/>
  <c r="AB556" i="6" s="1"/>
  <c r="X557" i="6"/>
  <c r="AB557" i="6" s="1"/>
  <c r="X558" i="6"/>
  <c r="AB558" i="6" s="1"/>
  <c r="X559" i="6"/>
  <c r="AB559" i="6" s="1"/>
  <c r="X560" i="6"/>
  <c r="AB560" i="6" s="1"/>
  <c r="X561" i="6"/>
  <c r="AB561" i="6" s="1"/>
  <c r="X562" i="6"/>
  <c r="X563" i="6"/>
  <c r="AB563" i="6" s="1"/>
  <c r="X564" i="6"/>
  <c r="AB564" i="6" s="1"/>
  <c r="X565" i="6"/>
  <c r="AB565" i="6" s="1"/>
  <c r="X566" i="6"/>
  <c r="AB566" i="6" s="1"/>
  <c r="X567" i="6"/>
  <c r="AB567" i="6" s="1"/>
  <c r="X568" i="6"/>
  <c r="AB568" i="6" s="1"/>
  <c r="X569" i="6"/>
  <c r="AB569" i="6" s="1"/>
  <c r="X570" i="6"/>
  <c r="X571" i="6"/>
  <c r="AB571" i="6" s="1"/>
  <c r="X572" i="6"/>
  <c r="AB572" i="6" s="1"/>
  <c r="X573" i="6"/>
  <c r="AB573" i="6" s="1"/>
  <c r="X574" i="6"/>
  <c r="AB574" i="6" s="1"/>
  <c r="X575" i="6"/>
  <c r="AB575" i="6" s="1"/>
  <c r="X576" i="6"/>
  <c r="AB576" i="6" s="1"/>
  <c r="X577" i="6"/>
  <c r="AB577" i="6" s="1"/>
  <c r="X578" i="6"/>
  <c r="AB578" i="6" s="1"/>
  <c r="X579" i="6"/>
  <c r="AB579" i="6" s="1"/>
  <c r="X580" i="6"/>
  <c r="AB580" i="6" s="1"/>
  <c r="X581" i="6"/>
  <c r="AB581" i="6" s="1"/>
  <c r="X582" i="6"/>
  <c r="AB582" i="6" s="1"/>
  <c r="X583" i="6"/>
  <c r="AB583" i="6" s="1"/>
  <c r="X584" i="6"/>
  <c r="AB584" i="6" s="1"/>
  <c r="X585" i="6"/>
  <c r="AB585" i="6" s="1"/>
  <c r="X586" i="6"/>
  <c r="X587" i="6"/>
  <c r="AB587" i="6" s="1"/>
  <c r="X588" i="6"/>
  <c r="AB588" i="6" s="1"/>
  <c r="X589" i="6"/>
  <c r="AB589" i="6" s="1"/>
  <c r="X590" i="6"/>
  <c r="AB590" i="6" s="1"/>
  <c r="X591" i="6"/>
  <c r="AB591" i="6" s="1"/>
  <c r="X592" i="6"/>
  <c r="AB592" i="6" s="1"/>
  <c r="X593" i="6"/>
  <c r="AB593" i="6" s="1"/>
  <c r="X594" i="6"/>
  <c r="AB594" i="6" s="1"/>
  <c r="X595" i="6"/>
  <c r="AB595" i="6" s="1"/>
  <c r="X596" i="6"/>
  <c r="AB596" i="6" s="1"/>
  <c r="X597" i="6"/>
  <c r="AB597" i="6" s="1"/>
  <c r="X598" i="6"/>
  <c r="AB598" i="6" s="1"/>
  <c r="X599" i="6"/>
  <c r="AB599" i="6" s="1"/>
  <c r="X601" i="6"/>
  <c r="AB601" i="6" s="1"/>
  <c r="X602" i="6"/>
  <c r="AB602" i="6" s="1"/>
  <c r="X603" i="6"/>
  <c r="X604" i="6"/>
  <c r="AB604" i="6" s="1"/>
  <c r="X605" i="6"/>
  <c r="AB605" i="6" s="1"/>
  <c r="X606" i="6"/>
  <c r="AB606" i="6" s="1"/>
  <c r="X607" i="6"/>
  <c r="AB607" i="6" s="1"/>
  <c r="X608" i="6"/>
  <c r="AB608" i="6" s="1"/>
  <c r="X609" i="6"/>
  <c r="AB609" i="6" s="1"/>
  <c r="X610" i="6"/>
  <c r="AB610" i="6" s="1"/>
  <c r="X611" i="6"/>
  <c r="AB611" i="6" s="1"/>
  <c r="X612" i="6"/>
  <c r="AB612" i="6" s="1"/>
  <c r="X613" i="6"/>
  <c r="AB613" i="6" s="1"/>
  <c r="X614" i="6"/>
  <c r="AB614" i="6" s="1"/>
  <c r="X615" i="6"/>
  <c r="AB615" i="6" s="1"/>
  <c r="X616" i="6"/>
  <c r="AB616" i="6" s="1"/>
  <c r="X617" i="6"/>
  <c r="AB617" i="6" s="1"/>
  <c r="X618" i="6"/>
  <c r="AB618" i="6" s="1"/>
  <c r="X619" i="6"/>
  <c r="AB619" i="6" s="1"/>
  <c r="X620" i="6"/>
  <c r="AB620" i="6" s="1"/>
  <c r="X621" i="6"/>
  <c r="AB621" i="6" s="1"/>
  <c r="Y17" i="6"/>
  <c r="AC17" i="6" s="1"/>
  <c r="Y18" i="6"/>
  <c r="AC18" i="6" s="1"/>
  <c r="Y19" i="6"/>
  <c r="AC19" i="6" s="1"/>
  <c r="Y20" i="6"/>
  <c r="AC20" i="6" s="1"/>
  <c r="Y21" i="6"/>
  <c r="AC21" i="6" s="1"/>
  <c r="Y22" i="6"/>
  <c r="AC22" i="6" s="1"/>
  <c r="Y23" i="6"/>
  <c r="AC23" i="6" s="1"/>
  <c r="Y24" i="6"/>
  <c r="AC24" i="6" s="1"/>
  <c r="Y25" i="6"/>
  <c r="AC25" i="6" s="1"/>
  <c r="Y26" i="6"/>
  <c r="AC26" i="6" s="1"/>
  <c r="Y27" i="6"/>
  <c r="AC27" i="6" s="1"/>
  <c r="Y28" i="6"/>
  <c r="AC28" i="6" s="1"/>
  <c r="Y29" i="6"/>
  <c r="AC29" i="6" s="1"/>
  <c r="Y30" i="6"/>
  <c r="AC30" i="6" s="1"/>
  <c r="Y31" i="6"/>
  <c r="AC31" i="6" s="1"/>
  <c r="Y32" i="6"/>
  <c r="AC32" i="6" s="1"/>
  <c r="Y33" i="6"/>
  <c r="AC33" i="6" s="1"/>
  <c r="Y34" i="6"/>
  <c r="AC34" i="6" s="1"/>
  <c r="Y35" i="6"/>
  <c r="AC35" i="6" s="1"/>
  <c r="Y36" i="6"/>
  <c r="AC36" i="6" s="1"/>
  <c r="Y37" i="6"/>
  <c r="AC37" i="6" s="1"/>
  <c r="Y38" i="6"/>
  <c r="AC38" i="6" s="1"/>
  <c r="Y39" i="6"/>
  <c r="AC39" i="6" s="1"/>
  <c r="Y40" i="6"/>
  <c r="AC40" i="6" s="1"/>
  <c r="Y41" i="6"/>
  <c r="AC41" i="6" s="1"/>
  <c r="Y42" i="6"/>
  <c r="AC42" i="6" s="1"/>
  <c r="Y43" i="6"/>
  <c r="AC43" i="6" s="1"/>
  <c r="Y44" i="6"/>
  <c r="AC44" i="6" s="1"/>
  <c r="Y45" i="6"/>
  <c r="AC45" i="6" s="1"/>
  <c r="Y46" i="6"/>
  <c r="AC46" i="6" s="1"/>
  <c r="Y47" i="6"/>
  <c r="AC47" i="6" s="1"/>
  <c r="Y48" i="6"/>
  <c r="AC48" i="6" s="1"/>
  <c r="Y49" i="6"/>
  <c r="AC49" i="6" s="1"/>
  <c r="Y50" i="6"/>
  <c r="AC50" i="6" s="1"/>
  <c r="Y51" i="6"/>
  <c r="AC51" i="6" s="1"/>
  <c r="Y52" i="6"/>
  <c r="AC52" i="6" s="1"/>
  <c r="Y53" i="6"/>
  <c r="AC53" i="6" s="1"/>
  <c r="Y54" i="6"/>
  <c r="AC54" i="6" s="1"/>
  <c r="Y56" i="6"/>
  <c r="AC56" i="6" s="1"/>
  <c r="Y57" i="6"/>
  <c r="AC57" i="6" s="1"/>
  <c r="Y58" i="6"/>
  <c r="AC58" i="6" s="1"/>
  <c r="Y59" i="6"/>
  <c r="AC59" i="6" s="1"/>
  <c r="Y60" i="6"/>
  <c r="AC60" i="6" s="1"/>
  <c r="Y61" i="6"/>
  <c r="AC61" i="6" s="1"/>
  <c r="Y62" i="6"/>
  <c r="AC62" i="6" s="1"/>
  <c r="Y63" i="6"/>
  <c r="AC63" i="6" s="1"/>
  <c r="Y64" i="6"/>
  <c r="AC64" i="6" s="1"/>
  <c r="Y65" i="6"/>
  <c r="AC65" i="6" s="1"/>
  <c r="Y66" i="6"/>
  <c r="AC66" i="6" s="1"/>
  <c r="Y67" i="6"/>
  <c r="AC67" i="6" s="1"/>
  <c r="Y68" i="6"/>
  <c r="AC68" i="6" s="1"/>
  <c r="Y69" i="6"/>
  <c r="AC69" i="6" s="1"/>
  <c r="Y70" i="6"/>
  <c r="AC70" i="6" s="1"/>
  <c r="Y71" i="6"/>
  <c r="AC71" i="6" s="1"/>
  <c r="Y72" i="6"/>
  <c r="AC72" i="6" s="1"/>
  <c r="Y73" i="6"/>
  <c r="AC73" i="6" s="1"/>
  <c r="Y74" i="6"/>
  <c r="AC74" i="6" s="1"/>
  <c r="Y75" i="6"/>
  <c r="AC75" i="6" s="1"/>
  <c r="Y76" i="6"/>
  <c r="AC76" i="6" s="1"/>
  <c r="Y77" i="6"/>
  <c r="AC77" i="6" s="1"/>
  <c r="Y78" i="6"/>
  <c r="AC78" i="6" s="1"/>
  <c r="Y79" i="6"/>
  <c r="AC79" i="6" s="1"/>
  <c r="Y80" i="6"/>
  <c r="AC80" i="6" s="1"/>
  <c r="Y81" i="6"/>
  <c r="AC81" i="6" s="1"/>
  <c r="Y82" i="6"/>
  <c r="AC82" i="6" s="1"/>
  <c r="Y83" i="6"/>
  <c r="AC83" i="6" s="1"/>
  <c r="Y84" i="6"/>
  <c r="AC84" i="6" s="1"/>
  <c r="Y85" i="6"/>
  <c r="AC85" i="6" s="1"/>
  <c r="Y86" i="6"/>
  <c r="AC86" i="6" s="1"/>
  <c r="Y87" i="6"/>
  <c r="AC87" i="6" s="1"/>
  <c r="Y88" i="6"/>
  <c r="AC88" i="6" s="1"/>
  <c r="Y89" i="6"/>
  <c r="AC89" i="6" s="1"/>
  <c r="Y90" i="6"/>
  <c r="AC90" i="6" s="1"/>
  <c r="Y91" i="6"/>
  <c r="AC91" i="6" s="1"/>
  <c r="Y92" i="6"/>
  <c r="AC92" i="6" s="1"/>
  <c r="Y93" i="6"/>
  <c r="AC93" i="6" s="1"/>
  <c r="Y94" i="6"/>
  <c r="AC94" i="6" s="1"/>
  <c r="Y95" i="6"/>
  <c r="Y96" i="6"/>
  <c r="AC96" i="6" s="1"/>
  <c r="Y97" i="6"/>
  <c r="AC97" i="6" s="1"/>
  <c r="Y98" i="6"/>
  <c r="AC98" i="6" s="1"/>
  <c r="Y99" i="6"/>
  <c r="AC99" i="6" s="1"/>
  <c r="Y100" i="6"/>
  <c r="AC100" i="6" s="1"/>
  <c r="Y101" i="6"/>
  <c r="AC101" i="6" s="1"/>
  <c r="Y102" i="6"/>
  <c r="AC102" i="6" s="1"/>
  <c r="Y103" i="6"/>
  <c r="AC103" i="6" s="1"/>
  <c r="Y104" i="6"/>
  <c r="AC104" i="6" s="1"/>
  <c r="Y105" i="6"/>
  <c r="AC105" i="6" s="1"/>
  <c r="Y106" i="6"/>
  <c r="AC106" i="6" s="1"/>
  <c r="Y107" i="6"/>
  <c r="Y108" i="6"/>
  <c r="AC108" i="6" s="1"/>
  <c r="Y109" i="6"/>
  <c r="AC109" i="6" s="1"/>
  <c r="Y110" i="6"/>
  <c r="AC110" i="6" s="1"/>
  <c r="Y111" i="6"/>
  <c r="Y112" i="6"/>
  <c r="AC112" i="6" s="1"/>
  <c r="Y113" i="6"/>
  <c r="AC113" i="6" s="1"/>
  <c r="Y114" i="6"/>
  <c r="AC114" i="6" s="1"/>
  <c r="Y115" i="6"/>
  <c r="AC115" i="6" s="1"/>
  <c r="Y116" i="6"/>
  <c r="AC116" i="6" s="1"/>
  <c r="Y117" i="6"/>
  <c r="AC117" i="6" s="1"/>
  <c r="Y118" i="6"/>
  <c r="AC118" i="6" s="1"/>
  <c r="Y119" i="6"/>
  <c r="AC119" i="6" s="1"/>
  <c r="Y120" i="6"/>
  <c r="AC120" i="6" s="1"/>
  <c r="Y121" i="6"/>
  <c r="AC121" i="6" s="1"/>
  <c r="Y122" i="6"/>
  <c r="AC122" i="6" s="1"/>
  <c r="Y123" i="6"/>
  <c r="AC123" i="6" s="1"/>
  <c r="Y124" i="6"/>
  <c r="AC124" i="6" s="1"/>
  <c r="Y125" i="6"/>
  <c r="AC125" i="6" s="1"/>
  <c r="Y126" i="6"/>
  <c r="AC126" i="6" s="1"/>
  <c r="Y127" i="6"/>
  <c r="AC127" i="6" s="1"/>
  <c r="Y128" i="6"/>
  <c r="AC128" i="6" s="1"/>
  <c r="Y129" i="6"/>
  <c r="AC129" i="6" s="1"/>
  <c r="Y130" i="6"/>
  <c r="AC130" i="6" s="1"/>
  <c r="Y131" i="6"/>
  <c r="AC131" i="6" s="1"/>
  <c r="Y132" i="6"/>
  <c r="AC132" i="6" s="1"/>
  <c r="Y133" i="6"/>
  <c r="AC133" i="6" s="1"/>
  <c r="Y134" i="6"/>
  <c r="AC134" i="6" s="1"/>
  <c r="Y135" i="6"/>
  <c r="AC135" i="6" s="1"/>
  <c r="Y136" i="6"/>
  <c r="AC136" i="6" s="1"/>
  <c r="Y137" i="6"/>
  <c r="AC137" i="6" s="1"/>
  <c r="Y138" i="6"/>
  <c r="AC138" i="6" s="1"/>
  <c r="Y139" i="6"/>
  <c r="AC139" i="6" s="1"/>
  <c r="Y140" i="6"/>
  <c r="AC140" i="6" s="1"/>
  <c r="Y141" i="6"/>
  <c r="AC141" i="6" s="1"/>
  <c r="Y144" i="6"/>
  <c r="AC144" i="6" s="1"/>
  <c r="Y145" i="6"/>
  <c r="Y146" i="6"/>
  <c r="AC146" i="6" s="1"/>
  <c r="Y147" i="6"/>
  <c r="AC147" i="6" s="1"/>
  <c r="Y148" i="6"/>
  <c r="AC148" i="6" s="1"/>
  <c r="Y149" i="6"/>
  <c r="AC149" i="6" s="1"/>
  <c r="Y150" i="6"/>
  <c r="AC150" i="6" s="1"/>
  <c r="Y151" i="6"/>
  <c r="AC151" i="6" s="1"/>
  <c r="Y152" i="6"/>
  <c r="AC152" i="6" s="1"/>
  <c r="Y153" i="6"/>
  <c r="AC153" i="6" s="1"/>
  <c r="Y154" i="6"/>
  <c r="AC154" i="6" s="1"/>
  <c r="Y155" i="6"/>
  <c r="AC155" i="6" s="1"/>
  <c r="Y156" i="6"/>
  <c r="AC156" i="6" s="1"/>
  <c r="Y157" i="6"/>
  <c r="AC157" i="6" s="1"/>
  <c r="Y158" i="6"/>
  <c r="AC158" i="6" s="1"/>
  <c r="Y159" i="6"/>
  <c r="AC159" i="6" s="1"/>
  <c r="Y160" i="6"/>
  <c r="AC160" i="6" s="1"/>
  <c r="Y161" i="6"/>
  <c r="Y162" i="6"/>
  <c r="AC162" i="6" s="1"/>
  <c r="Y163" i="6"/>
  <c r="AC163" i="6" s="1"/>
  <c r="Y164" i="6"/>
  <c r="AC164" i="6" s="1"/>
  <c r="Y165" i="6"/>
  <c r="AC165" i="6" s="1"/>
  <c r="Y166" i="6"/>
  <c r="AC166" i="6" s="1"/>
  <c r="Y167" i="6"/>
  <c r="AC167" i="6" s="1"/>
  <c r="Y168" i="6"/>
  <c r="AC168" i="6" s="1"/>
  <c r="Y169" i="6"/>
  <c r="Y170" i="6"/>
  <c r="AC170" i="6" s="1"/>
  <c r="Y171" i="6"/>
  <c r="AC171" i="6" s="1"/>
  <c r="Y172" i="6"/>
  <c r="AC172" i="6" s="1"/>
  <c r="Y173" i="6"/>
  <c r="AC173" i="6" s="1"/>
  <c r="Y174" i="6"/>
  <c r="AC174" i="6" s="1"/>
  <c r="Y175" i="6"/>
  <c r="AC175" i="6" s="1"/>
  <c r="Y176" i="6"/>
  <c r="AC176" i="6" s="1"/>
  <c r="Y177" i="6"/>
  <c r="Y178" i="6"/>
  <c r="AC178" i="6" s="1"/>
  <c r="Y179" i="6"/>
  <c r="AC179" i="6" s="1"/>
  <c r="Y180" i="6"/>
  <c r="AC180" i="6" s="1"/>
  <c r="Y181" i="6"/>
  <c r="AC181" i="6" s="1"/>
  <c r="Y182" i="6"/>
  <c r="AC182" i="6" s="1"/>
  <c r="Y183" i="6"/>
  <c r="AC183" i="6" s="1"/>
  <c r="Y184" i="6"/>
  <c r="AC184" i="6" s="1"/>
  <c r="Y185" i="6"/>
  <c r="AC185" i="6" s="1"/>
  <c r="Y186" i="6"/>
  <c r="AC186" i="6" s="1"/>
  <c r="Y187" i="6"/>
  <c r="AC187" i="6" s="1"/>
  <c r="Y188" i="6"/>
  <c r="AC188" i="6" s="1"/>
  <c r="Y189" i="6"/>
  <c r="AC189" i="6" s="1"/>
  <c r="Y190" i="6"/>
  <c r="AC190" i="6" s="1"/>
  <c r="Y191" i="6"/>
  <c r="AC191" i="6" s="1"/>
  <c r="Y192" i="6"/>
  <c r="AC192" i="6" s="1"/>
  <c r="Y193" i="6"/>
  <c r="AC193" i="6" s="1"/>
  <c r="Y194" i="6"/>
  <c r="AC194" i="6" s="1"/>
  <c r="Y195" i="6"/>
  <c r="AC195" i="6" s="1"/>
  <c r="Y196" i="6"/>
  <c r="AC196" i="6" s="1"/>
  <c r="Y197" i="6"/>
  <c r="AC197" i="6" s="1"/>
  <c r="Y198" i="6"/>
  <c r="AC198" i="6" s="1"/>
  <c r="Y199" i="6"/>
  <c r="AC199" i="6" s="1"/>
  <c r="Y200" i="6"/>
  <c r="AC200" i="6" s="1"/>
  <c r="Y201" i="6"/>
  <c r="AC201" i="6" s="1"/>
  <c r="Y202" i="6"/>
  <c r="AC202" i="6" s="1"/>
  <c r="Y203" i="6"/>
  <c r="AC203" i="6" s="1"/>
  <c r="Y204" i="6"/>
  <c r="AC204" i="6" s="1"/>
  <c r="Y205" i="6"/>
  <c r="AC205" i="6" s="1"/>
  <c r="Y206" i="6"/>
  <c r="AC206" i="6" s="1"/>
  <c r="Y207" i="6"/>
  <c r="AC207" i="6" s="1"/>
  <c r="Y208" i="6"/>
  <c r="AC208" i="6" s="1"/>
  <c r="Y209" i="6"/>
  <c r="Y210" i="6"/>
  <c r="AC210" i="6" s="1"/>
  <c r="Y211" i="6"/>
  <c r="AC211" i="6" s="1"/>
  <c r="Y212" i="6"/>
  <c r="AC212" i="6" s="1"/>
  <c r="Y213" i="6"/>
  <c r="AC213" i="6" s="1"/>
  <c r="Y214" i="6"/>
  <c r="AC214" i="6" s="1"/>
  <c r="Y215" i="6"/>
  <c r="AC215" i="6" s="1"/>
  <c r="Y216" i="6"/>
  <c r="AC216" i="6" s="1"/>
  <c r="Y217" i="6"/>
  <c r="AC217" i="6" s="1"/>
  <c r="Y218" i="6"/>
  <c r="AC218" i="6" s="1"/>
  <c r="Y219" i="6"/>
  <c r="AC219" i="6" s="1"/>
  <c r="Y220" i="6"/>
  <c r="AC220" i="6" s="1"/>
  <c r="Y221" i="6"/>
  <c r="AC221" i="6" s="1"/>
  <c r="Y222" i="6"/>
  <c r="AC222" i="6" s="1"/>
  <c r="Y223" i="6"/>
  <c r="AC223" i="6" s="1"/>
  <c r="Y225" i="6"/>
  <c r="AC225" i="6" s="1"/>
  <c r="Y226" i="6"/>
  <c r="AC226" i="6" s="1"/>
  <c r="Y227" i="6"/>
  <c r="AC227" i="6" s="1"/>
  <c r="Y228" i="6"/>
  <c r="AC228" i="6" s="1"/>
  <c r="Y229" i="6"/>
  <c r="AC229" i="6" s="1"/>
  <c r="Y230" i="6"/>
  <c r="AC230" i="6" s="1"/>
  <c r="Y231" i="6"/>
  <c r="AC231" i="6" s="1"/>
  <c r="Y232" i="6"/>
  <c r="AC232" i="6" s="1"/>
  <c r="Y233" i="6"/>
  <c r="AC233" i="6" s="1"/>
  <c r="Y234" i="6"/>
  <c r="AC234" i="6" s="1"/>
  <c r="Y235" i="6"/>
  <c r="AC235" i="6" s="1"/>
  <c r="Y236" i="6"/>
  <c r="AC236" i="6" s="1"/>
  <c r="Y237" i="6"/>
  <c r="AC237" i="6" s="1"/>
  <c r="Y238" i="6"/>
  <c r="AC238" i="6" s="1"/>
  <c r="Y239" i="6"/>
  <c r="AC239" i="6" s="1"/>
  <c r="Y242" i="6"/>
  <c r="AC242" i="6" s="1"/>
  <c r="Y243" i="6"/>
  <c r="AC243" i="6" s="1"/>
  <c r="Y244" i="6"/>
  <c r="AC244" i="6" s="1"/>
  <c r="Y245" i="6"/>
  <c r="AC245" i="6" s="1"/>
  <c r="Y246" i="6"/>
  <c r="AC246" i="6" s="1"/>
  <c r="Y247" i="6"/>
  <c r="AC247" i="6" s="1"/>
  <c r="Y248" i="6"/>
  <c r="AC248" i="6" s="1"/>
  <c r="Y249" i="6"/>
  <c r="AC249" i="6" s="1"/>
  <c r="Y250" i="6"/>
  <c r="AC250" i="6" s="1"/>
  <c r="Y251" i="6"/>
  <c r="AC251" i="6" s="1"/>
  <c r="Y252" i="6"/>
  <c r="AC252" i="6" s="1"/>
  <c r="Y253" i="6"/>
  <c r="AC253" i="6" s="1"/>
  <c r="Y254" i="6"/>
  <c r="AC254" i="6" s="1"/>
  <c r="Y255" i="6"/>
  <c r="AC255" i="6" s="1"/>
  <c r="Y256" i="6"/>
  <c r="AC256" i="6" s="1"/>
  <c r="Y257" i="6"/>
  <c r="AC257" i="6" s="1"/>
  <c r="Y258" i="6"/>
  <c r="AC258" i="6" s="1"/>
  <c r="Y259" i="6"/>
  <c r="AC259" i="6" s="1"/>
  <c r="Y260" i="6"/>
  <c r="Y261" i="6"/>
  <c r="AC261" i="6" s="1"/>
  <c r="Y262" i="6"/>
  <c r="AC262" i="6" s="1"/>
  <c r="Y263" i="6"/>
  <c r="AC263" i="6" s="1"/>
  <c r="Y264" i="6"/>
  <c r="AC264" i="6" s="1"/>
  <c r="Y265" i="6"/>
  <c r="AC265" i="6" s="1"/>
  <c r="Y266" i="6"/>
  <c r="AC266" i="6" s="1"/>
  <c r="Y267" i="6"/>
  <c r="AC267" i="6" s="1"/>
  <c r="Y268" i="6"/>
  <c r="AC268" i="6" s="1"/>
  <c r="Y269" i="6"/>
  <c r="AC269" i="6" s="1"/>
  <c r="Y270" i="6"/>
  <c r="AC270" i="6" s="1"/>
  <c r="Y271" i="6"/>
  <c r="AC271" i="6" s="1"/>
  <c r="Y272" i="6"/>
  <c r="AC272" i="6" s="1"/>
  <c r="Y273" i="6"/>
  <c r="AC273" i="6" s="1"/>
  <c r="Y274" i="6"/>
  <c r="AC274" i="6" s="1"/>
  <c r="Y275" i="6"/>
  <c r="AC275" i="6" s="1"/>
  <c r="Y276" i="6"/>
  <c r="AC276" i="6" s="1"/>
  <c r="Y277" i="6"/>
  <c r="AC277" i="6" s="1"/>
  <c r="Y278" i="6"/>
  <c r="AC278" i="6" s="1"/>
  <c r="Y279" i="6"/>
  <c r="AC279" i="6" s="1"/>
  <c r="Y280" i="6"/>
  <c r="AC280" i="6" s="1"/>
  <c r="Y281" i="6"/>
  <c r="AC281" i="6" s="1"/>
  <c r="Y282" i="6"/>
  <c r="AC282" i="6" s="1"/>
  <c r="Y283" i="6"/>
  <c r="AC283" i="6" s="1"/>
  <c r="Y284" i="6"/>
  <c r="AC284" i="6" s="1"/>
  <c r="Y285" i="6"/>
  <c r="AC285" i="6" s="1"/>
  <c r="Y286" i="6"/>
  <c r="AC286" i="6" s="1"/>
  <c r="Y287" i="6"/>
  <c r="AC287" i="6" s="1"/>
  <c r="Y288" i="6"/>
  <c r="Y289" i="6"/>
  <c r="AC289" i="6" s="1"/>
  <c r="Y290" i="6"/>
  <c r="AC290" i="6" s="1"/>
  <c r="Y291" i="6"/>
  <c r="AC291" i="6" s="1"/>
  <c r="Y292" i="6"/>
  <c r="Y293" i="6"/>
  <c r="AC293" i="6" s="1"/>
  <c r="Y294" i="6"/>
  <c r="AC294" i="6" s="1"/>
  <c r="Y295" i="6"/>
  <c r="AC295" i="6" s="1"/>
  <c r="Y296" i="6"/>
  <c r="AC296" i="6" s="1"/>
  <c r="Y297" i="6"/>
  <c r="AC297" i="6" s="1"/>
  <c r="Y298" i="6"/>
  <c r="AC298" i="6" s="1"/>
  <c r="Y299" i="6"/>
  <c r="AC299" i="6" s="1"/>
  <c r="Y300" i="6"/>
  <c r="Y301" i="6"/>
  <c r="AC301" i="6" s="1"/>
  <c r="Y302" i="6"/>
  <c r="AC302" i="6" s="1"/>
  <c r="Y303" i="6"/>
  <c r="AC303" i="6" s="1"/>
  <c r="Y304" i="6"/>
  <c r="AC304" i="6" s="1"/>
  <c r="Y305" i="6"/>
  <c r="AC305" i="6" s="1"/>
  <c r="Y306" i="6"/>
  <c r="AC306" i="6" s="1"/>
  <c r="Y307" i="6"/>
  <c r="AC307" i="6" s="1"/>
  <c r="Y308" i="6"/>
  <c r="AC308" i="6" s="1"/>
  <c r="Y309" i="6"/>
  <c r="AC309" i="6" s="1"/>
  <c r="Y310" i="6"/>
  <c r="AC310" i="6" s="1"/>
  <c r="Y311" i="6"/>
  <c r="AC311" i="6" s="1"/>
  <c r="Y312" i="6"/>
  <c r="AC312" i="6" s="1"/>
  <c r="Y313" i="6"/>
  <c r="AC313" i="6" s="1"/>
  <c r="Y314" i="6"/>
  <c r="AC314" i="6" s="1"/>
  <c r="Y315" i="6"/>
  <c r="AC315" i="6" s="1"/>
  <c r="Y316" i="6"/>
  <c r="AC316" i="6" s="1"/>
  <c r="Y317" i="6"/>
  <c r="AC317" i="6" s="1"/>
  <c r="Y318" i="6"/>
  <c r="AC318" i="6" s="1"/>
  <c r="Y319" i="6"/>
  <c r="AC319" i="6" s="1"/>
  <c r="Y320" i="6"/>
  <c r="AC320" i="6" s="1"/>
  <c r="Y321" i="6"/>
  <c r="AC321" i="6" s="1"/>
  <c r="Y322" i="6"/>
  <c r="AC322" i="6" s="1"/>
  <c r="Y323" i="6"/>
  <c r="AC323" i="6" s="1"/>
  <c r="Y324" i="6"/>
  <c r="AC324" i="6" s="1"/>
  <c r="Y325" i="6"/>
  <c r="AC325" i="6" s="1"/>
  <c r="Y326" i="6"/>
  <c r="AC326" i="6" s="1"/>
  <c r="Y327" i="6"/>
  <c r="AC327" i="6" s="1"/>
  <c r="Y328" i="6"/>
  <c r="AC328" i="6" s="1"/>
  <c r="Y330" i="6"/>
  <c r="AC330" i="6" s="1"/>
  <c r="Y331" i="6"/>
  <c r="AC331" i="6" s="1"/>
  <c r="Y332" i="6"/>
  <c r="AC332" i="6" s="1"/>
  <c r="Y333" i="6"/>
  <c r="AC333" i="6" s="1"/>
  <c r="Y334" i="6"/>
  <c r="AC334" i="6" s="1"/>
  <c r="Y335" i="6"/>
  <c r="AC335" i="6" s="1"/>
  <c r="Y336" i="6"/>
  <c r="AC336" i="6" s="1"/>
  <c r="Y337" i="6"/>
  <c r="AC337" i="6" s="1"/>
  <c r="Y338" i="6"/>
  <c r="AC338" i="6" s="1"/>
  <c r="Y339" i="6"/>
  <c r="AC339" i="6" s="1"/>
  <c r="Y340" i="6"/>
  <c r="AC340" i="6" s="1"/>
  <c r="Y341" i="6"/>
  <c r="AC341" i="6" s="1"/>
  <c r="Y342" i="6"/>
  <c r="AC342" i="6" s="1"/>
  <c r="Y343" i="6"/>
  <c r="AC343" i="6" s="1"/>
  <c r="Y344" i="6"/>
  <c r="AC344" i="6" s="1"/>
  <c r="Y345" i="6"/>
  <c r="AC345" i="6" s="1"/>
  <c r="Y346" i="6"/>
  <c r="AC346" i="6" s="1"/>
  <c r="Y347" i="6"/>
  <c r="AC347" i="6" s="1"/>
  <c r="Y348" i="6"/>
  <c r="AC348" i="6" s="1"/>
  <c r="Y350" i="6"/>
  <c r="AC350" i="6" s="1"/>
  <c r="Y351" i="6"/>
  <c r="AC351" i="6" s="1"/>
  <c r="Y352" i="6"/>
  <c r="AC352" i="6" s="1"/>
  <c r="Y353" i="6"/>
  <c r="AC353" i="6" s="1"/>
  <c r="Y354" i="6"/>
  <c r="AC354" i="6" s="1"/>
  <c r="Y355" i="6"/>
  <c r="AC355" i="6" s="1"/>
  <c r="Y356" i="6"/>
  <c r="AC356" i="6" s="1"/>
  <c r="Y357" i="6"/>
  <c r="AC357" i="6" s="1"/>
  <c r="Y358" i="6"/>
  <c r="Y360" i="6"/>
  <c r="AC360" i="6" s="1"/>
  <c r="Y361" i="6"/>
  <c r="AC361" i="6" s="1"/>
  <c r="Y362" i="6"/>
  <c r="AC362" i="6" s="1"/>
  <c r="Y363" i="6"/>
  <c r="AC363" i="6" s="1"/>
  <c r="Y364" i="6"/>
  <c r="AC364" i="6" s="1"/>
  <c r="Y365" i="6"/>
  <c r="AC365" i="6" s="1"/>
  <c r="Y366" i="6"/>
  <c r="AC366" i="6" s="1"/>
  <c r="Y367" i="6"/>
  <c r="Y368" i="6"/>
  <c r="AC368" i="6" s="1"/>
  <c r="Y369" i="6"/>
  <c r="AC369" i="6" s="1"/>
  <c r="Y370" i="6"/>
  <c r="AC370" i="6" s="1"/>
  <c r="Y371" i="6"/>
  <c r="AC371" i="6" s="1"/>
  <c r="Y372" i="6"/>
  <c r="AC372" i="6" s="1"/>
  <c r="Y373" i="6"/>
  <c r="AC373" i="6" s="1"/>
  <c r="Y374" i="6"/>
  <c r="AC374" i="6" s="1"/>
  <c r="Y375" i="6"/>
  <c r="Y376" i="6"/>
  <c r="AC376" i="6" s="1"/>
  <c r="Y377" i="6"/>
  <c r="AC377" i="6" s="1"/>
  <c r="Y378" i="6"/>
  <c r="AC378" i="6" s="1"/>
  <c r="Y379" i="6"/>
  <c r="AC379" i="6" s="1"/>
  <c r="Y380" i="6"/>
  <c r="AC380" i="6" s="1"/>
  <c r="Y381" i="6"/>
  <c r="AC381" i="6" s="1"/>
  <c r="Y382" i="6"/>
  <c r="AC382" i="6" s="1"/>
  <c r="Y383" i="6"/>
  <c r="AC383" i="6" s="1"/>
  <c r="Y384" i="6"/>
  <c r="AC384" i="6" s="1"/>
  <c r="Y385" i="6"/>
  <c r="AC385" i="6" s="1"/>
  <c r="Y386" i="6"/>
  <c r="AC386" i="6" s="1"/>
  <c r="Y387" i="6"/>
  <c r="AC387" i="6" s="1"/>
  <c r="Y388" i="6"/>
  <c r="AC388" i="6" s="1"/>
  <c r="Y389" i="6"/>
  <c r="AC389" i="6" s="1"/>
  <c r="Y390" i="6"/>
  <c r="AC390" i="6" s="1"/>
  <c r="Y391" i="6"/>
  <c r="Y392" i="6"/>
  <c r="AC392" i="6" s="1"/>
  <c r="Y393" i="6"/>
  <c r="AC393" i="6" s="1"/>
  <c r="Y394" i="6"/>
  <c r="AC394" i="6" s="1"/>
  <c r="Y395" i="6"/>
  <c r="AC395" i="6" s="1"/>
  <c r="Y396" i="6"/>
  <c r="AC396" i="6" s="1"/>
  <c r="Y397" i="6"/>
  <c r="AC397" i="6" s="1"/>
  <c r="Y398" i="6"/>
  <c r="AC398" i="6" s="1"/>
  <c r="Y399" i="6"/>
  <c r="AC399" i="6" s="1"/>
  <c r="Y401" i="6"/>
  <c r="AC401" i="6" s="1"/>
  <c r="Y402" i="6"/>
  <c r="AC402" i="6" s="1"/>
  <c r="Y403" i="6"/>
  <c r="AC403" i="6" s="1"/>
  <c r="Y404" i="6"/>
  <c r="AC404" i="6" s="1"/>
  <c r="Y405" i="6"/>
  <c r="AC405" i="6" s="1"/>
  <c r="Y406" i="6"/>
  <c r="AC406" i="6" s="1"/>
  <c r="Y407" i="6"/>
  <c r="AC407" i="6" s="1"/>
  <c r="Y408" i="6"/>
  <c r="Y409" i="6"/>
  <c r="AC409" i="6" s="1"/>
  <c r="Y410" i="6"/>
  <c r="AC410" i="6" s="1"/>
  <c r="Y411" i="6"/>
  <c r="AC411" i="6" s="1"/>
  <c r="Y412" i="6"/>
  <c r="AC412" i="6" s="1"/>
  <c r="Y413" i="6"/>
  <c r="AC413" i="6" s="1"/>
  <c r="Y414" i="6"/>
  <c r="AC414" i="6" s="1"/>
  <c r="Y415" i="6"/>
  <c r="AC415" i="6" s="1"/>
  <c r="Y416" i="6"/>
  <c r="Y417" i="6"/>
  <c r="AC417" i="6" s="1"/>
  <c r="Y418" i="6"/>
  <c r="AC418" i="6" s="1"/>
  <c r="Y419" i="6"/>
  <c r="AC419" i="6" s="1"/>
  <c r="Y420" i="6"/>
  <c r="AC420" i="6" s="1"/>
  <c r="Y421" i="6"/>
  <c r="AC421" i="6" s="1"/>
  <c r="Y422" i="6"/>
  <c r="AC422" i="6" s="1"/>
  <c r="Y423" i="6"/>
  <c r="AC423" i="6" s="1"/>
  <c r="Y424" i="6"/>
  <c r="Y425" i="6"/>
  <c r="AC425" i="6" s="1"/>
  <c r="Y426" i="6"/>
  <c r="AC426" i="6" s="1"/>
  <c r="Y427" i="6"/>
  <c r="AC427" i="6" s="1"/>
  <c r="Y428" i="6"/>
  <c r="AC428" i="6" s="1"/>
  <c r="Y429" i="6"/>
  <c r="AC429" i="6" s="1"/>
  <c r="Y430" i="6"/>
  <c r="AC430" i="6" s="1"/>
  <c r="Y431" i="6"/>
  <c r="AC431" i="6" s="1"/>
  <c r="Y432" i="6"/>
  <c r="AC432" i="6" s="1"/>
  <c r="Y433" i="6"/>
  <c r="AC433" i="6" s="1"/>
  <c r="Y434" i="6"/>
  <c r="AC434" i="6" s="1"/>
  <c r="Y435" i="6"/>
  <c r="AC435" i="6" s="1"/>
  <c r="Y436" i="6"/>
  <c r="AC436" i="6" s="1"/>
  <c r="Y437" i="6"/>
  <c r="AC437" i="6" s="1"/>
  <c r="Y438" i="6"/>
  <c r="AC438" i="6" s="1"/>
  <c r="Y439" i="6"/>
  <c r="AC439" i="6" s="1"/>
  <c r="Y440" i="6"/>
  <c r="Y441" i="6"/>
  <c r="AC441" i="6" s="1"/>
  <c r="Y442" i="6"/>
  <c r="AC442" i="6" s="1"/>
  <c r="Y443" i="6"/>
  <c r="AC443" i="6" s="1"/>
  <c r="Y444" i="6"/>
  <c r="AC444" i="6" s="1"/>
  <c r="Y445" i="6"/>
  <c r="AC445" i="6" s="1"/>
  <c r="Y446" i="6"/>
  <c r="AC446" i="6" s="1"/>
  <c r="Y447" i="6"/>
  <c r="AC447" i="6" s="1"/>
  <c r="Y448" i="6"/>
  <c r="AC448" i="6" s="1"/>
  <c r="Y449" i="6"/>
  <c r="AC449" i="6" s="1"/>
  <c r="Y450" i="6"/>
  <c r="AC450" i="6" s="1"/>
  <c r="Y451" i="6"/>
  <c r="AC451" i="6" s="1"/>
  <c r="Y452" i="6"/>
  <c r="AC452" i="6" s="1"/>
  <c r="Y453" i="6"/>
  <c r="AC453" i="6" s="1"/>
  <c r="Y454" i="6"/>
  <c r="AC454" i="6" s="1"/>
  <c r="Y455" i="6"/>
  <c r="AC455" i="6" s="1"/>
  <c r="Y456" i="6"/>
  <c r="Y457" i="6"/>
  <c r="AC457" i="6" s="1"/>
  <c r="Y458" i="6"/>
  <c r="AC458" i="6" s="1"/>
  <c r="Y459" i="6"/>
  <c r="AC459" i="6" s="1"/>
  <c r="Y460" i="6"/>
  <c r="AC460" i="6" s="1"/>
  <c r="Y461" i="6"/>
  <c r="AC461" i="6" s="1"/>
  <c r="Y462" i="6"/>
  <c r="AC462" i="6" s="1"/>
  <c r="Y463" i="6"/>
  <c r="AC463" i="6" s="1"/>
  <c r="Y464" i="6"/>
  <c r="AC464" i="6" s="1"/>
  <c r="Y465" i="6"/>
  <c r="AC465" i="6" s="1"/>
  <c r="Y466" i="6"/>
  <c r="AC466" i="6" s="1"/>
  <c r="Y467" i="6"/>
  <c r="AC467" i="6" s="1"/>
  <c r="Y468" i="6"/>
  <c r="AC468" i="6" s="1"/>
  <c r="Y469" i="6"/>
  <c r="AC469" i="6" s="1"/>
  <c r="Y470" i="6"/>
  <c r="AC470" i="6" s="1"/>
  <c r="Y471" i="6"/>
  <c r="AC471" i="6" s="1"/>
  <c r="Y472" i="6"/>
  <c r="Y473" i="6"/>
  <c r="AC473" i="6" s="1"/>
  <c r="Y474" i="6"/>
  <c r="AC474" i="6" s="1"/>
  <c r="Y475" i="6"/>
  <c r="AC475" i="6" s="1"/>
  <c r="Y478" i="6"/>
  <c r="AC478" i="6" s="1"/>
  <c r="Y479" i="6"/>
  <c r="AC479" i="6" s="1"/>
  <c r="Y480" i="6"/>
  <c r="AC480" i="6" s="1"/>
  <c r="Y481" i="6"/>
  <c r="AC481" i="6" s="1"/>
  <c r="Y482" i="6"/>
  <c r="AC482" i="6" s="1"/>
  <c r="Y483" i="6"/>
  <c r="AC483" i="6" s="1"/>
  <c r="Y484" i="6"/>
  <c r="AC484" i="6" s="1"/>
  <c r="Y485" i="6"/>
  <c r="AC485" i="6" s="1"/>
  <c r="Y486" i="6"/>
  <c r="AC486" i="6" s="1"/>
  <c r="Y487" i="6"/>
  <c r="AC487" i="6" s="1"/>
  <c r="Y489" i="6"/>
  <c r="AC489" i="6" s="1"/>
  <c r="Y490" i="6"/>
  <c r="AC490" i="6" s="1"/>
  <c r="Y491" i="6"/>
  <c r="AC491" i="6" s="1"/>
  <c r="Y492" i="6"/>
  <c r="AC492" i="6" s="1"/>
  <c r="Y493" i="6"/>
  <c r="AC493" i="6" s="1"/>
  <c r="Y494" i="6"/>
  <c r="AC494" i="6" s="1"/>
  <c r="Y495" i="6"/>
  <c r="AC495" i="6" s="1"/>
  <c r="Y496" i="6"/>
  <c r="AC496" i="6" s="1"/>
  <c r="Y497" i="6"/>
  <c r="AC497" i="6" s="1"/>
  <c r="Y498" i="6"/>
  <c r="AC498" i="6" s="1"/>
  <c r="Y499" i="6"/>
  <c r="AC499" i="6" s="1"/>
  <c r="Y500" i="6"/>
  <c r="AC500" i="6" s="1"/>
  <c r="Y501" i="6"/>
  <c r="AC501" i="6" s="1"/>
  <c r="Y502" i="6"/>
  <c r="AC502" i="6" s="1"/>
  <c r="Y503" i="6"/>
  <c r="AC503" i="6" s="1"/>
  <c r="Y504" i="6"/>
  <c r="AC504" i="6" s="1"/>
  <c r="Y505" i="6"/>
  <c r="AC505" i="6" s="1"/>
  <c r="Y506" i="6"/>
  <c r="AC506" i="6" s="1"/>
  <c r="Y507" i="6"/>
  <c r="AC507" i="6" s="1"/>
  <c r="Y508" i="6"/>
  <c r="AC508" i="6" s="1"/>
  <c r="Y509" i="6"/>
  <c r="AC509" i="6" s="1"/>
  <c r="Y510" i="6"/>
  <c r="AC510" i="6" s="1"/>
  <c r="Y511" i="6"/>
  <c r="AC511" i="6" s="1"/>
  <c r="Y512" i="6"/>
  <c r="AC512" i="6" s="1"/>
  <c r="Y513" i="6"/>
  <c r="AC513" i="6" s="1"/>
  <c r="Y514" i="6"/>
  <c r="AC514" i="6" s="1"/>
  <c r="Y515" i="6"/>
  <c r="AC515" i="6" s="1"/>
  <c r="Y516" i="6"/>
  <c r="AC516" i="6" s="1"/>
  <c r="Y517" i="6"/>
  <c r="AC517" i="6" s="1"/>
  <c r="Y518" i="6"/>
  <c r="AC518" i="6" s="1"/>
  <c r="Y519" i="6"/>
  <c r="AC519" i="6" s="1"/>
  <c r="Y520" i="6"/>
  <c r="AC520" i="6" s="1"/>
  <c r="Y521" i="6"/>
  <c r="AC521" i="6" s="1"/>
  <c r="Y522" i="6"/>
  <c r="AC522" i="6" s="1"/>
  <c r="Y523" i="6"/>
  <c r="AC523" i="6" s="1"/>
  <c r="Y524" i="6"/>
  <c r="AC524" i="6" s="1"/>
  <c r="Y525" i="6"/>
  <c r="AC525" i="6" s="1"/>
  <c r="Y526" i="6"/>
  <c r="AC526" i="6" s="1"/>
  <c r="Y527" i="6"/>
  <c r="AC527" i="6" s="1"/>
  <c r="Y528" i="6"/>
  <c r="AC528" i="6" s="1"/>
  <c r="Y529" i="6"/>
  <c r="AC529" i="6" s="1"/>
  <c r="Y530" i="6"/>
  <c r="AC530" i="6" s="1"/>
  <c r="Y531" i="6"/>
  <c r="AC531" i="6" s="1"/>
  <c r="Y532" i="6"/>
  <c r="AC532" i="6" s="1"/>
  <c r="Y533" i="6"/>
  <c r="AC533" i="6" s="1"/>
  <c r="Y534" i="6"/>
  <c r="AC534" i="6" s="1"/>
  <c r="Y535" i="6"/>
  <c r="AC535" i="6" s="1"/>
  <c r="Y536" i="6"/>
  <c r="AC536" i="6" s="1"/>
  <c r="Y537" i="6"/>
  <c r="AC537" i="6" s="1"/>
  <c r="Y538" i="6"/>
  <c r="AC538" i="6" s="1"/>
  <c r="Y539" i="6"/>
  <c r="AC539" i="6" s="1"/>
  <c r="Y540" i="6"/>
  <c r="AC540" i="6" s="1"/>
  <c r="Y541" i="6"/>
  <c r="AC541" i="6" s="1"/>
  <c r="Y542" i="6"/>
  <c r="AC542" i="6" s="1"/>
  <c r="Y543" i="6"/>
  <c r="AC543" i="6" s="1"/>
  <c r="Y544" i="6"/>
  <c r="AC544" i="6" s="1"/>
  <c r="Y545" i="6"/>
  <c r="AC545" i="6" s="1"/>
  <c r="Y546" i="6"/>
  <c r="AC546" i="6" s="1"/>
  <c r="Y547" i="6"/>
  <c r="AC547" i="6" s="1"/>
  <c r="Y548" i="6"/>
  <c r="AC548" i="6" s="1"/>
  <c r="Y549" i="6"/>
  <c r="AC549" i="6" s="1"/>
  <c r="Y550" i="6"/>
  <c r="AC550" i="6" s="1"/>
  <c r="Y551" i="6"/>
  <c r="AC551" i="6" s="1"/>
  <c r="Y552" i="6"/>
  <c r="AC552" i="6" s="1"/>
  <c r="Y553" i="6"/>
  <c r="AC553" i="6" s="1"/>
  <c r="Y554" i="6"/>
  <c r="AC554" i="6" s="1"/>
  <c r="Y555" i="6"/>
  <c r="AC555" i="6" s="1"/>
  <c r="Y556" i="6"/>
  <c r="AC556" i="6" s="1"/>
  <c r="Y557" i="6"/>
  <c r="AC557" i="6" s="1"/>
  <c r="Y558" i="6"/>
  <c r="AC558" i="6" s="1"/>
  <c r="Y559" i="6"/>
  <c r="AC559" i="6" s="1"/>
  <c r="Y560" i="6"/>
  <c r="AC560" i="6" s="1"/>
  <c r="Y561" i="6"/>
  <c r="AC561" i="6" s="1"/>
  <c r="Y562" i="6"/>
  <c r="AC562" i="6" s="1"/>
  <c r="Y563" i="6"/>
  <c r="AC563" i="6" s="1"/>
  <c r="Y564" i="6"/>
  <c r="AC564" i="6" s="1"/>
  <c r="Y565" i="6"/>
  <c r="AC565" i="6" s="1"/>
  <c r="Y566" i="6"/>
  <c r="AC566" i="6" s="1"/>
  <c r="Y567" i="6"/>
  <c r="AC567" i="6" s="1"/>
  <c r="Y568" i="6"/>
  <c r="AC568" i="6" s="1"/>
  <c r="Y569" i="6"/>
  <c r="AC569" i="6" s="1"/>
  <c r="Y570" i="6"/>
  <c r="AC570" i="6" s="1"/>
  <c r="Y571" i="6"/>
  <c r="AC571" i="6" s="1"/>
  <c r="Y572" i="6"/>
  <c r="AC572" i="6" s="1"/>
  <c r="Y573" i="6"/>
  <c r="AC573" i="6" s="1"/>
  <c r="Y574" i="6"/>
  <c r="AC574" i="6" s="1"/>
  <c r="Y575" i="6"/>
  <c r="AC575" i="6" s="1"/>
  <c r="Y576" i="6"/>
  <c r="AC576" i="6" s="1"/>
  <c r="Y577" i="6"/>
  <c r="AC577" i="6" s="1"/>
  <c r="Y578" i="6"/>
  <c r="AC578" i="6" s="1"/>
  <c r="Y579" i="6"/>
  <c r="Y580" i="6"/>
  <c r="AC580" i="6" s="1"/>
  <c r="Y581" i="6"/>
  <c r="AC581" i="6" s="1"/>
  <c r="Y582" i="6"/>
  <c r="AC582" i="6" s="1"/>
  <c r="Y583" i="6"/>
  <c r="AC583" i="6" s="1"/>
  <c r="Y584" i="6"/>
  <c r="AC584" i="6" s="1"/>
  <c r="Y585" i="6"/>
  <c r="AC585" i="6" s="1"/>
  <c r="Y586" i="6"/>
  <c r="AC586" i="6" s="1"/>
  <c r="Y587" i="6"/>
  <c r="AC587" i="6" s="1"/>
  <c r="Y588" i="6"/>
  <c r="AC588" i="6" s="1"/>
  <c r="Y589" i="6"/>
  <c r="AC589" i="6" s="1"/>
  <c r="Y590" i="6"/>
  <c r="AC590" i="6" s="1"/>
  <c r="Y591" i="6"/>
  <c r="AC591" i="6" s="1"/>
  <c r="Y592" i="6"/>
  <c r="AC592" i="6" s="1"/>
  <c r="Y593" i="6"/>
  <c r="AC593" i="6" s="1"/>
  <c r="Y594" i="6"/>
  <c r="AC594" i="6" s="1"/>
  <c r="Y595" i="6"/>
  <c r="AC595" i="6" s="1"/>
  <c r="Y596" i="6"/>
  <c r="AC596" i="6" s="1"/>
  <c r="Y597" i="6"/>
  <c r="AC597" i="6" s="1"/>
  <c r="Y598" i="6"/>
  <c r="AC598" i="6" s="1"/>
  <c r="Y599" i="6"/>
  <c r="AC599" i="6" s="1"/>
  <c r="Y601" i="6"/>
  <c r="AC601" i="6" s="1"/>
  <c r="Y602" i="6"/>
  <c r="AC602" i="6" s="1"/>
  <c r="Y603" i="6"/>
  <c r="AC603" i="6" s="1"/>
  <c r="Y604" i="6"/>
  <c r="AC604" i="6" s="1"/>
  <c r="Y605" i="6"/>
  <c r="AC605" i="6" s="1"/>
  <c r="Y606" i="6"/>
  <c r="AC606" i="6" s="1"/>
  <c r="Y607" i="6"/>
  <c r="AC607" i="6" s="1"/>
  <c r="Y608" i="6"/>
  <c r="AC608" i="6" s="1"/>
  <c r="Y609" i="6"/>
  <c r="AC609" i="6" s="1"/>
  <c r="Y610" i="6"/>
  <c r="AC610" i="6" s="1"/>
  <c r="Y611" i="6"/>
  <c r="AC611" i="6" s="1"/>
  <c r="Y612" i="6"/>
  <c r="AC612" i="6" s="1"/>
  <c r="Y613" i="6"/>
  <c r="AC613" i="6" s="1"/>
  <c r="Y614" i="6"/>
  <c r="AC614" i="6" s="1"/>
  <c r="Y615" i="6"/>
  <c r="AC615" i="6" s="1"/>
  <c r="Y616" i="6"/>
  <c r="AC616" i="6" s="1"/>
  <c r="Y617" i="6"/>
  <c r="AC617" i="6" s="1"/>
  <c r="Y618" i="6"/>
  <c r="AC618" i="6" s="1"/>
  <c r="Y619" i="6"/>
  <c r="AC619" i="6" s="1"/>
  <c r="Y620" i="6"/>
  <c r="AC620" i="6" s="1"/>
  <c r="Y621" i="6"/>
  <c r="AC621" i="6" s="1"/>
  <c r="Z17" i="6"/>
  <c r="AD17" i="6" s="1"/>
  <c r="Z18" i="6"/>
  <c r="AD18" i="6" s="1"/>
  <c r="Z19" i="6"/>
  <c r="AD19" i="6" s="1"/>
  <c r="Z20" i="6"/>
  <c r="AD20" i="6" s="1"/>
  <c r="Z21" i="6"/>
  <c r="AD21" i="6" s="1"/>
  <c r="Z22" i="6"/>
  <c r="AD22" i="6" s="1"/>
  <c r="Z23" i="6"/>
  <c r="AD23" i="6" s="1"/>
  <c r="Z24" i="6"/>
  <c r="AD24" i="6" s="1"/>
  <c r="Z25" i="6"/>
  <c r="AD25" i="6" s="1"/>
  <c r="Z26" i="6"/>
  <c r="AD26" i="6" s="1"/>
  <c r="Z27" i="6"/>
  <c r="AD27" i="6" s="1"/>
  <c r="Z28" i="6"/>
  <c r="AD28" i="6" s="1"/>
  <c r="Z29" i="6"/>
  <c r="AD29" i="6" s="1"/>
  <c r="Z30" i="6"/>
  <c r="AD30" i="6" s="1"/>
  <c r="Z31" i="6"/>
  <c r="AD31" i="6" s="1"/>
  <c r="Z32" i="6"/>
  <c r="AD32" i="6" s="1"/>
  <c r="Z33" i="6"/>
  <c r="AD33" i="6" s="1"/>
  <c r="Z34" i="6"/>
  <c r="AD34" i="6" s="1"/>
  <c r="Z35" i="6"/>
  <c r="AD35" i="6" s="1"/>
  <c r="Z36" i="6"/>
  <c r="AD36" i="6" s="1"/>
  <c r="Z37" i="6"/>
  <c r="AD37" i="6" s="1"/>
  <c r="Z38" i="6"/>
  <c r="AD38" i="6" s="1"/>
  <c r="Z39" i="6"/>
  <c r="AD39" i="6" s="1"/>
  <c r="Z40" i="6"/>
  <c r="AD40" i="6" s="1"/>
  <c r="Z41" i="6"/>
  <c r="AD41" i="6" s="1"/>
  <c r="Z42" i="6"/>
  <c r="AD42" i="6" s="1"/>
  <c r="Z43" i="6"/>
  <c r="AD43" i="6" s="1"/>
  <c r="Z44" i="6"/>
  <c r="AD44" i="6" s="1"/>
  <c r="Z45" i="6"/>
  <c r="AD45" i="6" s="1"/>
  <c r="Z46" i="6"/>
  <c r="AD46" i="6" s="1"/>
  <c r="Z47" i="6"/>
  <c r="AD47" i="6" s="1"/>
  <c r="Z48" i="6"/>
  <c r="AD48" i="6" s="1"/>
  <c r="Z49" i="6"/>
  <c r="AD49" i="6" s="1"/>
  <c r="Z50" i="6"/>
  <c r="Z51" i="6"/>
  <c r="AD51" i="6" s="1"/>
  <c r="Z52" i="6"/>
  <c r="AD52" i="6" s="1"/>
  <c r="Z53" i="6"/>
  <c r="AD53" i="6" s="1"/>
  <c r="Z54" i="6"/>
  <c r="AD54" i="6" s="1"/>
  <c r="Z56" i="6"/>
  <c r="Z57" i="6"/>
  <c r="AD57" i="6" s="1"/>
  <c r="Z58" i="6"/>
  <c r="AD58" i="6" s="1"/>
  <c r="Z59" i="6"/>
  <c r="AD59" i="6" s="1"/>
  <c r="Z60" i="6"/>
  <c r="AD60" i="6" s="1"/>
  <c r="Z61" i="6"/>
  <c r="AD61" i="6" s="1"/>
  <c r="Z62" i="6"/>
  <c r="AD62" i="6" s="1"/>
  <c r="Z63" i="6"/>
  <c r="AD63" i="6" s="1"/>
  <c r="Z64" i="6"/>
  <c r="Z65" i="6"/>
  <c r="AD65" i="6" s="1"/>
  <c r="Z66" i="6"/>
  <c r="AD66" i="6" s="1"/>
  <c r="Z67" i="6"/>
  <c r="AD67" i="6" s="1"/>
  <c r="Z68" i="6"/>
  <c r="AD68" i="6" s="1"/>
  <c r="Z69" i="6"/>
  <c r="AD69" i="6" s="1"/>
  <c r="Z70" i="6"/>
  <c r="AD70" i="6" s="1"/>
  <c r="Z71" i="6"/>
  <c r="AD71" i="6" s="1"/>
  <c r="Z72" i="6"/>
  <c r="AD72" i="6" s="1"/>
  <c r="Z73" i="6"/>
  <c r="AD73" i="6" s="1"/>
  <c r="Z74" i="6"/>
  <c r="AD74" i="6" s="1"/>
  <c r="Z75" i="6"/>
  <c r="AD75" i="6" s="1"/>
  <c r="Z76" i="6"/>
  <c r="AD76" i="6" s="1"/>
  <c r="Z77" i="6"/>
  <c r="AD77" i="6" s="1"/>
  <c r="Z78" i="6"/>
  <c r="AD78" i="6" s="1"/>
  <c r="Z79" i="6"/>
  <c r="AD79" i="6" s="1"/>
  <c r="Z80" i="6"/>
  <c r="AD80" i="6" s="1"/>
  <c r="Z81" i="6"/>
  <c r="AD81" i="6" s="1"/>
  <c r="Z82" i="6"/>
  <c r="AD82" i="6" s="1"/>
  <c r="Z83" i="6"/>
  <c r="AD83" i="6" s="1"/>
  <c r="Z84" i="6"/>
  <c r="AD84" i="6" s="1"/>
  <c r="Z85" i="6"/>
  <c r="AD85" i="6" s="1"/>
  <c r="Z86" i="6"/>
  <c r="AD86" i="6" s="1"/>
  <c r="Z87" i="6"/>
  <c r="AD87" i="6" s="1"/>
  <c r="Z88" i="6"/>
  <c r="AD88" i="6" s="1"/>
  <c r="Z89" i="6"/>
  <c r="AD89" i="6" s="1"/>
  <c r="Z90" i="6"/>
  <c r="AD90" i="6" s="1"/>
  <c r="Z91" i="6"/>
  <c r="AD91" i="6" s="1"/>
  <c r="Z92" i="6"/>
  <c r="AD92" i="6" s="1"/>
  <c r="Z93" i="6"/>
  <c r="AD93" i="6" s="1"/>
  <c r="Z94" i="6"/>
  <c r="AD94" i="6" s="1"/>
  <c r="Z95" i="6"/>
  <c r="AD95" i="6" s="1"/>
  <c r="Z96" i="6"/>
  <c r="AD96" i="6" s="1"/>
  <c r="Z97" i="6"/>
  <c r="AD97" i="6" s="1"/>
  <c r="Z98" i="6"/>
  <c r="AD98" i="6" s="1"/>
  <c r="Z99" i="6"/>
  <c r="AD99" i="6" s="1"/>
  <c r="Z100" i="6"/>
  <c r="AD100" i="6" s="1"/>
  <c r="Z101" i="6"/>
  <c r="AD101" i="6" s="1"/>
  <c r="Z102" i="6"/>
  <c r="AD102" i="6" s="1"/>
  <c r="Z103" i="6"/>
  <c r="AD103" i="6" s="1"/>
  <c r="Z104" i="6"/>
  <c r="AD104" i="6" s="1"/>
  <c r="Z105" i="6"/>
  <c r="AD105" i="6" s="1"/>
  <c r="Z106" i="6"/>
  <c r="AD106" i="6" s="1"/>
  <c r="Z107" i="6"/>
  <c r="AD107" i="6" s="1"/>
  <c r="Z108" i="6"/>
  <c r="AD108" i="6" s="1"/>
  <c r="Z109" i="6"/>
  <c r="AD109" i="6" s="1"/>
  <c r="Z110" i="6"/>
  <c r="AD110" i="6" s="1"/>
  <c r="Z111" i="6"/>
  <c r="AD111" i="6" s="1"/>
  <c r="Z112" i="6"/>
  <c r="AD112" i="6" s="1"/>
  <c r="Z113" i="6"/>
  <c r="AD113" i="6" s="1"/>
  <c r="Z114" i="6"/>
  <c r="AD114" i="6" s="1"/>
  <c r="Z115" i="6"/>
  <c r="AD115" i="6" s="1"/>
  <c r="Z116" i="6"/>
  <c r="AD116" i="6" s="1"/>
  <c r="Z117" i="6"/>
  <c r="AD117" i="6" s="1"/>
  <c r="Z118" i="6"/>
  <c r="AD118" i="6" s="1"/>
  <c r="Z119" i="6"/>
  <c r="AD119" i="6" s="1"/>
  <c r="Z120" i="6"/>
  <c r="AD120" i="6" s="1"/>
  <c r="Z121" i="6"/>
  <c r="AD121" i="6" s="1"/>
  <c r="Z122" i="6"/>
  <c r="AD122" i="6" s="1"/>
  <c r="Z123" i="6"/>
  <c r="AD123" i="6" s="1"/>
  <c r="Z124" i="6"/>
  <c r="AD124" i="6" s="1"/>
  <c r="Z125" i="6"/>
  <c r="AD125" i="6" s="1"/>
  <c r="Z126" i="6"/>
  <c r="AD126" i="6" s="1"/>
  <c r="Z127" i="6"/>
  <c r="AD127" i="6" s="1"/>
  <c r="Z128" i="6"/>
  <c r="AD128" i="6" s="1"/>
  <c r="Z129" i="6"/>
  <c r="AD129" i="6" s="1"/>
  <c r="Z130" i="6"/>
  <c r="AD130" i="6" s="1"/>
  <c r="Z131" i="6"/>
  <c r="AD131" i="6" s="1"/>
  <c r="Z132" i="6"/>
  <c r="AD132" i="6" s="1"/>
  <c r="Z133" i="6"/>
  <c r="AD133" i="6" s="1"/>
  <c r="Z134" i="6"/>
  <c r="AD134" i="6" s="1"/>
  <c r="Z135" i="6"/>
  <c r="AD135" i="6" s="1"/>
  <c r="Z136" i="6"/>
  <c r="AD136" i="6" s="1"/>
  <c r="Z137" i="6"/>
  <c r="AD137" i="6" s="1"/>
  <c r="Z138" i="6"/>
  <c r="AD138" i="6" s="1"/>
  <c r="Z139" i="6"/>
  <c r="AD139" i="6" s="1"/>
  <c r="Z140" i="6"/>
  <c r="AD140" i="6" s="1"/>
  <c r="Z141" i="6"/>
  <c r="AD141" i="6" s="1"/>
  <c r="Z144" i="6"/>
  <c r="AD144" i="6" s="1"/>
  <c r="Z145" i="6"/>
  <c r="AD145" i="6" s="1"/>
  <c r="Z146" i="6"/>
  <c r="AD146" i="6" s="1"/>
  <c r="Z147" i="6"/>
  <c r="AD147" i="6" s="1"/>
  <c r="Z148" i="6"/>
  <c r="AD148" i="6" s="1"/>
  <c r="Z149" i="6"/>
  <c r="AD149" i="6" s="1"/>
  <c r="Z150" i="6"/>
  <c r="AD150" i="6" s="1"/>
  <c r="Z151" i="6"/>
  <c r="AD151" i="6" s="1"/>
  <c r="Z152" i="6"/>
  <c r="AD152" i="6" s="1"/>
  <c r="Z153" i="6"/>
  <c r="AD153" i="6" s="1"/>
  <c r="Z154" i="6"/>
  <c r="AD154" i="6" s="1"/>
  <c r="Z155" i="6"/>
  <c r="AD155" i="6" s="1"/>
  <c r="Z156" i="6"/>
  <c r="AD156" i="6" s="1"/>
  <c r="Z157" i="6"/>
  <c r="AD157" i="6" s="1"/>
  <c r="Z158" i="6"/>
  <c r="AD158" i="6" s="1"/>
  <c r="Z159" i="6"/>
  <c r="AD159" i="6" s="1"/>
  <c r="Z160" i="6"/>
  <c r="AD160" i="6" s="1"/>
  <c r="Z161" i="6"/>
  <c r="AD161" i="6" s="1"/>
  <c r="Z162" i="6"/>
  <c r="AD162" i="6" s="1"/>
  <c r="Z163" i="6"/>
  <c r="AD163" i="6" s="1"/>
  <c r="Z164" i="6"/>
  <c r="AD164" i="6" s="1"/>
  <c r="Z165" i="6"/>
  <c r="AD165" i="6" s="1"/>
  <c r="Z166" i="6"/>
  <c r="AD166" i="6" s="1"/>
  <c r="Z167" i="6"/>
  <c r="AD167" i="6" s="1"/>
  <c r="Z168" i="6"/>
  <c r="AD168" i="6" s="1"/>
  <c r="Z169" i="6"/>
  <c r="AD169" i="6" s="1"/>
  <c r="Z170" i="6"/>
  <c r="AD170" i="6" s="1"/>
  <c r="Z171" i="6"/>
  <c r="AD171" i="6" s="1"/>
  <c r="Z172" i="6"/>
  <c r="AD172" i="6" s="1"/>
  <c r="Z173" i="6"/>
  <c r="AD173" i="6" s="1"/>
  <c r="Z174" i="6"/>
  <c r="AD174" i="6" s="1"/>
  <c r="Z175" i="6"/>
  <c r="AD175" i="6" s="1"/>
  <c r="Z176" i="6"/>
  <c r="AD176" i="6" s="1"/>
  <c r="Z177" i="6"/>
  <c r="AD177" i="6" s="1"/>
  <c r="Z178" i="6"/>
  <c r="AD178" i="6" s="1"/>
  <c r="Z179" i="6"/>
  <c r="AD179" i="6" s="1"/>
  <c r="Z180" i="6"/>
  <c r="AD180" i="6" s="1"/>
  <c r="Z181" i="6"/>
  <c r="AD181" i="6" s="1"/>
  <c r="Z182" i="6"/>
  <c r="AD182" i="6" s="1"/>
  <c r="Z183" i="6"/>
  <c r="AD183" i="6" s="1"/>
  <c r="Z184" i="6"/>
  <c r="AD184" i="6" s="1"/>
  <c r="Z185" i="6"/>
  <c r="AD185" i="6" s="1"/>
  <c r="Z186" i="6"/>
  <c r="AD186" i="6" s="1"/>
  <c r="Z187" i="6"/>
  <c r="AD187" i="6" s="1"/>
  <c r="Z188" i="6"/>
  <c r="AD188" i="6" s="1"/>
  <c r="Z189" i="6"/>
  <c r="AD189" i="6" s="1"/>
  <c r="Z190" i="6"/>
  <c r="AD190" i="6" s="1"/>
  <c r="Z191" i="6"/>
  <c r="AD191" i="6" s="1"/>
  <c r="Z192" i="6"/>
  <c r="AD192" i="6" s="1"/>
  <c r="Z193" i="6"/>
  <c r="AD193" i="6" s="1"/>
  <c r="Z194" i="6"/>
  <c r="AD194" i="6" s="1"/>
  <c r="Z195" i="6"/>
  <c r="AD195" i="6" s="1"/>
  <c r="Z196" i="6"/>
  <c r="AD196" i="6" s="1"/>
  <c r="Z197" i="6"/>
  <c r="AD197" i="6" s="1"/>
  <c r="Z198" i="6"/>
  <c r="AD198" i="6" s="1"/>
  <c r="Z199" i="6"/>
  <c r="AD199" i="6" s="1"/>
  <c r="Z200" i="6"/>
  <c r="AD200" i="6" s="1"/>
  <c r="Z201" i="6"/>
  <c r="AD201" i="6" s="1"/>
  <c r="Z202" i="6"/>
  <c r="AD202" i="6" s="1"/>
  <c r="Z203" i="6"/>
  <c r="AD203" i="6" s="1"/>
  <c r="Z204" i="6"/>
  <c r="AD204" i="6" s="1"/>
  <c r="Z205" i="6"/>
  <c r="AD205" i="6" s="1"/>
  <c r="Z206" i="6"/>
  <c r="AD206" i="6" s="1"/>
  <c r="Z207" i="6"/>
  <c r="AD207" i="6" s="1"/>
  <c r="Z208" i="6"/>
  <c r="AD208" i="6" s="1"/>
  <c r="Z209" i="6"/>
  <c r="AD209" i="6" s="1"/>
  <c r="Z210" i="6"/>
  <c r="AD210" i="6" s="1"/>
  <c r="Z211" i="6"/>
  <c r="AD211" i="6" s="1"/>
  <c r="Z212" i="6"/>
  <c r="AD212" i="6" s="1"/>
  <c r="Z213" i="6"/>
  <c r="AD213" i="6" s="1"/>
  <c r="Z214" i="6"/>
  <c r="AD214" i="6" s="1"/>
  <c r="Z215" i="6"/>
  <c r="AD215" i="6" s="1"/>
  <c r="Z216" i="6"/>
  <c r="AD216" i="6" s="1"/>
  <c r="Z217" i="6"/>
  <c r="AD217" i="6" s="1"/>
  <c r="Z218" i="6"/>
  <c r="AD218" i="6" s="1"/>
  <c r="Z219" i="6"/>
  <c r="AD219" i="6" s="1"/>
  <c r="Z220" i="6"/>
  <c r="AD220" i="6" s="1"/>
  <c r="Z221" i="6"/>
  <c r="AD221" i="6" s="1"/>
  <c r="Z222" i="6"/>
  <c r="AD222" i="6" s="1"/>
  <c r="Z223" i="6"/>
  <c r="AD223" i="6" s="1"/>
  <c r="Z225" i="6"/>
  <c r="AD225" i="6" s="1"/>
  <c r="Z226" i="6"/>
  <c r="AD226" i="6" s="1"/>
  <c r="Z227" i="6"/>
  <c r="Z228" i="6"/>
  <c r="AD228" i="6" s="1"/>
  <c r="Z229" i="6"/>
  <c r="AD229" i="6" s="1"/>
  <c r="Z230" i="6"/>
  <c r="AD230" i="6" s="1"/>
  <c r="Z231" i="6"/>
  <c r="AD231" i="6" s="1"/>
  <c r="Z232" i="6"/>
  <c r="AD232" i="6" s="1"/>
  <c r="Z233" i="6"/>
  <c r="AD233" i="6" s="1"/>
  <c r="Z234" i="6"/>
  <c r="AD234" i="6" s="1"/>
  <c r="Z235" i="6"/>
  <c r="AD235" i="6" s="1"/>
  <c r="Z236" i="6"/>
  <c r="AD236" i="6" s="1"/>
  <c r="Z237" i="6"/>
  <c r="AD237" i="6" s="1"/>
  <c r="Z238" i="6"/>
  <c r="AD238" i="6" s="1"/>
  <c r="Z239" i="6"/>
  <c r="AD239" i="6" s="1"/>
  <c r="Z242" i="6"/>
  <c r="AD242" i="6" s="1"/>
  <c r="Z243" i="6"/>
  <c r="AD243" i="6" s="1"/>
  <c r="Z244" i="6"/>
  <c r="AD244" i="6" s="1"/>
  <c r="Z245" i="6"/>
  <c r="AD245" i="6" s="1"/>
  <c r="Z246" i="6"/>
  <c r="AD246" i="6" s="1"/>
  <c r="Z247" i="6"/>
  <c r="AD247" i="6" s="1"/>
  <c r="Z248" i="6"/>
  <c r="AD248" i="6" s="1"/>
  <c r="Z249" i="6"/>
  <c r="AD249" i="6" s="1"/>
  <c r="Z250" i="6"/>
  <c r="AD250" i="6" s="1"/>
  <c r="Z251" i="6"/>
  <c r="AD251" i="6" s="1"/>
  <c r="Z252" i="6"/>
  <c r="AD252" i="6" s="1"/>
  <c r="Z253" i="6"/>
  <c r="AD253" i="6" s="1"/>
  <c r="Z254" i="6"/>
  <c r="AD254" i="6" s="1"/>
  <c r="Z255" i="6"/>
  <c r="AD255" i="6" s="1"/>
  <c r="Z256" i="6"/>
  <c r="AD256" i="6" s="1"/>
  <c r="Z257" i="6"/>
  <c r="AD257" i="6" s="1"/>
  <c r="Z258" i="6"/>
  <c r="AD258" i="6" s="1"/>
  <c r="Z259" i="6"/>
  <c r="AD259" i="6" s="1"/>
  <c r="Z260" i="6"/>
  <c r="AD260" i="6" s="1"/>
  <c r="Z261" i="6"/>
  <c r="AD261" i="6" s="1"/>
  <c r="Z262" i="6"/>
  <c r="AD262" i="6" s="1"/>
  <c r="Z263" i="6"/>
  <c r="AD263" i="6" s="1"/>
  <c r="Z264" i="6"/>
  <c r="AD264" i="6" s="1"/>
  <c r="Z265" i="6"/>
  <c r="AD265" i="6" s="1"/>
  <c r="Z266" i="6"/>
  <c r="AD266" i="6" s="1"/>
  <c r="Z267" i="6"/>
  <c r="AD267" i="6" s="1"/>
  <c r="Z268" i="6"/>
  <c r="AD268" i="6" s="1"/>
  <c r="Z269" i="6"/>
  <c r="AD269" i="6" s="1"/>
  <c r="Z270" i="6"/>
  <c r="AD270" i="6" s="1"/>
  <c r="Z271" i="6"/>
  <c r="AD271" i="6" s="1"/>
  <c r="Z272" i="6"/>
  <c r="AD272" i="6" s="1"/>
  <c r="Z273" i="6"/>
  <c r="AD273" i="6" s="1"/>
  <c r="Z274" i="6"/>
  <c r="AD274" i="6" s="1"/>
  <c r="Z275" i="6"/>
  <c r="AD275" i="6" s="1"/>
  <c r="Z276" i="6"/>
  <c r="AD276" i="6" s="1"/>
  <c r="Z277" i="6"/>
  <c r="AD277" i="6" s="1"/>
  <c r="Z278" i="6"/>
  <c r="AD278" i="6" s="1"/>
  <c r="Z279" i="6"/>
  <c r="AD279" i="6" s="1"/>
  <c r="Z280" i="6"/>
  <c r="AD280" i="6" s="1"/>
  <c r="Z281" i="6"/>
  <c r="AD281" i="6" s="1"/>
  <c r="Z282" i="6"/>
  <c r="AD282" i="6" s="1"/>
  <c r="Z283" i="6"/>
  <c r="AD283" i="6" s="1"/>
  <c r="Z284" i="6"/>
  <c r="AD284" i="6" s="1"/>
  <c r="Z285" i="6"/>
  <c r="AD285" i="6" s="1"/>
  <c r="Z286" i="6"/>
  <c r="AD286" i="6" s="1"/>
  <c r="Z287" i="6"/>
  <c r="AD287" i="6" s="1"/>
  <c r="Z288" i="6"/>
  <c r="AD288" i="6" s="1"/>
  <c r="Z289" i="6"/>
  <c r="AD289" i="6" s="1"/>
  <c r="Z290" i="6"/>
  <c r="AD290" i="6" s="1"/>
  <c r="Z291" i="6"/>
  <c r="AD291" i="6" s="1"/>
  <c r="Z292" i="6"/>
  <c r="AD292" i="6" s="1"/>
  <c r="Z293" i="6"/>
  <c r="AD293" i="6" s="1"/>
  <c r="Z294" i="6"/>
  <c r="AD294" i="6" s="1"/>
  <c r="Z295" i="6"/>
  <c r="AD295" i="6" s="1"/>
  <c r="Z296" i="6"/>
  <c r="AD296" i="6" s="1"/>
  <c r="Z297" i="6"/>
  <c r="AD297" i="6" s="1"/>
  <c r="Z298" i="6"/>
  <c r="AD298" i="6" s="1"/>
  <c r="Z299" i="6"/>
  <c r="AD299" i="6" s="1"/>
  <c r="Z300" i="6"/>
  <c r="AD300" i="6" s="1"/>
  <c r="Z301" i="6"/>
  <c r="AD301" i="6" s="1"/>
  <c r="Z302" i="6"/>
  <c r="AD302" i="6" s="1"/>
  <c r="Z303" i="6"/>
  <c r="AD303" i="6" s="1"/>
  <c r="Z304" i="6"/>
  <c r="AD304" i="6" s="1"/>
  <c r="Z305" i="6"/>
  <c r="AD305" i="6" s="1"/>
  <c r="Z306" i="6"/>
  <c r="AD306" i="6" s="1"/>
  <c r="Z307" i="6"/>
  <c r="AD307" i="6" s="1"/>
  <c r="Z308" i="6"/>
  <c r="AD308" i="6" s="1"/>
  <c r="Z309" i="6"/>
  <c r="AD309" i="6" s="1"/>
  <c r="Z310" i="6"/>
  <c r="AD310" i="6" s="1"/>
  <c r="Z311" i="6"/>
  <c r="AD311" i="6" s="1"/>
  <c r="Z312" i="6"/>
  <c r="AD312" i="6" s="1"/>
  <c r="Z313" i="6"/>
  <c r="AD313" i="6" s="1"/>
  <c r="Z314" i="6"/>
  <c r="AD314" i="6" s="1"/>
  <c r="Z315" i="6"/>
  <c r="AD315" i="6" s="1"/>
  <c r="Z316" i="6"/>
  <c r="AD316" i="6" s="1"/>
  <c r="Z317" i="6"/>
  <c r="AD317" i="6" s="1"/>
  <c r="Z318" i="6"/>
  <c r="AD318" i="6" s="1"/>
  <c r="Z319" i="6"/>
  <c r="AD319" i="6" s="1"/>
  <c r="Z320" i="6"/>
  <c r="AD320" i="6" s="1"/>
  <c r="Z321" i="6"/>
  <c r="AD321" i="6" s="1"/>
  <c r="Z322" i="6"/>
  <c r="AD322" i="6" s="1"/>
  <c r="Z323" i="6"/>
  <c r="AD323" i="6" s="1"/>
  <c r="Z324" i="6"/>
  <c r="AD324" i="6" s="1"/>
  <c r="Z325" i="6"/>
  <c r="AD325" i="6" s="1"/>
  <c r="Z326" i="6"/>
  <c r="AD326" i="6" s="1"/>
  <c r="Z327" i="6"/>
  <c r="AD327" i="6" s="1"/>
  <c r="Z328" i="6"/>
  <c r="AD328" i="6" s="1"/>
  <c r="Z330" i="6"/>
  <c r="AD330" i="6" s="1"/>
  <c r="Z331" i="6"/>
  <c r="AD331" i="6" s="1"/>
  <c r="Z332" i="6"/>
  <c r="AD332" i="6" s="1"/>
  <c r="Z333" i="6"/>
  <c r="AD333" i="6" s="1"/>
  <c r="Z334" i="6"/>
  <c r="AD334" i="6" s="1"/>
  <c r="Z335" i="6"/>
  <c r="AD335" i="6" s="1"/>
  <c r="Z336" i="6"/>
  <c r="AD336" i="6" s="1"/>
  <c r="Z337" i="6"/>
  <c r="AD337" i="6" s="1"/>
  <c r="Z338" i="6"/>
  <c r="AD338" i="6" s="1"/>
  <c r="Z339" i="6"/>
  <c r="AD339" i="6" s="1"/>
  <c r="Z340" i="6"/>
  <c r="AD340" i="6" s="1"/>
  <c r="Z341" i="6"/>
  <c r="AD341" i="6" s="1"/>
  <c r="Z342" i="6"/>
  <c r="AD342" i="6" s="1"/>
  <c r="Z343" i="6"/>
  <c r="AD343" i="6" s="1"/>
  <c r="Z344" i="6"/>
  <c r="AD344" i="6" s="1"/>
  <c r="Z345" i="6"/>
  <c r="AD345" i="6" s="1"/>
  <c r="Z346" i="6"/>
  <c r="AD346" i="6" s="1"/>
  <c r="Z347" i="6"/>
  <c r="AD347" i="6" s="1"/>
  <c r="Z348" i="6"/>
  <c r="AD348" i="6" s="1"/>
  <c r="Z350" i="6"/>
  <c r="AD350" i="6" s="1"/>
  <c r="Z351" i="6"/>
  <c r="AD351" i="6" s="1"/>
  <c r="Z352" i="6"/>
  <c r="AD352" i="6" s="1"/>
  <c r="Z353" i="6"/>
  <c r="AD353" i="6" s="1"/>
  <c r="Z354" i="6"/>
  <c r="AD354" i="6" s="1"/>
  <c r="Z355" i="6"/>
  <c r="AD355" i="6" s="1"/>
  <c r="Z356" i="6"/>
  <c r="AD356" i="6" s="1"/>
  <c r="Z357" i="6"/>
  <c r="AD357" i="6" s="1"/>
  <c r="Z358" i="6"/>
  <c r="AD358" i="6" s="1"/>
  <c r="Z360" i="6"/>
  <c r="AD360" i="6" s="1"/>
  <c r="Z361" i="6"/>
  <c r="AD361" i="6" s="1"/>
  <c r="Z362" i="6"/>
  <c r="AD362" i="6" s="1"/>
  <c r="Z363" i="6"/>
  <c r="AD363" i="6" s="1"/>
  <c r="Z364" i="6"/>
  <c r="AD364" i="6" s="1"/>
  <c r="Z365" i="6"/>
  <c r="AD365" i="6" s="1"/>
  <c r="Z366" i="6"/>
  <c r="AD366" i="6" s="1"/>
  <c r="Z367" i="6"/>
  <c r="AD367" i="6" s="1"/>
  <c r="Z368" i="6"/>
  <c r="AD368" i="6" s="1"/>
  <c r="Z369" i="6"/>
  <c r="AD369" i="6" s="1"/>
  <c r="Z370" i="6"/>
  <c r="AD370" i="6" s="1"/>
  <c r="Z371" i="6"/>
  <c r="AD371" i="6" s="1"/>
  <c r="Z372" i="6"/>
  <c r="AD372" i="6" s="1"/>
  <c r="Z373" i="6"/>
  <c r="AD373" i="6" s="1"/>
  <c r="Z374" i="6"/>
  <c r="AD374" i="6" s="1"/>
  <c r="Z375" i="6"/>
  <c r="AD375" i="6" s="1"/>
  <c r="Z376" i="6"/>
  <c r="AD376" i="6" s="1"/>
  <c r="Z377" i="6"/>
  <c r="AD377" i="6" s="1"/>
  <c r="Z378" i="6"/>
  <c r="AD378" i="6" s="1"/>
  <c r="Z379" i="6"/>
  <c r="AD379" i="6" s="1"/>
  <c r="Z380" i="6"/>
  <c r="AD380" i="6" s="1"/>
  <c r="Z381" i="6"/>
  <c r="AD381" i="6" s="1"/>
  <c r="Z382" i="6"/>
  <c r="AD382" i="6" s="1"/>
  <c r="Z383" i="6"/>
  <c r="AD383" i="6" s="1"/>
  <c r="Z384" i="6"/>
  <c r="AD384" i="6" s="1"/>
  <c r="Z385" i="6"/>
  <c r="AD385" i="6" s="1"/>
  <c r="Z386" i="6"/>
  <c r="AD386" i="6" s="1"/>
  <c r="Z387" i="6"/>
  <c r="AD387" i="6" s="1"/>
  <c r="Z388" i="6"/>
  <c r="AD388" i="6" s="1"/>
  <c r="Z389" i="6"/>
  <c r="AD389" i="6" s="1"/>
  <c r="Z390" i="6"/>
  <c r="AD390" i="6" s="1"/>
  <c r="Z391" i="6"/>
  <c r="AD391" i="6" s="1"/>
  <c r="Z392" i="6"/>
  <c r="AD392" i="6" s="1"/>
  <c r="Z393" i="6"/>
  <c r="AD393" i="6" s="1"/>
  <c r="Z394" i="6"/>
  <c r="AD394" i="6" s="1"/>
  <c r="Z395" i="6"/>
  <c r="AD395" i="6" s="1"/>
  <c r="Z396" i="6"/>
  <c r="AD396" i="6" s="1"/>
  <c r="Z397" i="6"/>
  <c r="AD397" i="6" s="1"/>
  <c r="Z398" i="6"/>
  <c r="AD398" i="6" s="1"/>
  <c r="Z399" i="6"/>
  <c r="AD399" i="6" s="1"/>
  <c r="Z401" i="6"/>
  <c r="AD401" i="6" s="1"/>
  <c r="Z402" i="6"/>
  <c r="AD402" i="6" s="1"/>
  <c r="Z403" i="6"/>
  <c r="AD403" i="6" s="1"/>
  <c r="Z404" i="6"/>
  <c r="AD404" i="6" s="1"/>
  <c r="Z405" i="6"/>
  <c r="AD405" i="6" s="1"/>
  <c r="Z406" i="6"/>
  <c r="AD406" i="6" s="1"/>
  <c r="Z407" i="6"/>
  <c r="AD407" i="6" s="1"/>
  <c r="Z408" i="6"/>
  <c r="AD408" i="6" s="1"/>
  <c r="Z409" i="6"/>
  <c r="AD409" i="6" s="1"/>
  <c r="Z410" i="6"/>
  <c r="AD410" i="6" s="1"/>
  <c r="Z411" i="6"/>
  <c r="AD411" i="6" s="1"/>
  <c r="Z412" i="6"/>
  <c r="AD412" i="6" s="1"/>
  <c r="Z413" i="6"/>
  <c r="AD413" i="6" s="1"/>
  <c r="Z414" i="6"/>
  <c r="AD414" i="6" s="1"/>
  <c r="Z415" i="6"/>
  <c r="AD415" i="6" s="1"/>
  <c r="Z416" i="6"/>
  <c r="AD416" i="6" s="1"/>
  <c r="Z417" i="6"/>
  <c r="AD417" i="6" s="1"/>
  <c r="Z418" i="6"/>
  <c r="AD418" i="6" s="1"/>
  <c r="Z419" i="6"/>
  <c r="AD419" i="6" s="1"/>
  <c r="Z420" i="6"/>
  <c r="AD420" i="6" s="1"/>
  <c r="Z421" i="6"/>
  <c r="AD421" i="6" s="1"/>
  <c r="Z422" i="6"/>
  <c r="AD422" i="6" s="1"/>
  <c r="Z423" i="6"/>
  <c r="AD423" i="6" s="1"/>
  <c r="Z424" i="6"/>
  <c r="AD424" i="6" s="1"/>
  <c r="Z425" i="6"/>
  <c r="AD425" i="6" s="1"/>
  <c r="Z426" i="6"/>
  <c r="AD426" i="6" s="1"/>
  <c r="Z427" i="6"/>
  <c r="AD427" i="6" s="1"/>
  <c r="Z428" i="6"/>
  <c r="AD428" i="6" s="1"/>
  <c r="Z429" i="6"/>
  <c r="AD429" i="6" s="1"/>
  <c r="Z430" i="6"/>
  <c r="AD430" i="6" s="1"/>
  <c r="Z431" i="6"/>
  <c r="AD431" i="6" s="1"/>
  <c r="Z432" i="6"/>
  <c r="AD432" i="6" s="1"/>
  <c r="Z433" i="6"/>
  <c r="AD433" i="6" s="1"/>
  <c r="Z434" i="6"/>
  <c r="AD434" i="6" s="1"/>
  <c r="Z435" i="6"/>
  <c r="AD435" i="6" s="1"/>
  <c r="Z436" i="6"/>
  <c r="AD436" i="6" s="1"/>
  <c r="Z437" i="6"/>
  <c r="AD437" i="6" s="1"/>
  <c r="Z438" i="6"/>
  <c r="AD438" i="6" s="1"/>
  <c r="Z439" i="6"/>
  <c r="AD439" i="6" s="1"/>
  <c r="Z440" i="6"/>
  <c r="AD440" i="6" s="1"/>
  <c r="Z441" i="6"/>
  <c r="AD441" i="6" s="1"/>
  <c r="Z442" i="6"/>
  <c r="AD442" i="6" s="1"/>
  <c r="Z443" i="6"/>
  <c r="AD443" i="6" s="1"/>
  <c r="Z444" i="6"/>
  <c r="AD444" i="6" s="1"/>
  <c r="Z445" i="6"/>
  <c r="AD445" i="6" s="1"/>
  <c r="Z446" i="6"/>
  <c r="AD446" i="6" s="1"/>
  <c r="Z447" i="6"/>
  <c r="AD447" i="6" s="1"/>
  <c r="Z448" i="6"/>
  <c r="AD448" i="6" s="1"/>
  <c r="Z449" i="6"/>
  <c r="AD449" i="6" s="1"/>
  <c r="Z450" i="6"/>
  <c r="AD450" i="6" s="1"/>
  <c r="Z451" i="6"/>
  <c r="AD451" i="6" s="1"/>
  <c r="Z452" i="6"/>
  <c r="AD452" i="6" s="1"/>
  <c r="Z453" i="6"/>
  <c r="AD453" i="6" s="1"/>
  <c r="Z454" i="6"/>
  <c r="AD454" i="6" s="1"/>
  <c r="Z455" i="6"/>
  <c r="AD455" i="6" s="1"/>
  <c r="Z456" i="6"/>
  <c r="AD456" i="6" s="1"/>
  <c r="Z457" i="6"/>
  <c r="AD457" i="6" s="1"/>
  <c r="Z458" i="6"/>
  <c r="AD458" i="6" s="1"/>
  <c r="Z459" i="6"/>
  <c r="AD459" i="6" s="1"/>
  <c r="Z460" i="6"/>
  <c r="AD460" i="6" s="1"/>
  <c r="Z461" i="6"/>
  <c r="AD461" i="6" s="1"/>
  <c r="Z462" i="6"/>
  <c r="AD462" i="6" s="1"/>
  <c r="Z463" i="6"/>
  <c r="AD463" i="6" s="1"/>
  <c r="Z464" i="6"/>
  <c r="AD464" i="6" s="1"/>
  <c r="Z465" i="6"/>
  <c r="AD465" i="6" s="1"/>
  <c r="Z466" i="6"/>
  <c r="AD466" i="6" s="1"/>
  <c r="Z467" i="6"/>
  <c r="AD467" i="6" s="1"/>
  <c r="Z468" i="6"/>
  <c r="AD468" i="6" s="1"/>
  <c r="Z469" i="6"/>
  <c r="AD469" i="6" s="1"/>
  <c r="Z470" i="6"/>
  <c r="AD470" i="6" s="1"/>
  <c r="Z471" i="6"/>
  <c r="AD471" i="6" s="1"/>
  <c r="Z472" i="6"/>
  <c r="AD472" i="6" s="1"/>
  <c r="Z473" i="6"/>
  <c r="AD473" i="6" s="1"/>
  <c r="Z474" i="6"/>
  <c r="AD474" i="6" s="1"/>
  <c r="Z475" i="6"/>
  <c r="AD475" i="6" s="1"/>
  <c r="Z478" i="6"/>
  <c r="AD478" i="6" s="1"/>
  <c r="Z479" i="6"/>
  <c r="AD479" i="6" s="1"/>
  <c r="Z480" i="6"/>
  <c r="AD480" i="6" s="1"/>
  <c r="Z481" i="6"/>
  <c r="AD481" i="6" s="1"/>
  <c r="Z482" i="6"/>
  <c r="AD482" i="6" s="1"/>
  <c r="Z483" i="6"/>
  <c r="AD483" i="6" s="1"/>
  <c r="Z484" i="6"/>
  <c r="AD484" i="6" s="1"/>
  <c r="Z485" i="6"/>
  <c r="AD485" i="6" s="1"/>
  <c r="Z486" i="6"/>
  <c r="AD486" i="6" s="1"/>
  <c r="Z487" i="6"/>
  <c r="AD487" i="6" s="1"/>
  <c r="Z489" i="6"/>
  <c r="AD489" i="6" s="1"/>
  <c r="Z490" i="6"/>
  <c r="AD490" i="6" s="1"/>
  <c r="Z491" i="6"/>
  <c r="AD491" i="6" s="1"/>
  <c r="Z492" i="6"/>
  <c r="AD492" i="6" s="1"/>
  <c r="Z493" i="6"/>
  <c r="AD493" i="6" s="1"/>
  <c r="Z494" i="6"/>
  <c r="AD494" i="6" s="1"/>
  <c r="Z495" i="6"/>
  <c r="AD495" i="6" s="1"/>
  <c r="Z496" i="6"/>
  <c r="AD496" i="6" s="1"/>
  <c r="Z497" i="6"/>
  <c r="AD497" i="6" s="1"/>
  <c r="Z498" i="6"/>
  <c r="AD498" i="6" s="1"/>
  <c r="Z499" i="6"/>
  <c r="AD499" i="6" s="1"/>
  <c r="Z500" i="6"/>
  <c r="AD500" i="6" s="1"/>
  <c r="Z501" i="6"/>
  <c r="AD501" i="6" s="1"/>
  <c r="Z502" i="6"/>
  <c r="AD502" i="6" s="1"/>
  <c r="Z503" i="6"/>
  <c r="AD503" i="6" s="1"/>
  <c r="Z504" i="6"/>
  <c r="AD504" i="6" s="1"/>
  <c r="Z505" i="6"/>
  <c r="AD505" i="6" s="1"/>
  <c r="Z506" i="6"/>
  <c r="AD506" i="6" s="1"/>
  <c r="Z507" i="6"/>
  <c r="AD507" i="6" s="1"/>
  <c r="Z508" i="6"/>
  <c r="AD508" i="6" s="1"/>
  <c r="Z509" i="6"/>
  <c r="AD509" i="6" s="1"/>
  <c r="Z510" i="6"/>
  <c r="AD510" i="6" s="1"/>
  <c r="Z511" i="6"/>
  <c r="AD511" i="6" s="1"/>
  <c r="Z512" i="6"/>
  <c r="AD512" i="6" s="1"/>
  <c r="Z513" i="6"/>
  <c r="AD513" i="6" s="1"/>
  <c r="Z514" i="6"/>
  <c r="AD514" i="6" s="1"/>
  <c r="Z515" i="6"/>
  <c r="AD515" i="6" s="1"/>
  <c r="Z516" i="6"/>
  <c r="AD516" i="6" s="1"/>
  <c r="Z517" i="6"/>
  <c r="AD517" i="6" s="1"/>
  <c r="Z518" i="6"/>
  <c r="AD518" i="6" s="1"/>
  <c r="Z519" i="6"/>
  <c r="AD519" i="6" s="1"/>
  <c r="Z520" i="6"/>
  <c r="AD520" i="6" s="1"/>
  <c r="Z521" i="6"/>
  <c r="AD521" i="6" s="1"/>
  <c r="Z522" i="6"/>
  <c r="AD522" i="6" s="1"/>
  <c r="Z523" i="6"/>
  <c r="AD523" i="6" s="1"/>
  <c r="Z524" i="6"/>
  <c r="AD524" i="6" s="1"/>
  <c r="Z525" i="6"/>
  <c r="AD525" i="6" s="1"/>
  <c r="Z526" i="6"/>
  <c r="AD526" i="6" s="1"/>
  <c r="Z527" i="6"/>
  <c r="AD527" i="6" s="1"/>
  <c r="Z528" i="6"/>
  <c r="AD528" i="6" s="1"/>
  <c r="Z529" i="6"/>
  <c r="AD529" i="6" s="1"/>
  <c r="Z530" i="6"/>
  <c r="AD530" i="6" s="1"/>
  <c r="Z531" i="6"/>
  <c r="AD531" i="6" s="1"/>
  <c r="Z532" i="6"/>
  <c r="AD532" i="6" s="1"/>
  <c r="Z533" i="6"/>
  <c r="AD533" i="6" s="1"/>
  <c r="Z534" i="6"/>
  <c r="AD534" i="6" s="1"/>
  <c r="Z535" i="6"/>
  <c r="AD535" i="6" s="1"/>
  <c r="Z536" i="6"/>
  <c r="AD536" i="6" s="1"/>
  <c r="Z537" i="6"/>
  <c r="AD537" i="6" s="1"/>
  <c r="Z538" i="6"/>
  <c r="AD538" i="6" s="1"/>
  <c r="Z539" i="6"/>
  <c r="AD539" i="6" s="1"/>
  <c r="Z540" i="6"/>
  <c r="AD540" i="6" s="1"/>
  <c r="Z541" i="6"/>
  <c r="AD541" i="6" s="1"/>
  <c r="Z542" i="6"/>
  <c r="AD542" i="6" s="1"/>
  <c r="Z543" i="6"/>
  <c r="AD543" i="6" s="1"/>
  <c r="Z544" i="6"/>
  <c r="AD544" i="6" s="1"/>
  <c r="Z545" i="6"/>
  <c r="AD545" i="6" s="1"/>
  <c r="Z546" i="6"/>
  <c r="AD546" i="6" s="1"/>
  <c r="Z547" i="6"/>
  <c r="AD547" i="6" s="1"/>
  <c r="Z548" i="6"/>
  <c r="AD548" i="6" s="1"/>
  <c r="Z549" i="6"/>
  <c r="AD549" i="6" s="1"/>
  <c r="Z550" i="6"/>
  <c r="AD550" i="6" s="1"/>
  <c r="Z551" i="6"/>
  <c r="AD551" i="6" s="1"/>
  <c r="Z552" i="6"/>
  <c r="AD552" i="6" s="1"/>
  <c r="Z553" i="6"/>
  <c r="AD553" i="6" s="1"/>
  <c r="Z554" i="6"/>
  <c r="AD554" i="6" s="1"/>
  <c r="Z555" i="6"/>
  <c r="AD555" i="6" s="1"/>
  <c r="Z556" i="6"/>
  <c r="AD556" i="6" s="1"/>
  <c r="Z557" i="6"/>
  <c r="AD557" i="6" s="1"/>
  <c r="Z558" i="6"/>
  <c r="AD558" i="6" s="1"/>
  <c r="Z559" i="6"/>
  <c r="AD559" i="6" s="1"/>
  <c r="Z560" i="6"/>
  <c r="AD560" i="6" s="1"/>
  <c r="Z561" i="6"/>
  <c r="AD561" i="6" s="1"/>
  <c r="Z562" i="6"/>
  <c r="AD562" i="6" s="1"/>
  <c r="Z563" i="6"/>
  <c r="AD563" i="6" s="1"/>
  <c r="Z564" i="6"/>
  <c r="AD564" i="6" s="1"/>
  <c r="Z565" i="6"/>
  <c r="AD565" i="6" s="1"/>
  <c r="Z566" i="6"/>
  <c r="AD566" i="6" s="1"/>
  <c r="Z567" i="6"/>
  <c r="AD567" i="6" s="1"/>
  <c r="Z568" i="6"/>
  <c r="AD568" i="6" s="1"/>
  <c r="Z569" i="6"/>
  <c r="AD569" i="6" s="1"/>
  <c r="Z570" i="6"/>
  <c r="AD570" i="6" s="1"/>
  <c r="Z571" i="6"/>
  <c r="AD571" i="6" s="1"/>
  <c r="Z572" i="6"/>
  <c r="AD572" i="6" s="1"/>
  <c r="Z573" i="6"/>
  <c r="AD573" i="6" s="1"/>
  <c r="Z574" i="6"/>
  <c r="AD574" i="6" s="1"/>
  <c r="Z575" i="6"/>
  <c r="AD575" i="6" s="1"/>
  <c r="Z576" i="6"/>
  <c r="AD576" i="6" s="1"/>
  <c r="Z577" i="6"/>
  <c r="AD577" i="6" s="1"/>
  <c r="Z578" i="6"/>
  <c r="AD578" i="6" s="1"/>
  <c r="Z579" i="6"/>
  <c r="AD579" i="6" s="1"/>
  <c r="Z580" i="6"/>
  <c r="AD580" i="6" s="1"/>
  <c r="Z581" i="6"/>
  <c r="AD581" i="6" s="1"/>
  <c r="Z582" i="6"/>
  <c r="AD582" i="6" s="1"/>
  <c r="Z583" i="6"/>
  <c r="AD583" i="6" s="1"/>
  <c r="Z584" i="6"/>
  <c r="AD584" i="6" s="1"/>
  <c r="Z585" i="6"/>
  <c r="AD585" i="6" s="1"/>
  <c r="Z586" i="6"/>
  <c r="AD586" i="6" s="1"/>
  <c r="Z587" i="6"/>
  <c r="AD587" i="6" s="1"/>
  <c r="Z588" i="6"/>
  <c r="AD588" i="6" s="1"/>
  <c r="Z589" i="6"/>
  <c r="AD589" i="6" s="1"/>
  <c r="Z590" i="6"/>
  <c r="AD590" i="6" s="1"/>
  <c r="Z591" i="6"/>
  <c r="AD591" i="6" s="1"/>
  <c r="Z592" i="6"/>
  <c r="AD592" i="6" s="1"/>
  <c r="Z593" i="6"/>
  <c r="AD593" i="6" s="1"/>
  <c r="Z594" i="6"/>
  <c r="AD594" i="6" s="1"/>
  <c r="Z595" i="6"/>
  <c r="AD595" i="6" s="1"/>
  <c r="Z596" i="6"/>
  <c r="AD596" i="6" s="1"/>
  <c r="Z597" i="6"/>
  <c r="AD597" i="6" s="1"/>
  <c r="Z598" i="6"/>
  <c r="AD598" i="6" s="1"/>
  <c r="Z599" i="6"/>
  <c r="AD599" i="6" s="1"/>
  <c r="Z601" i="6"/>
  <c r="AD601" i="6" s="1"/>
  <c r="Z602" i="6"/>
  <c r="AD602" i="6" s="1"/>
  <c r="Z603" i="6"/>
  <c r="AD603" i="6" s="1"/>
  <c r="Z604" i="6"/>
  <c r="AD604" i="6" s="1"/>
  <c r="Z605" i="6"/>
  <c r="AD605" i="6" s="1"/>
  <c r="Z606" i="6"/>
  <c r="AD606" i="6" s="1"/>
  <c r="Z607" i="6"/>
  <c r="AD607" i="6" s="1"/>
  <c r="Z608" i="6"/>
  <c r="AD608" i="6" s="1"/>
  <c r="Z609" i="6"/>
  <c r="AD609" i="6" s="1"/>
  <c r="Z610" i="6"/>
  <c r="AD610" i="6" s="1"/>
  <c r="Z611" i="6"/>
  <c r="AD611" i="6" s="1"/>
  <c r="Z612" i="6"/>
  <c r="AD612" i="6" s="1"/>
  <c r="Z613" i="6"/>
  <c r="AD613" i="6" s="1"/>
  <c r="Z614" i="6"/>
  <c r="AD614" i="6" s="1"/>
  <c r="Z615" i="6"/>
  <c r="AD615" i="6" s="1"/>
  <c r="Z616" i="6"/>
  <c r="AD616" i="6" s="1"/>
  <c r="Z617" i="6"/>
  <c r="AD617" i="6" s="1"/>
  <c r="Z618" i="6"/>
  <c r="AD618" i="6" s="1"/>
  <c r="Z619" i="6"/>
  <c r="AD619" i="6" s="1"/>
  <c r="Z620" i="6"/>
  <c r="AD620" i="6" s="1"/>
  <c r="Z621" i="6"/>
  <c r="AD621" i="6" s="1"/>
  <c r="AA17" i="6"/>
  <c r="AE17" i="6" s="1"/>
  <c r="AA18" i="6"/>
  <c r="AE18" i="6" s="1"/>
  <c r="AA19" i="6"/>
  <c r="AE19" i="6" s="1"/>
  <c r="AA20" i="6"/>
  <c r="AE20" i="6" s="1"/>
  <c r="AA21" i="6"/>
  <c r="AE21" i="6" s="1"/>
  <c r="AA22" i="6"/>
  <c r="AE22" i="6" s="1"/>
  <c r="AA23" i="6"/>
  <c r="AE23" i="6" s="1"/>
  <c r="AA24" i="6"/>
  <c r="AE24" i="6" s="1"/>
  <c r="AA25" i="6"/>
  <c r="AE25" i="6" s="1"/>
  <c r="AA26" i="6"/>
  <c r="AE26" i="6" s="1"/>
  <c r="AA27" i="6"/>
  <c r="AE27" i="6" s="1"/>
  <c r="AA28" i="6"/>
  <c r="AE28" i="6" s="1"/>
  <c r="AA29" i="6"/>
  <c r="AE29" i="6" s="1"/>
  <c r="AA30" i="6"/>
  <c r="AE30" i="6" s="1"/>
  <c r="AA31" i="6"/>
  <c r="AE31" i="6" s="1"/>
  <c r="AA32" i="6"/>
  <c r="AE32" i="6" s="1"/>
  <c r="AA33" i="6"/>
  <c r="AE33" i="6" s="1"/>
  <c r="AA34" i="6"/>
  <c r="AE34" i="6" s="1"/>
  <c r="AA35" i="6"/>
  <c r="AE35" i="6" s="1"/>
  <c r="AA36" i="6"/>
  <c r="AE36" i="6" s="1"/>
  <c r="AA37" i="6"/>
  <c r="AE37" i="6" s="1"/>
  <c r="AA38" i="6"/>
  <c r="AE38" i="6" s="1"/>
  <c r="AA39" i="6"/>
  <c r="AE39" i="6" s="1"/>
  <c r="AA40" i="6"/>
  <c r="AE40" i="6" s="1"/>
  <c r="AA41" i="6"/>
  <c r="AE41" i="6" s="1"/>
  <c r="AA42" i="6"/>
  <c r="AE42" i="6" s="1"/>
  <c r="AA43" i="6"/>
  <c r="AE43" i="6" s="1"/>
  <c r="AA44" i="6"/>
  <c r="AE44" i="6" s="1"/>
  <c r="AA45" i="6"/>
  <c r="AE45" i="6" s="1"/>
  <c r="AA46" i="6"/>
  <c r="AE46" i="6" s="1"/>
  <c r="AA47" i="6"/>
  <c r="AE47" i="6" s="1"/>
  <c r="AA48" i="6"/>
  <c r="AE48" i="6" s="1"/>
  <c r="AA49" i="6"/>
  <c r="AE49" i="6" s="1"/>
  <c r="AA50" i="6"/>
  <c r="AE50" i="6" s="1"/>
  <c r="AA51" i="6"/>
  <c r="AE51" i="6" s="1"/>
  <c r="AA52" i="6"/>
  <c r="AE52" i="6" s="1"/>
  <c r="AA53" i="6"/>
  <c r="AE53" i="6" s="1"/>
  <c r="AA54" i="6"/>
  <c r="AE54" i="6" s="1"/>
  <c r="AA56" i="6"/>
  <c r="AE56" i="6" s="1"/>
  <c r="AA57" i="6"/>
  <c r="AE57" i="6" s="1"/>
  <c r="AA58" i="6"/>
  <c r="AE58" i="6" s="1"/>
  <c r="AA59" i="6"/>
  <c r="AE59" i="6" s="1"/>
  <c r="AA60" i="6"/>
  <c r="AE60" i="6" s="1"/>
  <c r="AA61" i="6"/>
  <c r="AE61" i="6" s="1"/>
  <c r="AA62" i="6"/>
  <c r="AE62" i="6" s="1"/>
  <c r="AA63" i="6"/>
  <c r="AE63" i="6" s="1"/>
  <c r="AA64" i="6"/>
  <c r="AE64" i="6" s="1"/>
  <c r="AA65" i="6"/>
  <c r="AE65" i="6" s="1"/>
  <c r="AA66" i="6"/>
  <c r="AE66" i="6" s="1"/>
  <c r="AA67" i="6"/>
  <c r="AE67" i="6" s="1"/>
  <c r="AA68" i="6"/>
  <c r="AE68" i="6" s="1"/>
  <c r="AA69" i="6"/>
  <c r="AE69" i="6" s="1"/>
  <c r="AA70" i="6"/>
  <c r="AE70" i="6" s="1"/>
  <c r="AA71" i="6"/>
  <c r="AE71" i="6" s="1"/>
  <c r="AA72" i="6"/>
  <c r="AE72" i="6" s="1"/>
  <c r="AA73" i="6"/>
  <c r="AE73" i="6" s="1"/>
  <c r="AA74" i="6"/>
  <c r="AE74" i="6" s="1"/>
  <c r="AA75" i="6"/>
  <c r="AE75" i="6" s="1"/>
  <c r="AA76" i="6"/>
  <c r="AE76" i="6" s="1"/>
  <c r="AA77" i="6"/>
  <c r="AE77" i="6" s="1"/>
  <c r="AA78" i="6"/>
  <c r="AE78" i="6" s="1"/>
  <c r="AA79" i="6"/>
  <c r="AE79" i="6" s="1"/>
  <c r="AA80" i="6"/>
  <c r="AE80" i="6" s="1"/>
  <c r="AA81" i="6"/>
  <c r="AE81" i="6" s="1"/>
  <c r="AA82" i="6"/>
  <c r="AE82" i="6" s="1"/>
  <c r="AA83" i="6"/>
  <c r="AE83" i="6" s="1"/>
  <c r="AA84" i="6"/>
  <c r="AE84" i="6" s="1"/>
  <c r="AA85" i="6"/>
  <c r="AE85" i="6" s="1"/>
  <c r="AA86" i="6"/>
  <c r="AE86" i="6" s="1"/>
  <c r="AA87" i="6"/>
  <c r="AE87" i="6" s="1"/>
  <c r="AA88" i="6"/>
  <c r="AE88" i="6" s="1"/>
  <c r="AA89" i="6"/>
  <c r="AE89" i="6" s="1"/>
  <c r="AA90" i="6"/>
  <c r="AE90" i="6" s="1"/>
  <c r="AA91" i="6"/>
  <c r="AE91" i="6" s="1"/>
  <c r="AA92" i="6"/>
  <c r="AE92" i="6" s="1"/>
  <c r="AA93" i="6"/>
  <c r="AE93" i="6" s="1"/>
  <c r="AA94" i="6"/>
  <c r="AE94" i="6" s="1"/>
  <c r="AA95" i="6"/>
  <c r="AE95" i="6" s="1"/>
  <c r="AA96" i="6"/>
  <c r="AE96" i="6" s="1"/>
  <c r="AA97" i="6"/>
  <c r="AE97" i="6" s="1"/>
  <c r="AA98" i="6"/>
  <c r="AE98" i="6" s="1"/>
  <c r="AA99" i="6"/>
  <c r="AE99" i="6" s="1"/>
  <c r="AA100" i="6"/>
  <c r="AE100" i="6" s="1"/>
  <c r="AA101" i="6"/>
  <c r="AE101" i="6" s="1"/>
  <c r="AA102" i="6"/>
  <c r="AE102" i="6" s="1"/>
  <c r="AA103" i="6"/>
  <c r="AE103" i="6" s="1"/>
  <c r="AA104" i="6"/>
  <c r="AE104" i="6" s="1"/>
  <c r="AA105" i="6"/>
  <c r="AE105" i="6" s="1"/>
  <c r="AA106" i="6"/>
  <c r="AE106" i="6" s="1"/>
  <c r="AA107" i="6"/>
  <c r="AE107" i="6" s="1"/>
  <c r="AA108" i="6"/>
  <c r="AE108" i="6" s="1"/>
  <c r="AA109" i="6"/>
  <c r="AE109" i="6" s="1"/>
  <c r="AA110" i="6"/>
  <c r="AE110" i="6" s="1"/>
  <c r="AA111" i="6"/>
  <c r="AE111" i="6" s="1"/>
  <c r="AA112" i="6"/>
  <c r="AE112" i="6" s="1"/>
  <c r="AA113" i="6"/>
  <c r="AE113" i="6" s="1"/>
  <c r="AA114" i="6"/>
  <c r="AE114" i="6" s="1"/>
  <c r="AA115" i="6"/>
  <c r="AE115" i="6" s="1"/>
  <c r="AA116" i="6"/>
  <c r="AE116" i="6" s="1"/>
  <c r="AA117" i="6"/>
  <c r="AE117" i="6" s="1"/>
  <c r="AA118" i="6"/>
  <c r="AE118" i="6" s="1"/>
  <c r="AA119" i="6"/>
  <c r="AE119" i="6" s="1"/>
  <c r="AA120" i="6"/>
  <c r="AE120" i="6" s="1"/>
  <c r="AA121" i="6"/>
  <c r="AE121" i="6" s="1"/>
  <c r="AA122" i="6"/>
  <c r="AE122" i="6" s="1"/>
  <c r="AA123" i="6"/>
  <c r="AE123" i="6" s="1"/>
  <c r="AA124" i="6"/>
  <c r="AE124" i="6" s="1"/>
  <c r="AA125" i="6"/>
  <c r="AE125" i="6" s="1"/>
  <c r="AA126" i="6"/>
  <c r="AE126" i="6" s="1"/>
  <c r="AA127" i="6"/>
  <c r="AE127" i="6" s="1"/>
  <c r="AA128" i="6"/>
  <c r="AE128" i="6" s="1"/>
  <c r="AA129" i="6"/>
  <c r="AE129" i="6" s="1"/>
  <c r="AA130" i="6"/>
  <c r="AE130" i="6" s="1"/>
  <c r="AA131" i="6"/>
  <c r="AE131" i="6" s="1"/>
  <c r="AA132" i="6"/>
  <c r="AE132" i="6" s="1"/>
  <c r="AA133" i="6"/>
  <c r="AE133" i="6" s="1"/>
  <c r="AA134" i="6"/>
  <c r="AE134" i="6" s="1"/>
  <c r="AA135" i="6"/>
  <c r="AE135" i="6" s="1"/>
  <c r="AA136" i="6"/>
  <c r="AE136" i="6" s="1"/>
  <c r="AA137" i="6"/>
  <c r="AE137" i="6" s="1"/>
  <c r="AA138" i="6"/>
  <c r="AE138" i="6" s="1"/>
  <c r="AA139" i="6"/>
  <c r="AE139" i="6" s="1"/>
  <c r="AA140" i="6"/>
  <c r="AE140" i="6" s="1"/>
  <c r="AA141" i="6"/>
  <c r="AE141" i="6" s="1"/>
  <c r="AA144" i="6"/>
  <c r="AE144" i="6" s="1"/>
  <c r="AA145" i="6"/>
  <c r="AE145" i="6" s="1"/>
  <c r="AA146" i="6"/>
  <c r="AE146" i="6" s="1"/>
  <c r="AA147" i="6"/>
  <c r="AE147" i="6" s="1"/>
  <c r="AA148" i="6"/>
  <c r="AE148" i="6" s="1"/>
  <c r="AA149" i="6"/>
  <c r="AE149" i="6" s="1"/>
  <c r="AA150" i="6"/>
  <c r="AE150" i="6" s="1"/>
  <c r="AA151" i="6"/>
  <c r="AE151" i="6" s="1"/>
  <c r="AA152" i="6"/>
  <c r="AE152" i="6" s="1"/>
  <c r="AA153" i="6"/>
  <c r="AE153" i="6" s="1"/>
  <c r="AA154" i="6"/>
  <c r="AE154" i="6" s="1"/>
  <c r="AA155" i="6"/>
  <c r="AE155" i="6" s="1"/>
  <c r="AA156" i="6"/>
  <c r="AE156" i="6" s="1"/>
  <c r="AA157" i="6"/>
  <c r="AE157" i="6" s="1"/>
  <c r="AA158" i="6"/>
  <c r="AE158" i="6" s="1"/>
  <c r="AA159" i="6"/>
  <c r="AE159" i="6" s="1"/>
  <c r="AA160" i="6"/>
  <c r="AE160" i="6" s="1"/>
  <c r="AA161" i="6"/>
  <c r="AE161" i="6" s="1"/>
  <c r="AA162" i="6"/>
  <c r="AE162" i="6" s="1"/>
  <c r="AA163" i="6"/>
  <c r="AE163" i="6" s="1"/>
  <c r="AA164" i="6"/>
  <c r="AE164" i="6" s="1"/>
  <c r="AA165" i="6"/>
  <c r="AE165" i="6" s="1"/>
  <c r="AA166" i="6"/>
  <c r="AE166" i="6" s="1"/>
  <c r="AA167" i="6"/>
  <c r="AE167" i="6" s="1"/>
  <c r="AA168" i="6"/>
  <c r="AE168" i="6" s="1"/>
  <c r="AA169" i="6"/>
  <c r="AE169" i="6" s="1"/>
  <c r="AA170" i="6"/>
  <c r="AE170" i="6" s="1"/>
  <c r="AA171" i="6"/>
  <c r="AE171" i="6" s="1"/>
  <c r="AA172" i="6"/>
  <c r="AE172" i="6" s="1"/>
  <c r="AA173" i="6"/>
  <c r="AE173" i="6" s="1"/>
  <c r="AA174" i="6"/>
  <c r="AE174" i="6" s="1"/>
  <c r="AA175" i="6"/>
  <c r="AE175" i="6" s="1"/>
  <c r="AA176" i="6"/>
  <c r="AE176" i="6" s="1"/>
  <c r="AA177" i="6"/>
  <c r="AE177" i="6" s="1"/>
  <c r="AA178" i="6"/>
  <c r="AE178" i="6" s="1"/>
  <c r="AA179" i="6"/>
  <c r="AE179" i="6" s="1"/>
  <c r="AA180" i="6"/>
  <c r="AE180" i="6" s="1"/>
  <c r="AA181" i="6"/>
  <c r="AE181" i="6" s="1"/>
  <c r="AA182" i="6"/>
  <c r="AE182" i="6" s="1"/>
  <c r="AA183" i="6"/>
  <c r="AE183" i="6" s="1"/>
  <c r="AA184" i="6"/>
  <c r="AE184" i="6" s="1"/>
  <c r="AA185" i="6"/>
  <c r="AE185" i="6" s="1"/>
  <c r="AA186" i="6"/>
  <c r="AE186" i="6" s="1"/>
  <c r="AA187" i="6"/>
  <c r="AE187" i="6" s="1"/>
  <c r="AA188" i="6"/>
  <c r="AE188" i="6" s="1"/>
  <c r="AA189" i="6"/>
  <c r="AE189" i="6" s="1"/>
  <c r="AA190" i="6"/>
  <c r="AE190" i="6" s="1"/>
  <c r="AA191" i="6"/>
  <c r="AE191" i="6" s="1"/>
  <c r="AA192" i="6"/>
  <c r="AE192" i="6" s="1"/>
  <c r="AA193" i="6"/>
  <c r="AE193" i="6" s="1"/>
  <c r="AA194" i="6"/>
  <c r="AE194" i="6" s="1"/>
  <c r="AA195" i="6"/>
  <c r="AE195" i="6" s="1"/>
  <c r="AA196" i="6"/>
  <c r="AE196" i="6" s="1"/>
  <c r="AA197" i="6"/>
  <c r="AE197" i="6" s="1"/>
  <c r="AA198" i="6"/>
  <c r="AE198" i="6" s="1"/>
  <c r="AA199" i="6"/>
  <c r="AE199" i="6" s="1"/>
  <c r="AA200" i="6"/>
  <c r="AE200" i="6" s="1"/>
  <c r="AA201" i="6"/>
  <c r="AE201" i="6" s="1"/>
  <c r="AA202" i="6"/>
  <c r="AE202" i="6" s="1"/>
  <c r="AA203" i="6"/>
  <c r="AE203" i="6" s="1"/>
  <c r="AA204" i="6"/>
  <c r="AE204" i="6" s="1"/>
  <c r="AA205" i="6"/>
  <c r="AE205" i="6" s="1"/>
  <c r="AA206" i="6"/>
  <c r="AE206" i="6" s="1"/>
  <c r="AA207" i="6"/>
  <c r="AE207" i="6" s="1"/>
  <c r="AA208" i="6"/>
  <c r="AE208" i="6" s="1"/>
  <c r="AA209" i="6"/>
  <c r="AE209" i="6" s="1"/>
  <c r="AA210" i="6"/>
  <c r="AE210" i="6" s="1"/>
  <c r="AA211" i="6"/>
  <c r="AE211" i="6" s="1"/>
  <c r="AA212" i="6"/>
  <c r="AE212" i="6" s="1"/>
  <c r="AA213" i="6"/>
  <c r="AE213" i="6" s="1"/>
  <c r="AA214" i="6"/>
  <c r="AE214" i="6" s="1"/>
  <c r="AA215" i="6"/>
  <c r="AE215" i="6" s="1"/>
  <c r="AA216" i="6"/>
  <c r="AE216" i="6" s="1"/>
  <c r="AA217" i="6"/>
  <c r="AE217" i="6" s="1"/>
  <c r="AA218" i="6"/>
  <c r="AE218" i="6" s="1"/>
  <c r="AA219" i="6"/>
  <c r="AE219" i="6" s="1"/>
  <c r="AA220" i="6"/>
  <c r="AE220" i="6" s="1"/>
  <c r="AA221" i="6"/>
  <c r="AE221" i="6" s="1"/>
  <c r="AA222" i="6"/>
  <c r="AE222" i="6" s="1"/>
  <c r="AA223" i="6"/>
  <c r="AE223" i="6" s="1"/>
  <c r="AA225" i="6"/>
  <c r="AE225" i="6" s="1"/>
  <c r="AA226" i="6"/>
  <c r="AE226" i="6" s="1"/>
  <c r="AA227" i="6"/>
  <c r="AE227" i="6" s="1"/>
  <c r="AA228" i="6"/>
  <c r="AE228" i="6" s="1"/>
  <c r="AA229" i="6"/>
  <c r="AE229" i="6" s="1"/>
  <c r="AA230" i="6"/>
  <c r="AE230" i="6" s="1"/>
  <c r="AA231" i="6"/>
  <c r="AE231" i="6" s="1"/>
  <c r="AA232" i="6"/>
  <c r="AE232" i="6" s="1"/>
  <c r="AA233" i="6"/>
  <c r="AE233" i="6" s="1"/>
  <c r="AA234" i="6"/>
  <c r="AE234" i="6" s="1"/>
  <c r="AA235" i="6"/>
  <c r="AE235" i="6" s="1"/>
  <c r="AA236" i="6"/>
  <c r="AE236" i="6" s="1"/>
  <c r="AA237" i="6"/>
  <c r="AE237" i="6" s="1"/>
  <c r="AA238" i="6"/>
  <c r="AE238" i="6" s="1"/>
  <c r="AA239" i="6"/>
  <c r="AE239" i="6" s="1"/>
  <c r="AA242" i="6"/>
  <c r="AE242" i="6" s="1"/>
  <c r="AA243" i="6"/>
  <c r="AE243" i="6" s="1"/>
  <c r="AA244" i="6"/>
  <c r="AE244" i="6" s="1"/>
  <c r="AA245" i="6"/>
  <c r="AE245" i="6" s="1"/>
  <c r="AA246" i="6"/>
  <c r="AE246" i="6" s="1"/>
  <c r="AA247" i="6"/>
  <c r="AE247" i="6" s="1"/>
  <c r="AA248" i="6"/>
  <c r="AE248" i="6" s="1"/>
  <c r="AA249" i="6"/>
  <c r="AE249" i="6" s="1"/>
  <c r="AA250" i="6"/>
  <c r="AE250" i="6" s="1"/>
  <c r="AA251" i="6"/>
  <c r="AE251" i="6" s="1"/>
  <c r="AA252" i="6"/>
  <c r="AE252" i="6" s="1"/>
  <c r="AA253" i="6"/>
  <c r="AE253" i="6" s="1"/>
  <c r="AA254" i="6"/>
  <c r="AE254" i="6" s="1"/>
  <c r="AA255" i="6"/>
  <c r="AE255" i="6" s="1"/>
  <c r="AA256" i="6"/>
  <c r="AE256" i="6" s="1"/>
  <c r="AA257" i="6"/>
  <c r="AE257" i="6" s="1"/>
  <c r="AA258" i="6"/>
  <c r="AE258" i="6" s="1"/>
  <c r="AA259" i="6"/>
  <c r="AE259" i="6" s="1"/>
  <c r="AA260" i="6"/>
  <c r="AE260" i="6" s="1"/>
  <c r="AA261" i="6"/>
  <c r="AE261" i="6" s="1"/>
  <c r="AA262" i="6"/>
  <c r="AE262" i="6" s="1"/>
  <c r="AA263" i="6"/>
  <c r="AE263" i="6" s="1"/>
  <c r="AA264" i="6"/>
  <c r="AE264" i="6" s="1"/>
  <c r="AA265" i="6"/>
  <c r="AE265" i="6" s="1"/>
  <c r="AA266" i="6"/>
  <c r="AE266" i="6" s="1"/>
  <c r="AA267" i="6"/>
  <c r="AE267" i="6" s="1"/>
  <c r="AA268" i="6"/>
  <c r="AE268" i="6" s="1"/>
  <c r="AA269" i="6"/>
  <c r="AE269" i="6" s="1"/>
  <c r="AA270" i="6"/>
  <c r="AE270" i="6" s="1"/>
  <c r="AA271" i="6"/>
  <c r="AE271" i="6" s="1"/>
  <c r="AA272" i="6"/>
  <c r="AE272" i="6" s="1"/>
  <c r="AA273" i="6"/>
  <c r="AE273" i="6" s="1"/>
  <c r="AA274" i="6"/>
  <c r="AE274" i="6" s="1"/>
  <c r="AA275" i="6"/>
  <c r="AE275" i="6" s="1"/>
  <c r="AA276" i="6"/>
  <c r="AE276" i="6" s="1"/>
  <c r="AA277" i="6"/>
  <c r="AE277" i="6" s="1"/>
  <c r="AA278" i="6"/>
  <c r="AE278" i="6" s="1"/>
  <c r="AA279" i="6"/>
  <c r="AE279" i="6" s="1"/>
  <c r="AA280" i="6"/>
  <c r="AE280" i="6" s="1"/>
  <c r="AA281" i="6"/>
  <c r="AE281" i="6" s="1"/>
  <c r="AA282" i="6"/>
  <c r="AE282" i="6" s="1"/>
  <c r="AA283" i="6"/>
  <c r="AE283" i="6" s="1"/>
  <c r="AA284" i="6"/>
  <c r="AE284" i="6" s="1"/>
  <c r="AA285" i="6"/>
  <c r="AE285" i="6" s="1"/>
  <c r="AA286" i="6"/>
  <c r="AE286" i="6" s="1"/>
  <c r="AA287" i="6"/>
  <c r="AE287" i="6" s="1"/>
  <c r="AA288" i="6"/>
  <c r="AE288" i="6" s="1"/>
  <c r="AA289" i="6"/>
  <c r="AE289" i="6" s="1"/>
  <c r="AA290" i="6"/>
  <c r="AE290" i="6" s="1"/>
  <c r="AA291" i="6"/>
  <c r="AE291" i="6" s="1"/>
  <c r="AA292" i="6"/>
  <c r="AE292" i="6" s="1"/>
  <c r="AA293" i="6"/>
  <c r="AE293" i="6" s="1"/>
  <c r="AA294" i="6"/>
  <c r="AE294" i="6" s="1"/>
  <c r="AA295" i="6"/>
  <c r="AE295" i="6" s="1"/>
  <c r="AA296" i="6"/>
  <c r="AE296" i="6" s="1"/>
  <c r="AA297" i="6"/>
  <c r="AE297" i="6" s="1"/>
  <c r="AA298" i="6"/>
  <c r="AE298" i="6" s="1"/>
  <c r="AA299" i="6"/>
  <c r="AE299" i="6" s="1"/>
  <c r="AA300" i="6"/>
  <c r="AE300" i="6" s="1"/>
  <c r="AA301" i="6"/>
  <c r="AE301" i="6" s="1"/>
  <c r="AA302" i="6"/>
  <c r="AE302" i="6" s="1"/>
  <c r="AA303" i="6"/>
  <c r="AE303" i="6" s="1"/>
  <c r="AA304" i="6"/>
  <c r="AE304" i="6" s="1"/>
  <c r="AA305" i="6"/>
  <c r="AE305" i="6" s="1"/>
  <c r="AA306" i="6"/>
  <c r="AE306" i="6" s="1"/>
  <c r="AA307" i="6"/>
  <c r="AE307" i="6" s="1"/>
  <c r="AA308" i="6"/>
  <c r="AE308" i="6" s="1"/>
  <c r="AA309" i="6"/>
  <c r="AE309" i="6" s="1"/>
  <c r="AA310" i="6"/>
  <c r="AE310" i="6" s="1"/>
  <c r="AA311" i="6"/>
  <c r="AE311" i="6" s="1"/>
  <c r="AA312" i="6"/>
  <c r="AE312" i="6" s="1"/>
  <c r="AA313" i="6"/>
  <c r="AE313" i="6" s="1"/>
  <c r="AA314" i="6"/>
  <c r="AE314" i="6" s="1"/>
  <c r="AA315" i="6"/>
  <c r="AE315" i="6" s="1"/>
  <c r="AA316" i="6"/>
  <c r="AE316" i="6" s="1"/>
  <c r="AA317" i="6"/>
  <c r="AE317" i="6" s="1"/>
  <c r="AA318" i="6"/>
  <c r="AE318" i="6" s="1"/>
  <c r="AA319" i="6"/>
  <c r="AE319" i="6" s="1"/>
  <c r="AA320" i="6"/>
  <c r="AE320" i="6" s="1"/>
  <c r="AA321" i="6"/>
  <c r="AE321" i="6" s="1"/>
  <c r="AA322" i="6"/>
  <c r="AE322" i="6" s="1"/>
  <c r="AA323" i="6"/>
  <c r="AE323" i="6" s="1"/>
  <c r="AA324" i="6"/>
  <c r="AE324" i="6" s="1"/>
  <c r="AA325" i="6"/>
  <c r="AE325" i="6" s="1"/>
  <c r="AA326" i="6"/>
  <c r="AE326" i="6" s="1"/>
  <c r="AA327" i="6"/>
  <c r="AE327" i="6" s="1"/>
  <c r="AA328" i="6"/>
  <c r="AE328" i="6" s="1"/>
  <c r="AA330" i="6"/>
  <c r="AE330" i="6" s="1"/>
  <c r="AA331" i="6"/>
  <c r="AE331" i="6" s="1"/>
  <c r="AA332" i="6"/>
  <c r="AE332" i="6" s="1"/>
  <c r="AA333" i="6"/>
  <c r="AE333" i="6" s="1"/>
  <c r="AA334" i="6"/>
  <c r="AE334" i="6" s="1"/>
  <c r="AA335" i="6"/>
  <c r="AE335" i="6" s="1"/>
  <c r="AA336" i="6"/>
  <c r="AE336" i="6" s="1"/>
  <c r="AA337" i="6"/>
  <c r="AE337" i="6" s="1"/>
  <c r="AA338" i="6"/>
  <c r="AE338" i="6" s="1"/>
  <c r="AA339" i="6"/>
  <c r="AE339" i="6" s="1"/>
  <c r="AA340" i="6"/>
  <c r="AE340" i="6" s="1"/>
  <c r="AA341" i="6"/>
  <c r="AE341" i="6" s="1"/>
  <c r="AA342" i="6"/>
  <c r="AE342" i="6" s="1"/>
  <c r="AA343" i="6"/>
  <c r="AE343" i="6" s="1"/>
  <c r="AA344" i="6"/>
  <c r="AE344" i="6" s="1"/>
  <c r="AA345" i="6"/>
  <c r="AE345" i="6" s="1"/>
  <c r="AA346" i="6"/>
  <c r="AE346" i="6" s="1"/>
  <c r="AA347" i="6"/>
  <c r="AE347" i="6" s="1"/>
  <c r="AA348" i="6"/>
  <c r="AE348" i="6" s="1"/>
  <c r="AA350" i="6"/>
  <c r="AE350" i="6" s="1"/>
  <c r="AA351" i="6"/>
  <c r="AE351" i="6" s="1"/>
  <c r="AA352" i="6"/>
  <c r="AE352" i="6" s="1"/>
  <c r="AA353" i="6"/>
  <c r="AE353" i="6" s="1"/>
  <c r="AA354" i="6"/>
  <c r="AE354" i="6" s="1"/>
  <c r="AA355" i="6"/>
  <c r="AE355" i="6" s="1"/>
  <c r="AA356" i="6"/>
  <c r="AE356" i="6" s="1"/>
  <c r="AA357" i="6"/>
  <c r="AE357" i="6" s="1"/>
  <c r="AA358" i="6"/>
  <c r="AE358" i="6" s="1"/>
  <c r="AA360" i="6"/>
  <c r="AE360" i="6" s="1"/>
  <c r="AA361" i="6"/>
  <c r="AE361" i="6" s="1"/>
  <c r="AA362" i="6"/>
  <c r="AE362" i="6" s="1"/>
  <c r="AA363" i="6"/>
  <c r="AE363" i="6" s="1"/>
  <c r="AA364" i="6"/>
  <c r="AE364" i="6" s="1"/>
  <c r="AA365" i="6"/>
  <c r="AE365" i="6" s="1"/>
  <c r="AA366" i="6"/>
  <c r="AE366" i="6" s="1"/>
  <c r="AA367" i="6"/>
  <c r="AE367" i="6" s="1"/>
  <c r="AA368" i="6"/>
  <c r="AE368" i="6" s="1"/>
  <c r="AA369" i="6"/>
  <c r="AE369" i="6" s="1"/>
  <c r="AA370" i="6"/>
  <c r="AE370" i="6" s="1"/>
  <c r="AA371" i="6"/>
  <c r="AE371" i="6" s="1"/>
  <c r="AA372" i="6"/>
  <c r="AE372" i="6" s="1"/>
  <c r="AA373" i="6"/>
  <c r="AE373" i="6" s="1"/>
  <c r="AA374" i="6"/>
  <c r="AE374" i="6" s="1"/>
  <c r="AA375" i="6"/>
  <c r="AE375" i="6" s="1"/>
  <c r="AA376" i="6"/>
  <c r="AE376" i="6" s="1"/>
  <c r="AA377" i="6"/>
  <c r="AE377" i="6" s="1"/>
  <c r="AA378" i="6"/>
  <c r="AE378" i="6" s="1"/>
  <c r="AA379" i="6"/>
  <c r="AE379" i="6" s="1"/>
  <c r="AA380" i="6"/>
  <c r="AE380" i="6" s="1"/>
  <c r="AA381" i="6"/>
  <c r="AE381" i="6" s="1"/>
  <c r="AA382" i="6"/>
  <c r="AE382" i="6" s="1"/>
  <c r="AA383" i="6"/>
  <c r="AE383" i="6" s="1"/>
  <c r="AA384" i="6"/>
  <c r="AE384" i="6" s="1"/>
  <c r="AA385" i="6"/>
  <c r="AE385" i="6" s="1"/>
  <c r="AA386" i="6"/>
  <c r="AE386" i="6" s="1"/>
  <c r="AA387" i="6"/>
  <c r="AE387" i="6" s="1"/>
  <c r="AA388" i="6"/>
  <c r="AE388" i="6" s="1"/>
  <c r="AA389" i="6"/>
  <c r="AE389" i="6" s="1"/>
  <c r="AA390" i="6"/>
  <c r="AE390" i="6" s="1"/>
  <c r="AA391" i="6"/>
  <c r="AE391" i="6" s="1"/>
  <c r="AA392" i="6"/>
  <c r="AE392" i="6" s="1"/>
  <c r="AA393" i="6"/>
  <c r="AE393" i="6" s="1"/>
  <c r="AA394" i="6"/>
  <c r="AE394" i="6" s="1"/>
  <c r="AA395" i="6"/>
  <c r="AE395" i="6" s="1"/>
  <c r="AA396" i="6"/>
  <c r="AE396" i="6" s="1"/>
  <c r="AA397" i="6"/>
  <c r="AE397" i="6" s="1"/>
  <c r="AA398" i="6"/>
  <c r="AE398" i="6" s="1"/>
  <c r="AA399" i="6"/>
  <c r="AE399" i="6" s="1"/>
  <c r="AA401" i="6"/>
  <c r="AE401" i="6" s="1"/>
  <c r="AA402" i="6"/>
  <c r="AE402" i="6" s="1"/>
  <c r="AA403" i="6"/>
  <c r="AE403" i="6" s="1"/>
  <c r="AA404" i="6"/>
  <c r="AE404" i="6" s="1"/>
  <c r="AA405" i="6"/>
  <c r="AE405" i="6" s="1"/>
  <c r="AA406" i="6"/>
  <c r="AE406" i="6" s="1"/>
  <c r="AA407" i="6"/>
  <c r="AE407" i="6" s="1"/>
  <c r="AA408" i="6"/>
  <c r="AE408" i="6" s="1"/>
  <c r="AA409" i="6"/>
  <c r="AE409" i="6" s="1"/>
  <c r="AA410" i="6"/>
  <c r="AE410" i="6" s="1"/>
  <c r="AA411" i="6"/>
  <c r="AE411" i="6" s="1"/>
  <c r="AA412" i="6"/>
  <c r="AE412" i="6" s="1"/>
  <c r="AA413" i="6"/>
  <c r="AE413" i="6" s="1"/>
  <c r="AA414" i="6"/>
  <c r="AE414" i="6" s="1"/>
  <c r="AA415" i="6"/>
  <c r="AE415" i="6" s="1"/>
  <c r="AA416" i="6"/>
  <c r="AE416" i="6" s="1"/>
  <c r="AA417" i="6"/>
  <c r="AE417" i="6" s="1"/>
  <c r="AA418" i="6"/>
  <c r="AE418" i="6" s="1"/>
  <c r="AA419" i="6"/>
  <c r="AE419" i="6" s="1"/>
  <c r="AA420" i="6"/>
  <c r="AE420" i="6" s="1"/>
  <c r="AA421" i="6"/>
  <c r="AE421" i="6" s="1"/>
  <c r="AA422" i="6"/>
  <c r="AE422" i="6" s="1"/>
  <c r="AA423" i="6"/>
  <c r="AE423" i="6" s="1"/>
  <c r="AA424" i="6"/>
  <c r="AE424" i="6" s="1"/>
  <c r="AA425" i="6"/>
  <c r="AE425" i="6" s="1"/>
  <c r="AA426" i="6"/>
  <c r="AE426" i="6" s="1"/>
  <c r="AA427" i="6"/>
  <c r="AE427" i="6" s="1"/>
  <c r="AA428" i="6"/>
  <c r="AE428" i="6" s="1"/>
  <c r="AA429" i="6"/>
  <c r="AE429" i="6" s="1"/>
  <c r="AA430" i="6"/>
  <c r="AE430" i="6" s="1"/>
  <c r="AA431" i="6"/>
  <c r="AE431" i="6" s="1"/>
  <c r="AA432" i="6"/>
  <c r="AE432" i="6" s="1"/>
  <c r="AA433" i="6"/>
  <c r="AE433" i="6" s="1"/>
  <c r="AA434" i="6"/>
  <c r="AE434" i="6" s="1"/>
  <c r="AA435" i="6"/>
  <c r="AE435" i="6" s="1"/>
  <c r="AA436" i="6"/>
  <c r="AE436" i="6" s="1"/>
  <c r="AA437" i="6"/>
  <c r="AE437" i="6" s="1"/>
  <c r="AA438" i="6"/>
  <c r="AE438" i="6" s="1"/>
  <c r="AA439" i="6"/>
  <c r="AE439" i="6" s="1"/>
  <c r="AA440" i="6"/>
  <c r="AE440" i="6" s="1"/>
  <c r="AA441" i="6"/>
  <c r="AE441" i="6" s="1"/>
  <c r="AA442" i="6"/>
  <c r="AE442" i="6" s="1"/>
  <c r="AA443" i="6"/>
  <c r="AE443" i="6" s="1"/>
  <c r="AA444" i="6"/>
  <c r="AE444" i="6" s="1"/>
  <c r="AA445" i="6"/>
  <c r="AE445" i="6" s="1"/>
  <c r="AA446" i="6"/>
  <c r="AE446" i="6" s="1"/>
  <c r="AA447" i="6"/>
  <c r="AE447" i="6" s="1"/>
  <c r="AA448" i="6"/>
  <c r="AE448" i="6" s="1"/>
  <c r="AA449" i="6"/>
  <c r="AE449" i="6" s="1"/>
  <c r="AA450" i="6"/>
  <c r="AE450" i="6" s="1"/>
  <c r="AA451" i="6"/>
  <c r="AE451" i="6" s="1"/>
  <c r="AA452" i="6"/>
  <c r="AE452" i="6" s="1"/>
  <c r="AA453" i="6"/>
  <c r="AE453" i="6" s="1"/>
  <c r="AA454" i="6"/>
  <c r="AE454" i="6" s="1"/>
  <c r="AA455" i="6"/>
  <c r="AE455" i="6" s="1"/>
  <c r="AA456" i="6"/>
  <c r="AE456" i="6" s="1"/>
  <c r="AA457" i="6"/>
  <c r="AE457" i="6" s="1"/>
  <c r="AA458" i="6"/>
  <c r="AE458" i="6" s="1"/>
  <c r="AA459" i="6"/>
  <c r="AE459" i="6" s="1"/>
  <c r="AA460" i="6"/>
  <c r="AE460" i="6" s="1"/>
  <c r="AA461" i="6"/>
  <c r="AE461" i="6" s="1"/>
  <c r="AA462" i="6"/>
  <c r="AE462" i="6" s="1"/>
  <c r="AA463" i="6"/>
  <c r="AE463" i="6" s="1"/>
  <c r="AA464" i="6"/>
  <c r="AE464" i="6" s="1"/>
  <c r="AA465" i="6"/>
  <c r="AE465" i="6" s="1"/>
  <c r="AA466" i="6"/>
  <c r="AE466" i="6" s="1"/>
  <c r="AA467" i="6"/>
  <c r="AE467" i="6" s="1"/>
  <c r="AA468" i="6"/>
  <c r="AE468" i="6" s="1"/>
  <c r="AA469" i="6"/>
  <c r="AE469" i="6" s="1"/>
  <c r="AA470" i="6"/>
  <c r="AE470" i="6" s="1"/>
  <c r="AA471" i="6"/>
  <c r="AE471" i="6" s="1"/>
  <c r="AA472" i="6"/>
  <c r="AE472" i="6" s="1"/>
  <c r="AA473" i="6"/>
  <c r="AE473" i="6" s="1"/>
  <c r="AA474" i="6"/>
  <c r="AE474" i="6" s="1"/>
  <c r="AA475" i="6"/>
  <c r="AE475" i="6" s="1"/>
  <c r="AA478" i="6"/>
  <c r="AE478" i="6" s="1"/>
  <c r="AA479" i="6"/>
  <c r="AE479" i="6" s="1"/>
  <c r="AA480" i="6"/>
  <c r="AE480" i="6" s="1"/>
  <c r="AA481" i="6"/>
  <c r="AE481" i="6" s="1"/>
  <c r="AA482" i="6"/>
  <c r="AE482" i="6" s="1"/>
  <c r="AA483" i="6"/>
  <c r="AE483" i="6" s="1"/>
  <c r="AA484" i="6"/>
  <c r="AE484" i="6" s="1"/>
  <c r="AA485" i="6"/>
  <c r="AE485" i="6" s="1"/>
  <c r="AA486" i="6"/>
  <c r="AE486" i="6" s="1"/>
  <c r="AA487" i="6"/>
  <c r="AE487" i="6" s="1"/>
  <c r="AA489" i="6"/>
  <c r="AE489" i="6" s="1"/>
  <c r="AA490" i="6"/>
  <c r="AE490" i="6" s="1"/>
  <c r="AA491" i="6"/>
  <c r="AE491" i="6" s="1"/>
  <c r="AA492" i="6"/>
  <c r="AE492" i="6" s="1"/>
  <c r="AA493" i="6"/>
  <c r="AE493" i="6" s="1"/>
  <c r="AA494" i="6"/>
  <c r="AE494" i="6" s="1"/>
  <c r="AA495" i="6"/>
  <c r="AE495" i="6" s="1"/>
  <c r="AA496" i="6"/>
  <c r="AE496" i="6" s="1"/>
  <c r="AA497" i="6"/>
  <c r="AE497" i="6" s="1"/>
  <c r="AA498" i="6"/>
  <c r="AE498" i="6" s="1"/>
  <c r="AA499" i="6"/>
  <c r="AE499" i="6" s="1"/>
  <c r="AA500" i="6"/>
  <c r="AE500" i="6" s="1"/>
  <c r="AA501" i="6"/>
  <c r="AE501" i="6" s="1"/>
  <c r="AA502" i="6"/>
  <c r="AE502" i="6" s="1"/>
  <c r="AA503" i="6"/>
  <c r="AE503" i="6" s="1"/>
  <c r="AA504" i="6"/>
  <c r="AE504" i="6" s="1"/>
  <c r="AA505" i="6"/>
  <c r="AE505" i="6" s="1"/>
  <c r="AA506" i="6"/>
  <c r="AE506" i="6" s="1"/>
  <c r="AA507" i="6"/>
  <c r="AE507" i="6" s="1"/>
  <c r="AA508" i="6"/>
  <c r="AE508" i="6" s="1"/>
  <c r="AA509" i="6"/>
  <c r="AE509" i="6" s="1"/>
  <c r="AA510" i="6"/>
  <c r="AE510" i="6" s="1"/>
  <c r="AA511" i="6"/>
  <c r="AE511" i="6" s="1"/>
  <c r="AA512" i="6"/>
  <c r="AE512" i="6" s="1"/>
  <c r="AA513" i="6"/>
  <c r="AE513" i="6" s="1"/>
  <c r="AA514" i="6"/>
  <c r="AE514" i="6" s="1"/>
  <c r="AA515" i="6"/>
  <c r="AE515" i="6" s="1"/>
  <c r="AA516" i="6"/>
  <c r="AE516" i="6" s="1"/>
  <c r="AA517" i="6"/>
  <c r="AE517" i="6" s="1"/>
  <c r="AA518" i="6"/>
  <c r="AE518" i="6" s="1"/>
  <c r="AA519" i="6"/>
  <c r="AE519" i="6" s="1"/>
  <c r="AA520" i="6"/>
  <c r="AE520" i="6" s="1"/>
  <c r="AA521" i="6"/>
  <c r="AE521" i="6" s="1"/>
  <c r="AA522" i="6"/>
  <c r="AE522" i="6" s="1"/>
  <c r="AA523" i="6"/>
  <c r="AE523" i="6" s="1"/>
  <c r="AA524" i="6"/>
  <c r="AE524" i="6" s="1"/>
  <c r="AA525" i="6"/>
  <c r="AE525" i="6" s="1"/>
  <c r="AA526" i="6"/>
  <c r="AE526" i="6" s="1"/>
  <c r="AA527" i="6"/>
  <c r="AE527" i="6" s="1"/>
  <c r="AA528" i="6"/>
  <c r="AE528" i="6" s="1"/>
  <c r="AA529" i="6"/>
  <c r="AE529" i="6" s="1"/>
  <c r="AA530" i="6"/>
  <c r="AE530" i="6" s="1"/>
  <c r="AA531" i="6"/>
  <c r="AE531" i="6" s="1"/>
  <c r="AA532" i="6"/>
  <c r="AE532" i="6" s="1"/>
  <c r="AA533" i="6"/>
  <c r="AE533" i="6" s="1"/>
  <c r="AA534" i="6"/>
  <c r="AE534" i="6" s="1"/>
  <c r="AA535" i="6"/>
  <c r="AE535" i="6" s="1"/>
  <c r="AA536" i="6"/>
  <c r="AE536" i="6" s="1"/>
  <c r="AA537" i="6"/>
  <c r="AE537" i="6" s="1"/>
  <c r="AA538" i="6"/>
  <c r="AE538" i="6" s="1"/>
  <c r="AA539" i="6"/>
  <c r="AE539" i="6" s="1"/>
  <c r="AA540" i="6"/>
  <c r="AE540" i="6" s="1"/>
  <c r="AA541" i="6"/>
  <c r="AE541" i="6" s="1"/>
  <c r="AA542" i="6"/>
  <c r="AE542" i="6" s="1"/>
  <c r="AA543" i="6"/>
  <c r="AE543" i="6" s="1"/>
  <c r="AA544" i="6"/>
  <c r="AE544" i="6" s="1"/>
  <c r="AA545" i="6"/>
  <c r="AE545" i="6" s="1"/>
  <c r="AA546" i="6"/>
  <c r="AE546" i="6" s="1"/>
  <c r="AA547" i="6"/>
  <c r="AE547" i="6" s="1"/>
  <c r="AA548" i="6"/>
  <c r="AE548" i="6" s="1"/>
  <c r="AA549" i="6"/>
  <c r="AE549" i="6" s="1"/>
  <c r="AA550" i="6"/>
  <c r="AE550" i="6" s="1"/>
  <c r="AA551" i="6"/>
  <c r="AE551" i="6" s="1"/>
  <c r="AA552" i="6"/>
  <c r="AE552" i="6" s="1"/>
  <c r="AA553" i="6"/>
  <c r="AE553" i="6" s="1"/>
  <c r="AA554" i="6"/>
  <c r="AE554" i="6" s="1"/>
  <c r="AA555" i="6"/>
  <c r="AE555" i="6" s="1"/>
  <c r="AA556" i="6"/>
  <c r="AE556" i="6" s="1"/>
  <c r="AA557" i="6"/>
  <c r="AE557" i="6" s="1"/>
  <c r="AA558" i="6"/>
  <c r="AE558" i="6" s="1"/>
  <c r="AA559" i="6"/>
  <c r="AE559" i="6" s="1"/>
  <c r="AA560" i="6"/>
  <c r="AE560" i="6" s="1"/>
  <c r="AA561" i="6"/>
  <c r="AE561" i="6" s="1"/>
  <c r="AA562" i="6"/>
  <c r="AE562" i="6" s="1"/>
  <c r="AA563" i="6"/>
  <c r="AE563" i="6" s="1"/>
  <c r="AA564" i="6"/>
  <c r="AE564" i="6" s="1"/>
  <c r="AA565" i="6"/>
  <c r="AE565" i="6" s="1"/>
  <c r="AA566" i="6"/>
  <c r="AE566" i="6" s="1"/>
  <c r="AA567" i="6"/>
  <c r="AE567" i="6" s="1"/>
  <c r="AA568" i="6"/>
  <c r="AE568" i="6" s="1"/>
  <c r="AA569" i="6"/>
  <c r="AE569" i="6" s="1"/>
  <c r="AA570" i="6"/>
  <c r="AE570" i="6" s="1"/>
  <c r="AA571" i="6"/>
  <c r="AE571" i="6" s="1"/>
  <c r="AA572" i="6"/>
  <c r="AE572" i="6" s="1"/>
  <c r="AA573" i="6"/>
  <c r="AE573" i="6" s="1"/>
  <c r="AA574" i="6"/>
  <c r="AE574" i="6" s="1"/>
  <c r="AA575" i="6"/>
  <c r="AE575" i="6" s="1"/>
  <c r="AA576" i="6"/>
  <c r="AE576" i="6" s="1"/>
  <c r="AA577" i="6"/>
  <c r="AE577" i="6" s="1"/>
  <c r="AA578" i="6"/>
  <c r="AE578" i="6" s="1"/>
  <c r="AA579" i="6"/>
  <c r="AE579" i="6" s="1"/>
  <c r="AA580" i="6"/>
  <c r="AE580" i="6" s="1"/>
  <c r="AA581" i="6"/>
  <c r="AE581" i="6" s="1"/>
  <c r="AA582" i="6"/>
  <c r="AE582" i="6" s="1"/>
  <c r="AA583" i="6"/>
  <c r="AE583" i="6" s="1"/>
  <c r="AA584" i="6"/>
  <c r="AE584" i="6" s="1"/>
  <c r="AA585" i="6"/>
  <c r="AE585" i="6" s="1"/>
  <c r="AA586" i="6"/>
  <c r="AE586" i="6" s="1"/>
  <c r="AA587" i="6"/>
  <c r="AE587" i="6" s="1"/>
  <c r="AA588" i="6"/>
  <c r="AE588" i="6" s="1"/>
  <c r="AA589" i="6"/>
  <c r="AE589" i="6" s="1"/>
  <c r="AA590" i="6"/>
  <c r="AE590" i="6" s="1"/>
  <c r="AA591" i="6"/>
  <c r="AE591" i="6" s="1"/>
  <c r="AA592" i="6"/>
  <c r="AE592" i="6" s="1"/>
  <c r="AA593" i="6"/>
  <c r="AE593" i="6" s="1"/>
  <c r="AA594" i="6"/>
  <c r="AE594" i="6" s="1"/>
  <c r="AA595" i="6"/>
  <c r="AE595" i="6" s="1"/>
  <c r="AA596" i="6"/>
  <c r="AE596" i="6" s="1"/>
  <c r="AA597" i="6"/>
  <c r="AE597" i="6" s="1"/>
  <c r="AA598" i="6"/>
  <c r="AE598" i="6" s="1"/>
  <c r="AA599" i="6"/>
  <c r="AE599" i="6" s="1"/>
  <c r="AA601" i="6"/>
  <c r="AE601" i="6" s="1"/>
  <c r="AA602" i="6"/>
  <c r="AE602" i="6" s="1"/>
  <c r="AA603" i="6"/>
  <c r="AE603" i="6" s="1"/>
  <c r="AA604" i="6"/>
  <c r="AE604" i="6" s="1"/>
  <c r="AA605" i="6"/>
  <c r="AE605" i="6" s="1"/>
  <c r="AA606" i="6"/>
  <c r="AE606" i="6" s="1"/>
  <c r="AA607" i="6"/>
  <c r="AE607" i="6" s="1"/>
  <c r="AA608" i="6"/>
  <c r="AE608" i="6" s="1"/>
  <c r="AA609" i="6"/>
  <c r="AE609" i="6" s="1"/>
  <c r="AA610" i="6"/>
  <c r="AE610" i="6" s="1"/>
  <c r="AA611" i="6"/>
  <c r="AE611" i="6" s="1"/>
  <c r="AA612" i="6"/>
  <c r="AE612" i="6" s="1"/>
  <c r="AA613" i="6"/>
  <c r="AE613" i="6" s="1"/>
  <c r="AA614" i="6"/>
  <c r="AE614" i="6" s="1"/>
  <c r="AA615" i="6"/>
  <c r="AE615" i="6" s="1"/>
  <c r="AA616" i="6"/>
  <c r="AE616" i="6" s="1"/>
  <c r="AA617" i="6"/>
  <c r="AE617" i="6" s="1"/>
  <c r="AA618" i="6"/>
  <c r="AE618" i="6" s="1"/>
  <c r="AA619" i="6"/>
  <c r="AE619" i="6" s="1"/>
  <c r="AA620" i="6"/>
  <c r="AE620" i="6" s="1"/>
  <c r="AA621" i="6"/>
  <c r="AE621" i="6" s="1"/>
  <c r="AB17" i="6"/>
  <c r="AB24" i="6"/>
  <c r="AB32" i="6"/>
  <c r="AB40" i="6"/>
  <c r="AB48" i="6"/>
  <c r="AB53" i="6"/>
  <c r="AB58" i="6"/>
  <c r="AB62" i="6"/>
  <c r="AB66" i="6"/>
  <c r="AB81" i="6"/>
  <c r="AB89" i="6"/>
  <c r="AB97" i="6"/>
  <c r="AB122" i="6"/>
  <c r="AB126" i="6"/>
  <c r="AB130" i="6"/>
  <c r="AB134" i="6"/>
  <c r="AB138" i="6"/>
  <c r="AB156" i="6"/>
  <c r="AB176" i="6"/>
  <c r="AB180" i="6"/>
  <c r="AB192" i="6"/>
  <c r="AB200" i="6"/>
  <c r="AB211" i="6"/>
  <c r="AB225" i="6"/>
  <c r="AB233" i="6"/>
  <c r="AB243" i="6"/>
  <c r="AB249" i="6"/>
  <c r="AB275" i="6"/>
  <c r="AB278" i="6"/>
  <c r="AB295" i="6"/>
  <c r="AB319" i="6"/>
  <c r="AB327" i="6"/>
  <c r="AB332" i="6"/>
  <c r="AB340" i="6"/>
  <c r="AB490" i="6"/>
  <c r="AB498" i="6"/>
  <c r="AB506" i="6"/>
  <c r="AB514" i="6"/>
  <c r="AB522" i="6"/>
  <c r="AB538" i="6"/>
  <c r="AB546" i="6"/>
  <c r="AB554" i="6"/>
  <c r="AB562" i="6"/>
  <c r="AB570" i="6"/>
  <c r="AB586" i="6"/>
  <c r="AB603" i="6"/>
  <c r="AC95" i="6"/>
  <c r="AC107" i="6"/>
  <c r="AC111" i="6"/>
  <c r="AC145" i="6"/>
  <c r="AC161" i="6"/>
  <c r="AC169" i="6"/>
  <c r="AC177" i="6"/>
  <c r="AC209" i="6"/>
  <c r="AC260" i="6"/>
  <c r="AC288" i="6"/>
  <c r="AC292" i="6"/>
  <c r="AC300" i="6"/>
  <c r="AC358" i="6"/>
  <c r="AC367" i="6"/>
  <c r="AC375" i="6"/>
  <c r="AC391" i="6"/>
  <c r="AC408" i="6"/>
  <c r="AC416" i="6"/>
  <c r="AC424" i="6"/>
  <c r="AC440" i="6"/>
  <c r="AC456" i="6"/>
  <c r="AC472" i="6"/>
  <c r="AC579" i="6"/>
  <c r="AD50" i="6"/>
  <c r="AD56" i="6"/>
  <c r="AD64" i="6"/>
  <c r="AD227" i="6"/>
  <c r="AF48" i="6"/>
  <c r="AF56" i="6"/>
  <c r="AF85" i="6"/>
  <c r="AF125" i="6"/>
  <c r="AF141" i="6"/>
  <c r="AF154" i="6"/>
  <c r="AF162" i="6"/>
  <c r="AF202" i="6"/>
  <c r="AG96" i="6"/>
  <c r="AG136" i="6"/>
  <c r="AG151" i="6"/>
  <c r="AG154" i="6"/>
  <c r="AG167" i="6"/>
  <c r="AG245"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5" i="6"/>
  <c r="AH226" i="6"/>
  <c r="AH227" i="6"/>
  <c r="AH228" i="6"/>
  <c r="AH229" i="6"/>
  <c r="AH230" i="6"/>
  <c r="AH231" i="6"/>
  <c r="AH232" i="6"/>
  <c r="AH233" i="6"/>
  <c r="AH234" i="6"/>
  <c r="AH235" i="6"/>
  <c r="AH236" i="6"/>
  <c r="AH237" i="6"/>
  <c r="AH238" i="6"/>
  <c r="AH239"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30" i="6"/>
  <c r="AH331" i="6"/>
  <c r="AH332" i="6"/>
  <c r="AH333" i="6"/>
  <c r="AH334" i="6"/>
  <c r="AH335" i="6"/>
  <c r="AH336" i="6"/>
  <c r="AH337" i="6"/>
  <c r="AH338" i="6"/>
  <c r="AH339" i="6"/>
  <c r="AH340" i="6"/>
  <c r="AH341" i="6"/>
  <c r="AH342" i="6"/>
  <c r="AH343" i="6"/>
  <c r="AH344" i="6"/>
  <c r="AH345" i="6"/>
  <c r="AH346" i="6"/>
  <c r="AH347" i="6"/>
  <c r="AH348" i="6"/>
  <c r="AH350" i="6"/>
  <c r="AH351" i="6"/>
  <c r="AH352" i="6"/>
  <c r="AH353" i="6"/>
  <c r="AH354" i="6"/>
  <c r="AH355" i="6"/>
  <c r="AH356" i="6"/>
  <c r="AH357" i="6"/>
  <c r="AH358"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H459" i="6"/>
  <c r="AH460" i="6"/>
  <c r="AH461" i="6"/>
  <c r="AH462" i="6"/>
  <c r="AH463" i="6"/>
  <c r="AH464" i="6"/>
  <c r="AH465" i="6"/>
  <c r="AH466" i="6"/>
  <c r="AH467" i="6"/>
  <c r="AH468" i="6"/>
  <c r="AH469" i="6"/>
  <c r="AH470" i="6"/>
  <c r="AH471" i="6"/>
  <c r="AH472" i="6"/>
  <c r="AH473" i="6"/>
  <c r="AH474" i="6"/>
  <c r="AH475" i="6"/>
  <c r="AH478" i="6"/>
  <c r="AH479" i="6"/>
  <c r="AH480" i="6"/>
  <c r="AH481" i="6"/>
  <c r="AH482" i="6"/>
  <c r="AH483" i="6"/>
  <c r="AH484" i="6"/>
  <c r="AH485" i="6"/>
  <c r="AH486" i="6"/>
  <c r="AH487" i="6"/>
  <c r="AH489" i="6"/>
  <c r="AH490" i="6"/>
  <c r="AH491" i="6"/>
  <c r="AH492" i="6"/>
  <c r="AH493" i="6"/>
  <c r="AH494" i="6"/>
  <c r="AH495" i="6"/>
  <c r="AH496" i="6"/>
  <c r="AH497" i="6"/>
  <c r="AH498" i="6"/>
  <c r="AH499" i="6"/>
  <c r="AH500" i="6"/>
  <c r="AH501" i="6"/>
  <c r="AH502" i="6"/>
  <c r="AH503" i="6"/>
  <c r="AH504" i="6"/>
  <c r="AH505" i="6"/>
  <c r="AH506" i="6"/>
  <c r="AH507" i="6"/>
  <c r="AH508" i="6"/>
  <c r="AH509" i="6"/>
  <c r="AH510" i="6"/>
  <c r="AH511" i="6"/>
  <c r="AH512" i="6"/>
  <c r="AH513" i="6"/>
  <c r="AH514" i="6"/>
  <c r="AH515" i="6"/>
  <c r="AH516" i="6"/>
  <c r="AH517" i="6"/>
  <c r="AH518" i="6"/>
  <c r="AH519" i="6"/>
  <c r="AH520" i="6"/>
  <c r="AH521" i="6"/>
  <c r="AH522" i="6"/>
  <c r="AH523" i="6"/>
  <c r="AH524" i="6"/>
  <c r="AH525" i="6"/>
  <c r="AH526" i="6"/>
  <c r="AH527" i="6"/>
  <c r="AH528" i="6"/>
  <c r="AH529" i="6"/>
  <c r="AH530" i="6"/>
  <c r="AH531" i="6"/>
  <c r="AH532" i="6"/>
  <c r="AH533" i="6"/>
  <c r="AH534" i="6"/>
  <c r="AH535" i="6"/>
  <c r="AH536" i="6"/>
  <c r="AH537" i="6"/>
  <c r="AH538" i="6"/>
  <c r="AH539" i="6"/>
  <c r="AH540" i="6"/>
  <c r="AH541" i="6"/>
  <c r="AH542" i="6"/>
  <c r="AH543" i="6"/>
  <c r="AH544" i="6"/>
  <c r="AH545" i="6"/>
  <c r="AH546" i="6"/>
  <c r="AH547" i="6"/>
  <c r="AH548" i="6"/>
  <c r="AH549" i="6"/>
  <c r="AH550" i="6"/>
  <c r="AH551" i="6"/>
  <c r="AH552" i="6"/>
  <c r="AH553" i="6"/>
  <c r="AH554" i="6"/>
  <c r="AH555" i="6"/>
  <c r="AH556" i="6"/>
  <c r="AH557" i="6"/>
  <c r="AH558" i="6"/>
  <c r="AH559" i="6"/>
  <c r="AH560" i="6"/>
  <c r="AH561" i="6"/>
  <c r="AH562" i="6"/>
  <c r="AH563" i="6"/>
  <c r="AH564" i="6"/>
  <c r="AH565" i="6"/>
  <c r="AH566" i="6"/>
  <c r="AH567" i="6"/>
  <c r="AH568" i="6"/>
  <c r="AH569" i="6"/>
  <c r="AH570" i="6"/>
  <c r="AH571" i="6"/>
  <c r="AH572" i="6"/>
  <c r="AH573" i="6"/>
  <c r="AH574" i="6"/>
  <c r="AH575" i="6"/>
  <c r="AH576" i="6"/>
  <c r="AH577" i="6"/>
  <c r="AH578" i="6"/>
  <c r="AH579" i="6"/>
  <c r="AH580" i="6"/>
  <c r="AH581" i="6"/>
  <c r="AH582" i="6"/>
  <c r="AH583" i="6"/>
  <c r="AH584" i="6"/>
  <c r="AH585" i="6"/>
  <c r="AH586" i="6"/>
  <c r="AH587" i="6"/>
  <c r="AH588" i="6"/>
  <c r="AH589" i="6"/>
  <c r="AH590" i="6"/>
  <c r="AH591" i="6"/>
  <c r="AH592" i="6"/>
  <c r="AH593" i="6"/>
  <c r="AH594" i="6"/>
  <c r="AH595" i="6"/>
  <c r="AH596" i="6"/>
  <c r="AH597" i="6"/>
  <c r="AH598" i="6"/>
  <c r="AH599" i="6"/>
  <c r="AH601" i="6"/>
  <c r="AH602" i="6"/>
  <c r="AH603" i="6"/>
  <c r="AH604" i="6"/>
  <c r="AH605" i="6"/>
  <c r="AH606" i="6"/>
  <c r="AH607" i="6"/>
  <c r="AH608" i="6"/>
  <c r="AH609" i="6"/>
  <c r="AH610" i="6"/>
  <c r="AH611" i="6"/>
  <c r="AH612" i="6"/>
  <c r="AH613" i="6"/>
  <c r="AH614" i="6"/>
  <c r="AH615" i="6"/>
  <c r="AH616" i="6"/>
  <c r="AH617" i="6"/>
  <c r="AH618" i="6"/>
  <c r="AH619" i="6"/>
  <c r="AH620" i="6"/>
  <c r="AH621" i="6"/>
  <c r="AI72" i="6"/>
  <c r="AI154" i="6"/>
  <c r="AI162" i="6"/>
  <c r="AI202" i="6"/>
  <c r="AI203" i="6"/>
  <c r="AI253" i="6"/>
  <c r="AG430" i="6" l="1"/>
  <c r="AG347" i="6"/>
  <c r="AG331" i="6"/>
  <c r="AI136" i="6"/>
  <c r="AG194" i="6"/>
  <c r="AG89" i="6"/>
  <c r="AF113" i="6"/>
  <c r="AI97" i="6"/>
  <c r="AG187" i="6"/>
  <c r="AG72" i="6"/>
  <c r="AF112" i="6"/>
  <c r="AI96" i="6"/>
  <c r="AG186" i="6"/>
  <c r="AF211" i="6"/>
  <c r="AF104" i="6"/>
  <c r="AI269" i="6"/>
  <c r="AG261" i="6"/>
  <c r="AI261" i="6"/>
  <c r="AG253" i="6"/>
  <c r="AF210" i="6"/>
  <c r="AI210" i="6"/>
  <c r="AG392" i="6"/>
  <c r="AF277" i="6"/>
  <c r="AF269" i="6"/>
  <c r="AI441" i="6"/>
  <c r="AG343" i="6"/>
  <c r="AF40" i="6"/>
  <c r="AF147" i="6"/>
  <c r="AI417" i="6"/>
  <c r="AI245" i="6"/>
  <c r="AI194" i="6"/>
  <c r="AI129" i="6"/>
  <c r="AI65" i="6"/>
  <c r="AG235" i="6"/>
  <c r="AG178" i="6"/>
  <c r="AG128" i="6"/>
  <c r="AG64" i="6"/>
  <c r="AI392" i="6"/>
  <c r="AI236" i="6"/>
  <c r="AI186" i="6"/>
  <c r="AI128" i="6"/>
  <c r="AI64" i="6"/>
  <c r="AG293" i="6"/>
  <c r="AG227" i="6"/>
  <c r="AG170" i="6"/>
  <c r="AG121" i="6"/>
  <c r="AG56" i="6"/>
  <c r="AI293" i="6"/>
  <c r="AI235" i="6"/>
  <c r="AI178" i="6"/>
  <c r="AI120" i="6"/>
  <c r="AI57" i="6"/>
  <c r="AG285" i="6"/>
  <c r="AG218" i="6"/>
  <c r="AG120" i="6"/>
  <c r="AG48" i="6"/>
  <c r="AF179" i="6"/>
  <c r="AF81" i="6"/>
  <c r="AI285" i="6"/>
  <c r="AI227" i="6"/>
  <c r="AI171" i="6"/>
  <c r="AI112" i="6"/>
  <c r="AG277" i="6"/>
  <c r="AI218" i="6"/>
  <c r="AI170" i="6"/>
  <c r="AI104" i="6"/>
  <c r="AG155" i="6"/>
  <c r="AI465" i="6"/>
  <c r="AG457" i="6"/>
  <c r="AG417" i="6"/>
  <c r="AI410" i="6"/>
  <c r="AI402" i="6"/>
  <c r="AG426" i="6"/>
  <c r="AI393" i="6"/>
  <c r="AF343" i="6"/>
  <c r="AF246" i="6"/>
  <c r="AI458" i="6"/>
  <c r="AI246" i="6"/>
  <c r="AF335" i="6"/>
  <c r="AI450" i="6"/>
  <c r="AI335" i="6"/>
  <c r="AI442" i="6"/>
  <c r="AI195" i="6"/>
  <c r="AI163" i="6"/>
  <c r="AG211" i="6"/>
  <c r="AG179" i="6"/>
  <c r="AG81" i="6"/>
  <c r="AG40" i="6"/>
  <c r="AF203" i="6"/>
  <c r="AF171" i="6"/>
  <c r="AF137" i="6"/>
  <c r="AF73" i="6"/>
  <c r="AF32" i="6"/>
  <c r="AI434" i="6"/>
  <c r="AI385" i="6"/>
  <c r="AI270" i="6"/>
  <c r="AI228" i="6"/>
  <c r="AI121" i="6"/>
  <c r="AI89" i="6"/>
  <c r="AG113" i="6"/>
  <c r="AG73" i="6"/>
  <c r="AG32" i="6"/>
  <c r="AF236" i="6"/>
  <c r="AF105" i="6"/>
  <c r="AF24" i="6"/>
  <c r="AI474" i="6"/>
  <c r="AI426" i="6"/>
  <c r="AI377" i="6"/>
  <c r="AI187" i="6"/>
  <c r="AI155" i="6"/>
  <c r="AG402" i="6"/>
  <c r="AG147" i="6"/>
  <c r="AG24" i="6"/>
  <c r="AF195" i="6"/>
  <c r="AF163" i="6"/>
  <c r="AF129" i="6"/>
  <c r="AF65" i="6"/>
  <c r="AI466" i="6"/>
  <c r="AI418" i="6"/>
  <c r="AI361" i="6"/>
  <c r="AG137" i="6"/>
  <c r="AG105" i="6"/>
  <c r="AF270" i="6"/>
  <c r="AF228" i="6"/>
  <c r="AF97" i="6"/>
  <c r="AG377" i="6"/>
  <c r="AF393" i="6"/>
  <c r="AF57" i="6"/>
  <c r="AG450" i="6"/>
  <c r="AG361" i="6"/>
  <c r="AI82" i="6"/>
  <c r="AF394" i="6"/>
  <c r="AF229" i="6"/>
  <c r="AF607" i="6"/>
  <c r="AF74" i="6"/>
  <c r="AI106" i="6"/>
  <c r="AG427" i="6"/>
  <c r="AG362" i="6"/>
  <c r="AG90" i="6"/>
  <c r="AF598" i="6"/>
  <c r="AI459" i="6"/>
  <c r="AG598" i="6"/>
  <c r="AG148" i="6"/>
  <c r="AG114" i="6"/>
  <c r="AF517" i="6"/>
  <c r="AF98" i="6"/>
  <c r="AF25" i="6"/>
  <c r="AI427" i="6"/>
  <c r="AI237" i="6"/>
  <c r="AG237" i="6"/>
  <c r="AI362" i="6"/>
  <c r="AI164" i="6"/>
  <c r="AG565" i="6"/>
  <c r="AF459" i="6"/>
  <c r="AG501" i="6"/>
  <c r="AG164" i="6"/>
  <c r="AG41" i="6"/>
  <c r="AF458" i="6"/>
  <c r="AF148" i="6"/>
  <c r="AI549" i="6"/>
  <c r="AI403" i="6"/>
  <c r="AG403" i="6"/>
  <c r="AF172" i="6"/>
  <c r="AI533" i="6"/>
  <c r="AI212" i="6"/>
  <c r="AG451" i="6"/>
  <c r="AG212" i="6"/>
  <c r="AG66" i="6"/>
  <c r="AF49" i="6"/>
  <c r="AF17" i="6"/>
  <c r="AI503" i="6"/>
  <c r="AI394" i="6"/>
  <c r="AI33" i="6"/>
  <c r="AG419" i="6"/>
  <c r="AG33" i="6"/>
  <c r="AF451" i="6"/>
  <c r="AI485" i="6"/>
  <c r="AI419" i="6"/>
  <c r="AI205" i="6"/>
  <c r="AI156" i="6"/>
  <c r="AI75" i="6"/>
  <c r="AG485" i="6"/>
  <c r="AG443" i="6"/>
  <c r="AG418" i="6"/>
  <c r="AG205" i="6"/>
  <c r="AG106" i="6"/>
  <c r="AG82" i="6"/>
  <c r="AG58" i="6"/>
  <c r="AF494" i="6"/>
  <c r="AF385" i="6"/>
  <c r="AF320" i="6"/>
  <c r="AF114" i="6"/>
  <c r="AF386" i="6"/>
  <c r="AI443" i="6"/>
  <c r="AI336" i="6"/>
  <c r="AI229" i="6"/>
  <c r="AI204" i="6"/>
  <c r="AI98" i="6"/>
  <c r="AI74" i="6"/>
  <c r="AI25" i="6"/>
  <c r="AG467" i="6"/>
  <c r="AG442" i="6"/>
  <c r="AG204" i="6"/>
  <c r="AG156" i="6"/>
  <c r="AF493" i="6"/>
  <c r="AF411" i="6"/>
  <c r="AF378" i="6"/>
  <c r="AF90" i="6"/>
  <c r="AF66" i="6"/>
  <c r="AF41" i="6"/>
  <c r="AI615" i="6"/>
  <c r="AI467" i="6"/>
  <c r="AI386" i="6"/>
  <c r="AI256" i="6"/>
  <c r="AI172" i="6"/>
  <c r="AI49" i="6"/>
  <c r="AG466" i="6"/>
  <c r="AG435" i="6"/>
  <c r="AG411" i="6"/>
  <c r="AF410" i="6"/>
  <c r="AI607" i="6"/>
  <c r="AI303" i="6"/>
  <c r="AI17" i="6"/>
  <c r="AG615" i="6"/>
  <c r="AG434" i="6"/>
  <c r="AF435" i="6"/>
  <c r="AF363" i="6"/>
  <c r="AI34" i="6"/>
  <c r="AI58" i="6"/>
  <c r="AI378" i="6"/>
  <c r="AG311" i="6"/>
  <c r="AF364" i="6"/>
  <c r="AI257" i="6"/>
  <c r="AG257" i="6"/>
  <c r="AI495" i="6"/>
  <c r="AI363" i="6"/>
  <c r="AI321" i="6"/>
  <c r="AI280" i="6"/>
  <c r="AI91" i="6"/>
  <c r="AG511" i="6"/>
  <c r="AG280" i="6"/>
  <c r="AG221" i="6"/>
  <c r="AG108" i="6"/>
  <c r="AF312" i="6"/>
  <c r="AF265" i="6"/>
  <c r="AF84" i="6"/>
  <c r="AF26" i="6"/>
  <c r="AI487" i="6"/>
  <c r="AI320" i="6"/>
  <c r="AI221" i="6"/>
  <c r="AI50" i="6"/>
  <c r="AG503" i="6"/>
  <c r="AG330" i="6"/>
  <c r="AG68" i="6"/>
  <c r="AG27" i="6"/>
  <c r="AF567" i="6"/>
  <c r="AF264" i="6"/>
  <c r="AF190" i="6"/>
  <c r="AF99" i="6"/>
  <c r="AF83" i="6"/>
  <c r="AF43" i="6"/>
  <c r="AI92" i="6"/>
  <c r="AF124" i="6"/>
  <c r="AF68" i="6"/>
  <c r="AI313" i="6"/>
  <c r="AI273" i="6"/>
  <c r="AG214" i="6"/>
  <c r="AG124" i="6"/>
  <c r="AG84" i="6"/>
  <c r="AG26" i="6"/>
  <c r="AF345" i="6"/>
  <c r="AF289" i="6"/>
  <c r="AF206" i="6"/>
  <c r="AF42" i="6"/>
  <c r="AF27" i="6"/>
  <c r="AI551" i="6"/>
  <c r="AI345" i="6"/>
  <c r="AI214" i="6"/>
  <c r="AI18" i="6"/>
  <c r="AG355" i="6"/>
  <c r="AG305" i="6"/>
  <c r="AG83" i="6"/>
  <c r="AG43" i="6"/>
  <c r="AF288" i="6"/>
  <c r="AF59" i="6"/>
  <c r="AI182" i="6"/>
  <c r="AG281" i="6"/>
  <c r="AF313" i="6"/>
  <c r="AI297" i="6"/>
  <c r="AI116" i="6"/>
  <c r="AG354" i="6"/>
  <c r="AG304" i="6"/>
  <c r="AG264" i="6"/>
  <c r="AG190" i="6"/>
  <c r="AG99" i="6"/>
  <c r="AG42" i="6"/>
  <c r="AF338" i="6"/>
  <c r="AF222" i="6"/>
  <c r="AI543" i="6"/>
  <c r="AI338" i="6"/>
  <c r="AI296" i="6"/>
  <c r="AI140" i="6"/>
  <c r="AI115" i="6"/>
  <c r="AI76" i="6"/>
  <c r="AI60" i="6"/>
  <c r="AG59" i="6"/>
  <c r="AF108" i="6"/>
  <c r="AI535" i="6"/>
  <c r="AI337" i="6"/>
  <c r="AI312" i="6"/>
  <c r="AI289" i="6"/>
  <c r="AI230" i="6"/>
  <c r="AI213" i="6"/>
  <c r="AI132" i="6"/>
  <c r="AI100" i="6"/>
  <c r="AG495" i="6"/>
  <c r="AG373" i="6"/>
  <c r="AG346" i="6"/>
  <c r="AG328" i="6"/>
  <c r="AG297" i="6"/>
  <c r="AG256" i="6"/>
  <c r="AG230" i="6"/>
  <c r="AG213" i="6"/>
  <c r="AG183" i="6"/>
  <c r="AG107" i="6"/>
  <c r="AG67" i="6"/>
  <c r="AF454" i="6"/>
  <c r="AF337" i="6"/>
  <c r="AF305" i="6"/>
  <c r="AF281" i="6"/>
  <c r="AF140" i="6"/>
  <c r="AF107" i="6"/>
  <c r="AF67" i="6"/>
  <c r="AI288" i="6"/>
  <c r="AI250" i="6"/>
  <c r="AI198" i="6"/>
  <c r="AG567" i="6"/>
  <c r="AG364" i="6"/>
  <c r="AG321" i="6"/>
  <c r="AG296" i="6"/>
  <c r="AG273" i="6"/>
  <c r="AG199" i="6"/>
  <c r="AG182" i="6"/>
  <c r="AG92" i="6"/>
  <c r="AG77" i="6"/>
  <c r="AG51" i="6"/>
  <c r="AG35" i="6"/>
  <c r="AG19" i="6"/>
  <c r="AF389" i="6"/>
  <c r="AF304" i="6"/>
  <c r="AF51" i="6"/>
  <c r="AF35" i="6"/>
  <c r="AF19" i="6"/>
  <c r="AI527" i="6"/>
  <c r="AI355" i="6"/>
  <c r="AI266" i="6"/>
  <c r="AI249" i="6"/>
  <c r="AG470" i="6"/>
  <c r="AG249" i="6"/>
  <c r="AG198" i="6"/>
  <c r="AG116" i="6"/>
  <c r="AG91" i="6"/>
  <c r="AG76" i="6"/>
  <c r="AG50" i="6"/>
  <c r="AG34" i="6"/>
  <c r="AG18" i="6"/>
  <c r="AF330" i="6"/>
  <c r="AI519" i="6"/>
  <c r="AI354" i="6"/>
  <c r="AI282" i="6"/>
  <c r="AI265" i="6"/>
  <c r="AG535" i="6"/>
  <c r="AG115" i="6"/>
  <c r="AG75" i="6"/>
  <c r="AF328" i="6"/>
  <c r="AF132" i="6"/>
  <c r="AI575" i="6"/>
  <c r="AI511" i="6"/>
  <c r="AI381" i="6"/>
  <c r="AI346" i="6"/>
  <c r="AI298" i="6"/>
  <c r="AI222" i="6"/>
  <c r="AI206" i="6"/>
  <c r="AG519" i="6"/>
  <c r="AG100" i="6"/>
  <c r="AG60" i="6"/>
  <c r="AI438" i="6"/>
  <c r="AI397" i="6"/>
  <c r="AI314" i="6"/>
  <c r="AI69" i="6"/>
  <c r="AI20" i="6"/>
  <c r="AG365" i="6"/>
  <c r="AG290" i="6"/>
  <c r="AG274" i="6"/>
  <c r="AG258" i="6"/>
  <c r="AG242" i="6"/>
  <c r="AG223" i="6"/>
  <c r="AG28" i="6"/>
  <c r="AF430" i="6"/>
  <c r="AF322" i="6"/>
  <c r="AF191" i="6"/>
  <c r="AF175" i="6"/>
  <c r="AF159" i="6"/>
  <c r="AF61" i="6"/>
  <c r="AF36" i="6"/>
  <c r="AI454" i="6"/>
  <c r="AI347" i="6"/>
  <c r="AI133" i="6"/>
  <c r="AI117" i="6"/>
  <c r="AI44" i="6"/>
  <c r="AG446" i="6"/>
  <c r="AG389" i="6"/>
  <c r="AG306" i="6"/>
  <c r="AG207" i="6"/>
  <c r="AG52" i="6"/>
  <c r="AF470" i="6"/>
  <c r="AF406" i="6"/>
  <c r="AF339" i="6"/>
  <c r="AF298" i="6"/>
  <c r="AF282" i="6"/>
  <c r="AF266" i="6"/>
  <c r="AF250" i="6"/>
  <c r="AI414" i="6"/>
  <c r="AI373" i="6"/>
  <c r="AI331" i="6"/>
  <c r="AI199" i="6"/>
  <c r="AI183" i="6"/>
  <c r="AI167" i="6"/>
  <c r="AI151" i="6"/>
  <c r="AI77" i="6"/>
  <c r="AG462" i="6"/>
  <c r="AG422" i="6"/>
  <c r="AG406" i="6"/>
  <c r="AG322" i="6"/>
  <c r="AG141" i="6"/>
  <c r="AG125" i="6"/>
  <c r="AG85" i="6"/>
  <c r="AF446" i="6"/>
  <c r="AF381" i="6"/>
  <c r="AF69" i="6"/>
  <c r="AF20" i="6"/>
  <c r="AI365" i="6"/>
  <c r="AI306" i="6"/>
  <c r="AI290" i="6"/>
  <c r="AI274" i="6"/>
  <c r="AI258" i="6"/>
  <c r="AI242" i="6"/>
  <c r="AI223" i="6"/>
  <c r="AI28" i="6"/>
  <c r="AG339" i="6"/>
  <c r="AG191" i="6"/>
  <c r="AG175" i="6"/>
  <c r="AG159" i="6"/>
  <c r="AG61" i="6"/>
  <c r="AG36" i="6"/>
  <c r="AF422" i="6"/>
  <c r="AF314" i="6"/>
  <c r="AF133" i="6"/>
  <c r="AF117" i="6"/>
  <c r="AF44" i="6"/>
  <c r="AI207" i="6"/>
  <c r="AI52" i="6"/>
  <c r="AG438" i="6"/>
  <c r="AF462" i="6"/>
  <c r="AF397" i="6"/>
  <c r="AG414" i="6"/>
  <c r="AF168" i="6"/>
  <c r="AI118" i="6"/>
  <c r="AG259" i="6"/>
  <c r="AF78" i="6"/>
  <c r="AF45" i="6"/>
  <c r="AI423" i="6"/>
  <c r="AG144" i="6"/>
  <c r="AF126" i="6"/>
  <c r="AI160" i="6"/>
  <c r="AG37" i="6"/>
  <c r="AI184" i="6"/>
  <c r="AI144" i="6"/>
  <c r="AI37" i="6"/>
  <c r="AG340" i="6"/>
  <c r="AI455" i="6"/>
  <c r="AG168" i="6"/>
  <c r="AG126" i="6"/>
  <c r="AG78" i="6"/>
  <c r="AG45" i="6"/>
  <c r="AF152" i="6"/>
  <c r="AF86" i="6"/>
  <c r="AF21" i="6"/>
  <c r="AF340" i="6"/>
  <c r="AF176" i="6"/>
  <c r="AF134" i="6"/>
  <c r="AI283" i="6"/>
  <c r="AG192" i="6"/>
  <c r="AG152" i="6"/>
  <c r="AG86" i="6"/>
  <c r="AG21" i="6"/>
  <c r="AF463" i="6"/>
  <c r="AF29" i="6"/>
  <c r="AI251" i="6"/>
  <c r="AG176" i="6"/>
  <c r="AG134" i="6"/>
  <c r="AF398" i="6"/>
  <c r="AF160" i="6"/>
  <c r="AF118" i="6"/>
  <c r="AG29" i="6"/>
  <c r="AI390" i="6"/>
  <c r="AI366" i="6"/>
  <c r="AG291" i="6"/>
  <c r="AF464" i="6"/>
  <c r="AI464" i="6"/>
  <c r="AF408" i="6"/>
  <c r="AI408" i="6"/>
  <c r="AI350" i="6"/>
  <c r="AF350" i="6"/>
  <c r="AF161" i="6"/>
  <c r="AG161" i="6"/>
  <c r="AG416" i="6"/>
  <c r="AF416" i="6"/>
  <c r="AG399" i="6"/>
  <c r="AF399" i="6"/>
  <c r="AI276" i="6"/>
  <c r="AF276" i="6"/>
  <c r="AF260" i="6"/>
  <c r="AG260" i="6"/>
  <c r="AF234" i="6"/>
  <c r="AG234" i="6"/>
  <c r="AG209" i="6"/>
  <c r="AF209" i="6"/>
  <c r="AI209" i="6"/>
  <c r="AF135" i="6"/>
  <c r="AG135" i="6"/>
  <c r="AF95" i="6"/>
  <c r="AG95" i="6"/>
  <c r="AF431" i="6"/>
  <c r="AI448" i="6"/>
  <c r="AI391" i="6"/>
  <c r="AI284" i="6"/>
  <c r="AI260" i="6"/>
  <c r="AI234" i="6"/>
  <c r="AI185" i="6"/>
  <c r="AI135" i="6"/>
  <c r="AI95" i="6"/>
  <c r="AG391" i="6"/>
  <c r="AG375" i="6"/>
  <c r="AG358" i="6"/>
  <c r="AG324" i="6"/>
  <c r="AG284" i="6"/>
  <c r="AG217" i="6"/>
  <c r="AG185" i="6"/>
  <c r="AF383" i="6"/>
  <c r="AF316" i="6"/>
  <c r="AF300" i="6"/>
  <c r="AF145" i="6"/>
  <c r="AF103" i="6"/>
  <c r="AI432" i="6"/>
  <c r="AI375" i="6"/>
  <c r="AI358" i="6"/>
  <c r="AI324" i="6"/>
  <c r="AI308" i="6"/>
  <c r="AI217" i="6"/>
  <c r="AG464" i="6"/>
  <c r="AG308" i="6"/>
  <c r="AG145" i="6"/>
  <c r="AG103" i="6"/>
  <c r="AF472" i="6"/>
  <c r="AI472" i="6"/>
  <c r="AG448" i="6"/>
  <c r="AG432" i="6"/>
  <c r="AG367" i="6"/>
  <c r="AG292" i="6"/>
  <c r="AG268" i="6"/>
  <c r="AG244" i="6"/>
  <c r="AG193" i="6"/>
  <c r="AF456" i="6"/>
  <c r="AF440" i="6"/>
  <c r="AF119" i="6"/>
  <c r="AF111" i="6"/>
  <c r="AI456" i="6"/>
  <c r="AI416" i="6"/>
  <c r="AI399" i="6"/>
  <c r="AI367" i="6"/>
  <c r="AI292" i="6"/>
  <c r="AI268" i="6"/>
  <c r="AI244" i="6"/>
  <c r="AI193" i="6"/>
  <c r="AG350" i="6"/>
  <c r="AG119" i="6"/>
  <c r="AG111" i="6"/>
  <c r="AF424" i="6"/>
  <c r="AG383" i="6"/>
  <c r="AG316" i="6"/>
  <c r="AF127" i="6"/>
  <c r="AI440" i="6"/>
  <c r="AI424" i="6"/>
  <c r="AI252" i="6"/>
  <c r="AI153" i="6"/>
  <c r="AG300" i="6"/>
  <c r="AG276" i="6"/>
  <c r="AG252" i="6"/>
  <c r="AG201" i="6"/>
  <c r="AG127" i="6"/>
  <c r="AI201" i="6"/>
  <c r="AI591" i="6"/>
  <c r="AG551" i="6"/>
  <c r="AI583" i="6"/>
  <c r="AG543" i="6"/>
  <c r="AF575" i="6"/>
  <c r="AG527" i="6"/>
  <c r="AI559" i="6"/>
  <c r="AG591" i="6"/>
  <c r="AI530" i="6"/>
  <c r="AI554" i="6"/>
  <c r="AI571" i="6"/>
  <c r="AG523" i="6"/>
  <c r="AI499" i="6"/>
  <c r="AI564" i="6"/>
  <c r="AI516" i="6"/>
  <c r="AI540" i="6"/>
  <c r="AI621" i="6"/>
  <c r="AI588" i="6"/>
  <c r="AI556" i="6"/>
  <c r="AI508" i="6"/>
  <c r="AI483" i="6"/>
  <c r="AI613" i="6"/>
  <c r="AI580" i="6"/>
  <c r="AI532" i="6"/>
  <c r="AI500" i="6"/>
  <c r="AI605" i="6"/>
  <c r="AI572" i="6"/>
  <c r="AI548" i="6"/>
  <c r="AI524" i="6"/>
  <c r="AI596" i="6"/>
  <c r="AI492" i="6"/>
  <c r="AF559" i="6"/>
  <c r="AI479" i="6"/>
  <c r="AG608" i="6"/>
  <c r="AI520" i="6"/>
  <c r="AG491" i="6"/>
  <c r="AI587" i="6"/>
  <c r="AI531" i="6"/>
  <c r="AI515" i="6"/>
  <c r="AG515" i="6"/>
  <c r="AI563" i="6"/>
  <c r="AI547" i="6"/>
  <c r="AI491" i="6"/>
  <c r="AI612" i="6"/>
  <c r="AI604" i="6"/>
  <c r="AG547" i="6"/>
  <c r="AG507" i="6"/>
  <c r="AI579" i="6"/>
  <c r="AI507" i="6"/>
  <c r="AI620" i="6"/>
  <c r="AI555" i="6"/>
  <c r="AI539" i="6"/>
  <c r="AI523" i="6"/>
  <c r="AI595" i="6"/>
  <c r="AI482" i="6"/>
  <c r="AG571" i="6"/>
  <c r="AG499" i="6"/>
  <c r="AG604" i="6"/>
  <c r="AG539" i="6"/>
  <c r="AG595" i="6"/>
  <c r="AG563" i="6"/>
  <c r="AG531" i="6"/>
  <c r="AF555" i="6"/>
  <c r="AG587" i="6"/>
  <c r="AG612" i="6"/>
  <c r="AG579" i="6"/>
  <c r="AG621" i="6"/>
  <c r="AG588" i="6"/>
  <c r="AF549" i="6"/>
  <c r="AF483" i="6"/>
  <c r="AI525" i="6"/>
  <c r="AG573" i="6"/>
  <c r="AG509" i="6"/>
  <c r="AF557" i="6"/>
  <c r="AI509" i="6"/>
  <c r="AI493" i="6"/>
  <c r="AG484" i="6"/>
  <c r="AF525" i="6"/>
  <c r="AI597" i="6"/>
  <c r="AI581" i="6"/>
  <c r="AI565" i="6"/>
  <c r="AF581" i="6"/>
  <c r="AG541" i="6"/>
  <c r="AF573" i="6"/>
  <c r="AI517" i="6"/>
  <c r="AI501" i="6"/>
  <c r="AF541" i="6"/>
  <c r="AF484" i="6"/>
  <c r="AI589" i="6"/>
  <c r="AI557" i="6"/>
  <c r="AG533" i="6"/>
  <c r="AI618" i="6"/>
  <c r="AI552" i="6"/>
  <c r="AG487" i="6"/>
  <c r="AF512" i="6"/>
  <c r="AF560" i="6"/>
  <c r="AF536" i="6"/>
  <c r="AG479" i="6"/>
  <c r="AG584" i="6"/>
  <c r="AI611" i="6"/>
  <c r="AG530" i="6"/>
  <c r="AG546" i="6"/>
  <c r="AI619" i="6"/>
  <c r="AI603" i="6"/>
  <c r="AF611" i="6"/>
  <c r="AG603" i="6"/>
  <c r="AG619" i="6"/>
  <c r="AG578" i="6"/>
  <c r="AF538" i="6"/>
  <c r="AF605" i="6"/>
  <c r="AF620" i="6"/>
  <c r="AG572" i="6"/>
  <c r="AG556" i="6"/>
  <c r="AF580" i="6"/>
  <c r="AF564" i="6"/>
  <c r="AF548" i="6"/>
  <c r="AF613" i="6"/>
  <c r="AF596" i="6"/>
  <c r="AI582" i="6"/>
  <c r="AI315" i="6"/>
  <c r="AF299" i="6"/>
  <c r="AF267" i="6"/>
  <c r="AF233" i="6"/>
  <c r="AF200" i="6"/>
  <c r="AF169" i="6"/>
  <c r="AI291" i="6"/>
  <c r="AI259" i="6"/>
  <c r="AI192" i="6"/>
  <c r="AI161" i="6"/>
  <c r="AG323" i="6"/>
  <c r="AG299" i="6"/>
  <c r="AG267" i="6"/>
  <c r="AG233" i="6"/>
  <c r="AG200" i="6"/>
  <c r="AG169" i="6"/>
  <c r="AF526" i="6"/>
  <c r="AF323" i="6"/>
  <c r="AG348" i="6"/>
  <c r="AF348" i="6"/>
  <c r="AF275" i="6"/>
  <c r="AF243" i="6"/>
  <c r="AF216" i="6"/>
  <c r="AF177" i="6"/>
  <c r="AG486" i="6"/>
  <c r="AG275" i="6"/>
  <c r="AG243" i="6"/>
  <c r="AG216" i="6"/>
  <c r="AG177" i="6"/>
  <c r="AF307" i="6"/>
  <c r="AG332" i="6"/>
  <c r="AG307" i="6"/>
  <c r="AF332" i="6"/>
  <c r="AF283" i="6"/>
  <c r="AF251" i="6"/>
  <c r="AF184" i="6"/>
  <c r="AF153" i="6"/>
  <c r="AI518" i="6"/>
  <c r="AG356" i="6"/>
  <c r="AF356" i="6"/>
  <c r="AG518" i="6"/>
  <c r="AG315" i="6"/>
  <c r="AF610" i="6"/>
  <c r="AF465" i="6"/>
  <c r="AF441" i="6"/>
  <c r="AF311" i="6"/>
  <c r="AI602" i="6"/>
  <c r="AI578" i="6"/>
  <c r="AI506" i="6"/>
  <c r="AG514" i="6"/>
  <c r="AG498" i="6"/>
  <c r="AG376" i="6"/>
  <c r="AG319" i="6"/>
  <c r="AF594" i="6"/>
  <c r="AF522" i="6"/>
  <c r="AF482" i="6"/>
  <c r="AI425" i="6"/>
  <c r="AI401" i="6"/>
  <c r="AI376" i="6"/>
  <c r="AG602" i="6"/>
  <c r="AG586" i="6"/>
  <c r="AG401" i="6"/>
  <c r="AG353" i="6"/>
  <c r="AF506" i="6"/>
  <c r="AF319" i="6"/>
  <c r="AI586" i="6"/>
  <c r="AI562" i="6"/>
  <c r="AI538" i="6"/>
  <c r="AI490" i="6"/>
  <c r="AI473" i="6"/>
  <c r="AI449" i="6"/>
  <c r="AG425" i="6"/>
  <c r="AG360" i="6"/>
  <c r="AG327" i="6"/>
  <c r="AG295" i="6"/>
  <c r="AF546" i="6"/>
  <c r="AF490" i="6"/>
  <c r="AF473" i="6"/>
  <c r="AF449" i="6"/>
  <c r="AF353" i="6"/>
  <c r="AI610" i="6"/>
  <c r="AI514" i="6"/>
  <c r="AG522" i="6"/>
  <c r="AG384" i="6"/>
  <c r="AG368" i="6"/>
  <c r="AF360" i="6"/>
  <c r="AF327" i="6"/>
  <c r="AF295" i="6"/>
  <c r="AI457" i="6"/>
  <c r="AI433" i="6"/>
  <c r="AI409" i="6"/>
  <c r="AI384" i="6"/>
  <c r="AI368" i="6"/>
  <c r="AG409" i="6"/>
  <c r="AG336" i="6"/>
  <c r="AG303" i="6"/>
  <c r="AF433" i="6"/>
  <c r="AI594" i="6"/>
  <c r="AI570" i="6"/>
  <c r="AI498" i="6"/>
  <c r="AI592" i="6"/>
  <c r="AG520" i="6"/>
  <c r="AG496" i="6"/>
  <c r="AG471" i="6"/>
  <c r="AG439" i="6"/>
  <c r="AG407" i="6"/>
  <c r="AG374" i="6"/>
  <c r="AF608" i="6"/>
  <c r="AF584" i="6"/>
  <c r="AI560" i="6"/>
  <c r="AI528" i="6"/>
  <c r="AI463" i="6"/>
  <c r="AI431" i="6"/>
  <c r="AI398" i="6"/>
  <c r="AG616" i="6"/>
  <c r="AG568" i="6"/>
  <c r="AG544" i="6"/>
  <c r="AG23" i="6"/>
  <c r="AF496" i="6"/>
  <c r="AF471" i="6"/>
  <c r="AF439" i="6"/>
  <c r="AF407" i="6"/>
  <c r="AF374" i="6"/>
  <c r="AI599" i="6"/>
  <c r="AG592" i="6"/>
  <c r="AG447" i="6"/>
  <c r="AG415" i="6"/>
  <c r="AG382" i="6"/>
  <c r="AF616" i="6"/>
  <c r="AF568" i="6"/>
  <c r="AF544" i="6"/>
  <c r="AI536" i="6"/>
  <c r="AG552" i="6"/>
  <c r="AG528" i="6"/>
  <c r="AG504" i="6"/>
  <c r="AF447" i="6"/>
  <c r="AF415" i="6"/>
  <c r="AF382" i="6"/>
  <c r="AI504" i="6"/>
  <c r="AI23" i="6"/>
  <c r="AG576" i="6"/>
  <c r="AG480" i="6"/>
  <c r="AG455" i="6"/>
  <c r="AG423" i="6"/>
  <c r="AG390" i="6"/>
  <c r="AG366" i="6"/>
  <c r="AI576" i="6"/>
  <c r="AG599" i="6"/>
  <c r="AF480" i="6"/>
  <c r="AI512" i="6"/>
  <c r="AI590" i="6"/>
  <c r="AI526" i="6"/>
  <c r="AG590" i="6"/>
  <c r="AG558" i="6"/>
  <c r="AG31" i="6"/>
  <c r="AF566" i="6"/>
  <c r="AI534" i="6"/>
  <c r="AG494" i="6"/>
  <c r="AF606" i="6"/>
  <c r="AF534" i="6"/>
  <c r="AF502" i="6"/>
  <c r="AI606" i="6"/>
  <c r="AI542" i="6"/>
  <c r="AI478" i="6"/>
  <c r="AG566" i="6"/>
  <c r="AG437" i="6"/>
  <c r="AF614" i="6"/>
  <c r="AF574" i="6"/>
  <c r="AI614" i="6"/>
  <c r="AI550" i="6"/>
  <c r="AI486" i="6"/>
  <c r="AG502" i="6"/>
  <c r="AF582" i="6"/>
  <c r="AF542" i="6"/>
  <c r="AF510" i="6"/>
  <c r="AI558" i="6"/>
  <c r="AG574" i="6"/>
  <c r="AF550" i="6"/>
  <c r="AG510" i="6"/>
  <c r="AI609" i="6"/>
  <c r="AG609" i="6"/>
  <c r="AG553" i="6"/>
  <c r="AI553" i="6"/>
  <c r="AF553" i="6"/>
  <c r="AF521" i="6"/>
  <c r="AI521" i="6"/>
  <c r="AG521" i="6"/>
  <c r="AG489" i="6"/>
  <c r="AI489" i="6"/>
  <c r="AF489" i="6"/>
  <c r="AF453" i="6"/>
  <c r="AI453" i="6"/>
  <c r="AG453" i="6"/>
  <c r="AG429" i="6"/>
  <c r="AF429" i="6"/>
  <c r="AF380" i="6"/>
  <c r="AI380" i="6"/>
  <c r="AG334" i="6"/>
  <c r="AF334" i="6"/>
  <c r="AI220" i="6"/>
  <c r="AG220" i="6"/>
  <c r="AF220" i="6"/>
  <c r="AF197" i="6"/>
  <c r="AI197" i="6"/>
  <c r="AG197" i="6"/>
  <c r="AG174" i="6"/>
  <c r="AF174" i="6"/>
  <c r="AI150" i="6"/>
  <c r="AG150" i="6"/>
  <c r="AF139" i="6"/>
  <c r="AI139" i="6"/>
  <c r="AF102" i="6"/>
  <c r="AI102" i="6"/>
  <c r="AG102" i="6"/>
  <c r="AF88" i="6"/>
  <c r="AI88" i="6"/>
  <c r="AF47" i="6"/>
  <c r="AI47" i="6"/>
  <c r="AG47" i="6"/>
  <c r="AI279" i="6"/>
  <c r="AG232" i="6"/>
  <c r="AI437" i="6"/>
  <c r="AG372" i="6"/>
  <c r="AF609" i="6"/>
  <c r="AF150" i="6"/>
  <c r="AI617" i="6"/>
  <c r="AG617" i="6"/>
  <c r="AF585" i="6"/>
  <c r="AI585" i="6"/>
  <c r="AG585" i="6"/>
  <c r="AG561" i="6"/>
  <c r="AI561" i="6"/>
  <c r="AF561" i="6"/>
  <c r="AI529" i="6"/>
  <c r="AG529" i="6"/>
  <c r="AG481" i="6"/>
  <c r="AI481" i="6"/>
  <c r="AF481" i="6"/>
  <c r="AF396" i="6"/>
  <c r="AI396" i="6"/>
  <c r="AG396" i="6"/>
  <c r="AG370" i="6"/>
  <c r="AF370" i="6"/>
  <c r="AF352" i="6"/>
  <c r="AI352" i="6"/>
  <c r="AG352" i="6"/>
  <c r="AI326" i="6"/>
  <c r="AG326" i="6"/>
  <c r="AF326" i="6"/>
  <c r="AF302" i="6"/>
  <c r="AI302" i="6"/>
  <c r="AG302" i="6"/>
  <c r="AF287" i="6"/>
  <c r="AI287" i="6"/>
  <c r="AF255" i="6"/>
  <c r="AI255" i="6"/>
  <c r="AG255" i="6"/>
  <c r="AF239" i="6"/>
  <c r="AI239" i="6"/>
  <c r="AG123" i="6"/>
  <c r="AF123" i="6"/>
  <c r="AI110" i="6"/>
  <c r="AG110" i="6"/>
  <c r="AF94" i="6"/>
  <c r="AI94" i="6"/>
  <c r="AG94" i="6"/>
  <c r="AF39" i="6"/>
  <c r="AI39" i="6"/>
  <c r="AG39" i="6"/>
  <c r="AI429" i="6"/>
  <c r="AI370" i="6"/>
  <c r="AI232" i="6"/>
  <c r="AG380" i="6"/>
  <c r="AG181" i="6"/>
  <c r="AF577" i="6"/>
  <c r="AI577" i="6"/>
  <c r="AG545" i="6"/>
  <c r="AI545" i="6"/>
  <c r="AF545" i="6"/>
  <c r="AI497" i="6"/>
  <c r="AF497" i="6"/>
  <c r="AF461" i="6"/>
  <c r="AI461" i="6"/>
  <c r="AG461" i="6"/>
  <c r="AI413" i="6"/>
  <c r="AG413" i="6"/>
  <c r="AF388" i="6"/>
  <c r="AI388" i="6"/>
  <c r="AG388" i="6"/>
  <c r="AI318" i="6"/>
  <c r="AG318" i="6"/>
  <c r="AF294" i="6"/>
  <c r="AI294" i="6"/>
  <c r="AG294" i="6"/>
  <c r="AG272" i="6"/>
  <c r="AF272" i="6"/>
  <c r="AF248" i="6"/>
  <c r="AI248" i="6"/>
  <c r="AG248" i="6"/>
  <c r="AI158" i="6"/>
  <c r="AG158" i="6"/>
  <c r="AI71" i="6"/>
  <c r="AG71" i="6"/>
  <c r="AF71" i="6"/>
  <c r="AI372" i="6"/>
  <c r="AI174" i="6"/>
  <c r="AF529" i="6"/>
  <c r="AF110" i="6"/>
  <c r="AI601" i="6"/>
  <c r="AG601" i="6"/>
  <c r="AF513" i="6"/>
  <c r="AI513" i="6"/>
  <c r="AG513" i="6"/>
  <c r="AF344" i="6"/>
  <c r="AI344" i="6"/>
  <c r="AI54" i="6"/>
  <c r="AG54" i="6"/>
  <c r="AI181" i="6"/>
  <c r="AG342" i="6"/>
  <c r="AG131" i="6"/>
  <c r="AF318" i="6"/>
  <c r="AI569" i="6"/>
  <c r="AF569" i="6"/>
  <c r="AI537" i="6"/>
  <c r="AG537" i="6"/>
  <c r="AG475" i="6"/>
  <c r="AI475" i="6"/>
  <c r="AF475" i="6"/>
  <c r="AI421" i="6"/>
  <c r="AG421" i="6"/>
  <c r="AF421" i="6"/>
  <c r="AI208" i="6"/>
  <c r="AG208" i="6"/>
  <c r="AF189" i="6"/>
  <c r="AI189" i="6"/>
  <c r="AI166" i="6"/>
  <c r="AG166" i="6"/>
  <c r="AF166" i="6"/>
  <c r="AI80" i="6"/>
  <c r="AI334" i="6"/>
  <c r="AI123" i="6"/>
  <c r="AG497" i="6"/>
  <c r="AG344" i="6"/>
  <c r="AG139" i="6"/>
  <c r="AF54" i="6"/>
  <c r="AI593" i="6"/>
  <c r="AG593" i="6"/>
  <c r="AI505" i="6"/>
  <c r="AF505" i="6"/>
  <c r="AI469" i="6"/>
  <c r="AG469" i="6"/>
  <c r="AF445" i="6"/>
  <c r="AI445" i="6"/>
  <c r="AI405" i="6"/>
  <c r="AG405" i="6"/>
  <c r="AI357" i="6"/>
  <c r="AG357" i="6"/>
  <c r="AI310" i="6"/>
  <c r="AG310" i="6"/>
  <c r="AI263" i="6"/>
  <c r="AG263" i="6"/>
  <c r="AG226" i="6"/>
  <c r="AF226" i="6"/>
  <c r="AI63" i="6"/>
  <c r="AG63" i="6"/>
  <c r="AI342" i="6"/>
  <c r="AI131" i="6"/>
  <c r="AG505" i="6"/>
  <c r="AG279" i="6"/>
  <c r="AG80" i="6"/>
  <c r="AF405" i="6"/>
  <c r="AF63" i="6"/>
  <c r="AI31" i="6"/>
  <c r="AG420" i="6"/>
  <c r="AF420" i="6"/>
  <c r="AG379" i="6"/>
  <c r="AF379" i="6"/>
  <c r="AG286" i="6"/>
  <c r="AF286" i="6"/>
  <c r="AG231" i="6"/>
  <c r="AF231" i="6"/>
  <c r="AG165" i="6"/>
  <c r="AF165" i="6"/>
  <c r="AG130" i="6"/>
  <c r="AI130" i="6"/>
  <c r="AF130" i="6"/>
  <c r="AG93" i="6"/>
  <c r="AI93" i="6"/>
  <c r="AF93" i="6"/>
  <c r="AG70" i="6"/>
  <c r="AI70" i="6"/>
  <c r="AF70" i="6"/>
  <c r="AG468" i="6"/>
  <c r="AF468" i="6"/>
  <c r="AG412" i="6"/>
  <c r="AF412" i="6"/>
  <c r="AG333" i="6"/>
  <c r="AF333" i="6"/>
  <c r="AG278" i="6"/>
  <c r="AF278" i="6"/>
  <c r="AG247" i="6"/>
  <c r="AF247" i="6"/>
  <c r="AG157" i="6"/>
  <c r="AF157" i="6"/>
  <c r="AG122" i="6"/>
  <c r="AI122" i="6"/>
  <c r="AF122" i="6"/>
  <c r="AG79" i="6"/>
  <c r="AI79" i="6"/>
  <c r="AF79" i="6"/>
  <c r="AG30" i="6"/>
  <c r="AI30" i="6"/>
  <c r="AF30" i="6"/>
  <c r="AG428" i="6"/>
  <c r="AF428" i="6"/>
  <c r="AG369" i="6"/>
  <c r="AF369" i="6"/>
  <c r="AG317" i="6"/>
  <c r="AF317" i="6"/>
  <c r="AG225" i="6"/>
  <c r="AF225" i="6"/>
  <c r="AG188" i="6"/>
  <c r="AF188" i="6"/>
  <c r="AG109" i="6"/>
  <c r="AI109" i="6"/>
  <c r="AF109" i="6"/>
  <c r="AG46" i="6"/>
  <c r="AI46" i="6"/>
  <c r="AF46" i="6"/>
  <c r="AG444" i="6"/>
  <c r="AF444" i="6"/>
  <c r="AG395" i="6"/>
  <c r="AF395" i="6"/>
  <c r="AG325" i="6"/>
  <c r="AF325" i="6"/>
  <c r="AG271" i="6"/>
  <c r="AF271" i="6"/>
  <c r="AG238" i="6"/>
  <c r="AF238" i="6"/>
  <c r="AG196" i="6"/>
  <c r="AF196" i="6"/>
  <c r="AG149" i="6"/>
  <c r="AF149" i="6"/>
  <c r="AG53" i="6"/>
  <c r="AI53" i="6"/>
  <c r="AF53" i="6"/>
  <c r="AG452" i="6"/>
  <c r="AF452" i="6"/>
  <c r="AG404" i="6"/>
  <c r="AF404" i="6"/>
  <c r="AG309" i="6"/>
  <c r="AF309" i="6"/>
  <c r="AG219" i="6"/>
  <c r="AF219" i="6"/>
  <c r="AG180" i="6"/>
  <c r="AF180" i="6"/>
  <c r="AG138" i="6"/>
  <c r="AF138" i="6"/>
  <c r="AG87" i="6"/>
  <c r="AI87" i="6"/>
  <c r="AF87" i="6"/>
  <c r="AG62" i="6"/>
  <c r="AI62" i="6"/>
  <c r="AF62" i="6"/>
  <c r="AG460" i="6"/>
  <c r="AF460" i="6"/>
  <c r="AG387" i="6"/>
  <c r="AF387" i="6"/>
  <c r="AG351" i="6"/>
  <c r="AF351" i="6"/>
  <c r="AG301" i="6"/>
  <c r="AF301" i="6"/>
  <c r="AG254" i="6"/>
  <c r="AF254" i="6"/>
  <c r="AG173" i="6"/>
  <c r="AF173" i="6"/>
  <c r="AG22" i="6"/>
  <c r="AI22" i="6"/>
  <c r="AF22" i="6"/>
  <c r="AI351" i="6"/>
  <c r="AI333" i="6"/>
  <c r="AI325" i="6"/>
  <c r="AI317" i="6"/>
  <c r="AI309" i="6"/>
  <c r="AI301" i="6"/>
  <c r="AI286" i="6"/>
  <c r="AI278" i="6"/>
  <c r="AI271" i="6"/>
  <c r="AI254" i="6"/>
  <c r="AI247" i="6"/>
  <c r="AI238" i="6"/>
  <c r="AI231" i="6"/>
  <c r="AI225" i="6"/>
  <c r="AI219" i="6"/>
  <c r="AI196" i="6"/>
  <c r="AI188" i="6"/>
  <c r="AI180" i="6"/>
  <c r="AI173" i="6"/>
  <c r="AI165" i="6"/>
  <c r="AI157" i="6"/>
  <c r="AI149" i="6"/>
  <c r="AI138" i="6"/>
  <c r="AG436" i="6"/>
  <c r="AF436" i="6"/>
  <c r="AG371" i="6"/>
  <c r="AF371" i="6"/>
  <c r="AG341" i="6"/>
  <c r="AF341" i="6"/>
  <c r="AG262" i="6"/>
  <c r="AF262" i="6"/>
  <c r="AG215" i="6"/>
  <c r="AF215" i="6"/>
  <c r="AG146" i="6"/>
  <c r="AF146" i="6"/>
  <c r="AG101" i="6"/>
  <c r="AI101" i="6"/>
  <c r="AF101" i="6"/>
  <c r="AG38" i="6"/>
  <c r="AI38" i="6"/>
  <c r="AF38" i="6"/>
  <c r="AI468" i="6"/>
  <c r="AI460" i="6"/>
  <c r="AI452" i="6"/>
  <c r="AI444" i="6"/>
  <c r="AI436" i="6"/>
  <c r="AI428" i="6"/>
  <c r="AI420" i="6"/>
  <c r="AI412" i="6"/>
  <c r="AI404" i="6"/>
  <c r="AI395" i="6"/>
  <c r="AI387" i="6"/>
  <c r="AI379" i="6"/>
  <c r="AI371" i="6"/>
  <c r="AI369" i="6"/>
  <c r="AG618" i="6"/>
  <c r="AG597" i="6"/>
  <c r="AG589" i="6"/>
  <c r="AG583" i="6"/>
  <c r="AG577" i="6"/>
  <c r="AG570" i="6"/>
  <c r="AG562" i="6"/>
  <c r="AG554" i="6"/>
  <c r="AG540" i="6"/>
  <c r="AG532" i="6"/>
  <c r="AG524" i="6"/>
  <c r="AG516" i="6"/>
  <c r="AG508" i="6"/>
  <c r="AG500" i="6"/>
  <c r="AG492" i="6"/>
  <c r="AG478" i="6"/>
  <c r="AG474" i="6"/>
  <c r="I216" i="22"/>
  <c r="I215" i="22"/>
  <c r="I214" i="22"/>
  <c r="I213" i="22"/>
  <c r="I212" i="22"/>
  <c r="I211" i="22"/>
  <c r="I210" i="22"/>
  <c r="I209" i="22"/>
  <c r="I208" i="22"/>
  <c r="I207" i="22"/>
  <c r="I206" i="22"/>
  <c r="I205" i="22"/>
  <c r="I204" i="22"/>
  <c r="I203" i="22"/>
  <c r="I202" i="22"/>
  <c r="I201" i="22"/>
  <c r="I200" i="22"/>
  <c r="I199" i="22"/>
  <c r="I198" i="22"/>
  <c r="I197" i="22"/>
  <c r="G196" i="22"/>
  <c r="C190" i="22"/>
  <c r="G188" i="22"/>
  <c r="B186" i="22"/>
  <c r="A218" i="22" s="1"/>
  <c r="I249" i="22"/>
  <c r="I248" i="22"/>
  <c r="I247" i="22"/>
  <c r="I246" i="22"/>
  <c r="I245" i="22"/>
  <c r="I244" i="22"/>
  <c r="I243" i="22"/>
  <c r="I242" i="22"/>
  <c r="I241" i="22"/>
  <c r="I240" i="22"/>
  <c r="I239" i="22"/>
  <c r="I238" i="22"/>
  <c r="I237" i="22"/>
  <c r="I236" i="22"/>
  <c r="I235" i="22"/>
  <c r="I234" i="22"/>
  <c r="I233" i="22"/>
  <c r="I232" i="22"/>
  <c r="I231" i="22"/>
  <c r="I230" i="22"/>
  <c r="G229" i="22"/>
  <c r="C223" i="22"/>
  <c r="G221" i="22"/>
  <c r="B219" i="22"/>
  <c r="A251" i="22" s="1"/>
  <c r="I386" i="22" l="1"/>
  <c r="I387" i="22"/>
  <c r="I388" i="22"/>
  <c r="I389" i="22"/>
  <c r="I347" i="22"/>
  <c r="I348" i="22"/>
  <c r="I349" i="22"/>
  <c r="I350" i="22"/>
  <c r="I112" i="22"/>
  <c r="I113" i="22"/>
  <c r="I114" i="22"/>
  <c r="I115" i="22"/>
  <c r="I116" i="22"/>
  <c r="I117" i="22"/>
  <c r="I81" i="22"/>
  <c r="I82" i="22"/>
  <c r="I83" i="22"/>
  <c r="I84" i="22"/>
  <c r="I36" i="22"/>
  <c r="I37" i="22"/>
  <c r="I38" i="22"/>
  <c r="I39" i="22"/>
  <c r="I40" i="22"/>
  <c r="I41" i="22"/>
  <c r="I42" i="22"/>
  <c r="I43" i="22"/>
  <c r="I44" i="22"/>
  <c r="I45" i="22"/>
  <c r="I46" i="22"/>
  <c r="I47" i="22"/>
  <c r="I48" i="22"/>
  <c r="I49" i="22"/>
  <c r="I111" i="22"/>
  <c r="I110" i="22"/>
  <c r="I109" i="22"/>
  <c r="I108" i="22"/>
  <c r="I107" i="22"/>
  <c r="I106" i="22"/>
  <c r="I105" i="22"/>
  <c r="I104" i="22"/>
  <c r="I103" i="22"/>
  <c r="I102" i="22"/>
  <c r="I101" i="22"/>
  <c r="I100" i="22"/>
  <c r="I99" i="22"/>
  <c r="I98" i="22"/>
  <c r="G97" i="22"/>
  <c r="C91" i="22"/>
  <c r="G89" i="22"/>
  <c r="B87" i="22"/>
  <c r="A119" i="22" s="1"/>
  <c r="I315" i="22"/>
  <c r="I314" i="22"/>
  <c r="I313" i="22"/>
  <c r="I312" i="22"/>
  <c r="I311" i="22"/>
  <c r="I310" i="22"/>
  <c r="I309" i="22"/>
  <c r="I308" i="22"/>
  <c r="I307" i="22"/>
  <c r="I306" i="22"/>
  <c r="I305" i="22"/>
  <c r="I304" i="22"/>
  <c r="I303" i="22"/>
  <c r="I302" i="22"/>
  <c r="I301" i="22"/>
  <c r="I300" i="22"/>
  <c r="I299" i="22"/>
  <c r="I298" i="22"/>
  <c r="I297" i="22"/>
  <c r="I296" i="22"/>
  <c r="G295" i="22"/>
  <c r="C289" i="22"/>
  <c r="G287" i="22"/>
  <c r="B285" i="22"/>
  <c r="A317" i="22" s="1"/>
  <c r="I383" i="22"/>
  <c r="I384" i="22"/>
  <c r="I385" i="22"/>
  <c r="I382" i="22"/>
  <c r="I381" i="22"/>
  <c r="I380" i="22"/>
  <c r="I379" i="22"/>
  <c r="I378" i="22"/>
  <c r="I377" i="22"/>
  <c r="I376" i="22"/>
  <c r="I375" i="22"/>
  <c r="I374" i="22"/>
  <c r="I373" i="22"/>
  <c r="I372" i="22"/>
  <c r="I371" i="22"/>
  <c r="I370" i="22"/>
  <c r="I369" i="22"/>
  <c r="I368" i="22"/>
  <c r="I367" i="22"/>
  <c r="I366" i="22"/>
  <c r="I365" i="22"/>
  <c r="I364" i="22"/>
  <c r="G363" i="22"/>
  <c r="C357" i="22"/>
  <c r="G355" i="22"/>
  <c r="B353" i="22"/>
  <c r="A391" i="22" s="1"/>
  <c r="I346" i="22"/>
  <c r="I345" i="22"/>
  <c r="I344" i="22"/>
  <c r="I343" i="22"/>
  <c r="I342" i="22"/>
  <c r="I341" i="22"/>
  <c r="I340" i="22"/>
  <c r="I339" i="22"/>
  <c r="I338" i="22"/>
  <c r="I337" i="22"/>
  <c r="I336" i="22"/>
  <c r="I335" i="22"/>
  <c r="I334" i="22"/>
  <c r="I333" i="22"/>
  <c r="I332" i="22"/>
  <c r="I331" i="22"/>
  <c r="I330" i="22"/>
  <c r="I329" i="22"/>
  <c r="G328" i="22"/>
  <c r="C322" i="22"/>
  <c r="G320" i="22"/>
  <c r="B318" i="22"/>
  <c r="A352" i="22" s="1"/>
  <c r="C27" i="22"/>
  <c r="E38" i="13"/>
  <c r="I80" i="22" l="1"/>
  <c r="I79" i="22"/>
  <c r="I78" i="22"/>
  <c r="I77" i="22"/>
  <c r="I76" i="22"/>
  <c r="I75" i="22"/>
  <c r="I74" i="22"/>
  <c r="I73" i="22"/>
  <c r="I72" i="22"/>
  <c r="I71" i="22"/>
  <c r="I70" i="22"/>
  <c r="I69" i="22"/>
  <c r="I68" i="22"/>
  <c r="I67" i="22"/>
  <c r="I66" i="22"/>
  <c r="I65" i="22"/>
  <c r="I64" i="22"/>
  <c r="I63" i="22"/>
  <c r="G62" i="22"/>
  <c r="C56" i="22"/>
  <c r="G54" i="22"/>
  <c r="B52" i="22"/>
  <c r="A86" i="22" s="1"/>
  <c r="I455" i="22" l="1"/>
  <c r="I454" i="22"/>
  <c r="I453" i="22"/>
  <c r="I452" i="22"/>
  <c r="I451" i="22"/>
  <c r="I450" i="22"/>
  <c r="I449" i="22"/>
  <c r="I448" i="22"/>
  <c r="I447" i="22"/>
  <c r="I446" i="22"/>
  <c r="I445" i="22"/>
  <c r="I444" i="22"/>
  <c r="I443" i="22"/>
  <c r="I442" i="22"/>
  <c r="I441" i="22"/>
  <c r="I440" i="22"/>
  <c r="I439" i="22"/>
  <c r="I438" i="22"/>
  <c r="I437" i="22"/>
  <c r="I436" i="22"/>
  <c r="G435" i="22"/>
  <c r="C429" i="22"/>
  <c r="G427" i="22"/>
  <c r="B425" i="22"/>
  <c r="A457" i="22" s="1"/>
  <c r="I422" i="22"/>
  <c r="I421" i="22"/>
  <c r="I420" i="22"/>
  <c r="I419" i="22"/>
  <c r="I418" i="22"/>
  <c r="I417" i="22"/>
  <c r="I416" i="22"/>
  <c r="I415" i="22"/>
  <c r="I414" i="22"/>
  <c r="I413" i="22"/>
  <c r="I412" i="22"/>
  <c r="I411" i="22"/>
  <c r="I410" i="22"/>
  <c r="I409" i="22"/>
  <c r="I408" i="22"/>
  <c r="I407" i="22"/>
  <c r="I406" i="22"/>
  <c r="I405" i="22"/>
  <c r="I404" i="22"/>
  <c r="I403" i="22"/>
  <c r="G402" i="22"/>
  <c r="C396" i="22"/>
  <c r="G394" i="22"/>
  <c r="B392" i="22"/>
  <c r="A424" i="22" s="1"/>
  <c r="I282" i="22"/>
  <c r="I281" i="22"/>
  <c r="I280" i="22"/>
  <c r="I279" i="22"/>
  <c r="I278" i="22"/>
  <c r="I277" i="22"/>
  <c r="I276" i="22"/>
  <c r="I275" i="22"/>
  <c r="I274" i="22"/>
  <c r="I273" i="22"/>
  <c r="I272" i="22"/>
  <c r="I271" i="22"/>
  <c r="I270" i="22"/>
  <c r="I269" i="22"/>
  <c r="I268" i="22"/>
  <c r="I267" i="22"/>
  <c r="I266" i="22"/>
  <c r="I265" i="22"/>
  <c r="I264" i="22"/>
  <c r="I263" i="22"/>
  <c r="G262" i="22"/>
  <c r="C256" i="22"/>
  <c r="G254" i="22"/>
  <c r="B252" i="22"/>
  <c r="A284" i="22" s="1"/>
  <c r="I183" i="22"/>
  <c r="I182" i="22"/>
  <c r="I181" i="22"/>
  <c r="I180" i="22"/>
  <c r="I179" i="22"/>
  <c r="I178" i="22"/>
  <c r="I177" i="22"/>
  <c r="I176" i="22"/>
  <c r="I175" i="22"/>
  <c r="I174" i="22"/>
  <c r="I173" i="22"/>
  <c r="I172" i="22"/>
  <c r="I171" i="22"/>
  <c r="I170" i="22"/>
  <c r="I169" i="22"/>
  <c r="I168" i="22"/>
  <c r="I167" i="22"/>
  <c r="I166" i="22"/>
  <c r="I165" i="22"/>
  <c r="I164" i="22"/>
  <c r="G163" i="22"/>
  <c r="C157" i="22"/>
  <c r="G155" i="22"/>
  <c r="B153" i="22"/>
  <c r="A185" i="22" s="1"/>
  <c r="C124" i="22" l="1"/>
  <c r="B23" i="22"/>
  <c r="A51" i="22" s="1"/>
  <c r="B17" i="13"/>
  <c r="E17" i="22" l="1"/>
  <c r="C17" i="22"/>
  <c r="I150" i="22"/>
  <c r="I149" i="22"/>
  <c r="I148" i="22"/>
  <c r="I147" i="22"/>
  <c r="I146" i="22"/>
  <c r="I145" i="22"/>
  <c r="I144" i="22"/>
  <c r="I143" i="22"/>
  <c r="I142" i="22"/>
  <c r="I141" i="22"/>
  <c r="I140" i="22"/>
  <c r="I139" i="22"/>
  <c r="I138" i="22"/>
  <c r="I137" i="22"/>
  <c r="I136" i="22"/>
  <c r="I135" i="22"/>
  <c r="I134" i="22"/>
  <c r="I133" i="22"/>
  <c r="I132" i="22"/>
  <c r="I131" i="22"/>
  <c r="G130" i="22"/>
  <c r="G122" i="22"/>
  <c r="G25" i="22"/>
  <c r="B120" i="22"/>
  <c r="A152" i="22" s="1"/>
  <c r="B84" i="13"/>
  <c r="AA1" i="22" l="1" a="1"/>
  <c r="AA1" i="22" l="1"/>
  <c r="AA24" i="22"/>
  <c r="AA6" i="22"/>
  <c r="AA4" i="22"/>
  <c r="AA2" i="22"/>
  <c r="AA12" i="22"/>
  <c r="AA16" i="22"/>
  <c r="AA29" i="22"/>
  <c r="AA27" i="22"/>
  <c r="AA25" i="22"/>
  <c r="AA13" i="22"/>
  <c r="AA9" i="22"/>
  <c r="AA18" i="22"/>
  <c r="AA14" i="22"/>
  <c r="AA8" i="22"/>
  <c r="AA21" i="22"/>
  <c r="AA19" i="22"/>
  <c r="AA17" i="22"/>
  <c r="AA23" i="22"/>
  <c r="AA11" i="22"/>
  <c r="AA20" i="22"/>
  <c r="AA10" i="22"/>
  <c r="AA15" i="22"/>
  <c r="AA5" i="22"/>
  <c r="AA3" i="22"/>
  <c r="AA28" i="22"/>
  <c r="AA26" i="22"/>
  <c r="AA22" i="22"/>
  <c r="AA7" i="22"/>
  <c r="G16" i="23"/>
  <c r="G18" i="23"/>
  <c r="G20" i="23"/>
  <c r="G22" i="23"/>
  <c r="G24" i="23"/>
  <c r="G25" i="23"/>
  <c r="F29" i="23"/>
  <c r="E29" i="23"/>
  <c r="D29" i="23"/>
  <c r="D20" i="23" l="1"/>
  <c r="F17" i="23"/>
  <c r="E17" i="23"/>
  <c r="D17" i="23"/>
  <c r="F21" i="23"/>
  <c r="E21" i="23"/>
  <c r="D21" i="23"/>
  <c r="B3" i="24"/>
  <c r="Q3" i="24"/>
  <c r="R3" i="24"/>
  <c r="S3" i="24"/>
  <c r="T3" i="24"/>
  <c r="U3" i="24"/>
  <c r="V3" i="24"/>
  <c r="D3" i="24"/>
  <c r="E3" i="24"/>
  <c r="F3" i="24"/>
  <c r="G3" i="24"/>
  <c r="H3" i="24"/>
  <c r="I3" i="24"/>
  <c r="J3" i="24"/>
  <c r="K3" i="24"/>
  <c r="L3" i="24"/>
  <c r="M3" i="24"/>
  <c r="N3" i="24"/>
  <c r="O3" i="24"/>
  <c r="P3" i="24"/>
  <c r="C3" i="24"/>
  <c r="D16" i="23" l="1"/>
  <c r="D18" i="23" s="1"/>
  <c r="D30" i="23" l="1"/>
  <c r="D22" i="23"/>
  <c r="D24" i="23" l="1"/>
  <c r="E44" i="13"/>
  <c r="E37" i="13"/>
  <c r="E39" i="13"/>
  <c r="E40" i="13"/>
  <c r="E36" i="13"/>
  <c r="E45" i="13"/>
  <c r="E43" i="13"/>
  <c r="E41" i="13"/>
  <c r="E42" i="13"/>
  <c r="D38" i="23" l="1"/>
  <c r="C214" i="13" l="1"/>
  <c r="B213" i="13"/>
  <c r="S211" i="13"/>
  <c r="I211" i="13"/>
  <c r="S210" i="13"/>
  <c r="N210" i="13"/>
  <c r="I210" i="13"/>
  <c r="S209" i="13"/>
  <c r="N209" i="13"/>
  <c r="I209" i="13"/>
  <c r="S208" i="13"/>
  <c r="N208" i="13"/>
  <c r="I208" i="13"/>
  <c r="S207" i="13"/>
  <c r="I207" i="13"/>
  <c r="S206" i="13"/>
  <c r="S205" i="13"/>
  <c r="S204" i="13"/>
  <c r="S203" i="13"/>
  <c r="S202" i="13"/>
  <c r="S201" i="13"/>
  <c r="S200" i="13"/>
  <c r="S199" i="13"/>
  <c r="S198" i="13"/>
  <c r="S197" i="13"/>
  <c r="B194" i="13"/>
  <c r="E192" i="13"/>
  <c r="E189" i="13"/>
  <c r="E185" i="13"/>
  <c r="B183" i="13"/>
  <c r="B178" i="13"/>
  <c r="A219" i="13" s="1"/>
  <c r="C172" i="13"/>
  <c r="B171" i="13"/>
  <c r="S169" i="13"/>
  <c r="N169" i="13"/>
  <c r="I169" i="13"/>
  <c r="S168" i="13"/>
  <c r="I168" i="13"/>
  <c r="S167" i="13"/>
  <c r="I167" i="13"/>
  <c r="S166" i="13"/>
  <c r="N166" i="13"/>
  <c r="I166" i="13"/>
  <c r="S165" i="13"/>
  <c r="I165" i="13"/>
  <c r="S164" i="13"/>
  <c r="S163" i="13"/>
  <c r="S162" i="13"/>
  <c r="S161" i="13"/>
  <c r="S160" i="13"/>
  <c r="S159" i="13"/>
  <c r="S158" i="13"/>
  <c r="S157" i="13"/>
  <c r="S156" i="13"/>
  <c r="S155" i="13"/>
  <c r="S154" i="13"/>
  <c r="S153" i="13"/>
  <c r="S152" i="13"/>
  <c r="S151" i="13"/>
  <c r="S150" i="13"/>
  <c r="B147" i="13"/>
  <c r="E145" i="13"/>
  <c r="E142" i="13"/>
  <c r="E138" i="13"/>
  <c r="B136" i="13"/>
  <c r="B131" i="13"/>
  <c r="A177" i="13" s="1"/>
  <c r="B77" i="13"/>
  <c r="B124" i="13"/>
  <c r="A130" i="13"/>
  <c r="C125" i="13"/>
  <c r="S122" i="13"/>
  <c r="N122" i="13"/>
  <c r="I122" i="13"/>
  <c r="S121" i="13"/>
  <c r="I121" i="13"/>
  <c r="S120" i="13"/>
  <c r="N120" i="13"/>
  <c r="I120" i="13"/>
  <c r="S119" i="13"/>
  <c r="N119" i="13"/>
  <c r="I119" i="13"/>
  <c r="S118" i="13"/>
  <c r="N118" i="13"/>
  <c r="S117" i="13"/>
  <c r="S116" i="13"/>
  <c r="S115" i="13"/>
  <c r="S114" i="13"/>
  <c r="S113" i="13"/>
  <c r="S112" i="13"/>
  <c r="S111" i="13"/>
  <c r="S110" i="13"/>
  <c r="S109" i="13"/>
  <c r="S108" i="13"/>
  <c r="S107" i="13"/>
  <c r="S106" i="13"/>
  <c r="S105" i="13"/>
  <c r="S104" i="13"/>
  <c r="S103" i="13"/>
  <c r="B100" i="13"/>
  <c r="E98" i="13"/>
  <c r="E95" i="13"/>
  <c r="E91" i="13"/>
  <c r="B89" i="13"/>
  <c r="I118" i="13"/>
  <c r="I164" i="13"/>
  <c r="E207" i="13"/>
  <c r="I198" i="13"/>
  <c r="H117" i="13"/>
  <c r="H104" i="13"/>
  <c r="H120" i="13"/>
  <c r="T199" i="13"/>
  <c r="H110" i="13"/>
  <c r="I200" i="13"/>
  <c r="H199" i="13"/>
  <c r="P209" i="13"/>
  <c r="H206" i="13"/>
  <c r="T169" i="13"/>
  <c r="E202" i="13"/>
  <c r="O119" i="13"/>
  <c r="T164" i="13"/>
  <c r="H200" i="13"/>
  <c r="I160" i="13"/>
  <c r="E197" i="13"/>
  <c r="P167" i="13"/>
  <c r="P166" i="13"/>
  <c r="H118" i="13"/>
  <c r="H169" i="13"/>
  <c r="P168" i="13"/>
  <c r="H113" i="13"/>
  <c r="E204" i="13"/>
  <c r="I151" i="13"/>
  <c r="E203" i="13"/>
  <c r="I153" i="13"/>
  <c r="H157" i="13"/>
  <c r="O209" i="13"/>
  <c r="E121" i="13"/>
  <c r="H207" i="13"/>
  <c r="T113" i="13"/>
  <c r="I108" i="13"/>
  <c r="I115" i="13"/>
  <c r="T104" i="13"/>
  <c r="T116" i="13"/>
  <c r="I116" i="13"/>
  <c r="T208" i="13"/>
  <c r="H108" i="13"/>
  <c r="T122" i="13"/>
  <c r="I205" i="13"/>
  <c r="E169" i="13"/>
  <c r="H121" i="13"/>
  <c r="H109" i="13"/>
  <c r="H154" i="13"/>
  <c r="H208" i="13"/>
  <c r="H162" i="13"/>
  <c r="H205" i="13"/>
  <c r="T209" i="13"/>
  <c r="H204" i="13"/>
  <c r="I113" i="13"/>
  <c r="I103" i="13"/>
  <c r="I105" i="13"/>
  <c r="I156" i="13"/>
  <c r="E209" i="13"/>
  <c r="H166" i="13"/>
  <c r="I109" i="13"/>
  <c r="T205" i="13"/>
  <c r="E210" i="13"/>
  <c r="T106" i="13"/>
  <c r="H153" i="13"/>
  <c r="H164" i="13"/>
  <c r="H122" i="13"/>
  <c r="P169" i="13"/>
  <c r="H168" i="13"/>
  <c r="I111" i="13"/>
  <c r="E198" i="13"/>
  <c r="I159" i="13"/>
  <c r="E201" i="13"/>
  <c r="E205" i="13"/>
  <c r="E211" i="13"/>
  <c r="E120" i="13"/>
  <c r="T115" i="13"/>
  <c r="H115" i="13"/>
  <c r="I203" i="13"/>
  <c r="I204" i="13"/>
  <c r="T108" i="13"/>
  <c r="P207" i="13"/>
  <c r="H210" i="13"/>
  <c r="T109" i="13"/>
  <c r="O208" i="13"/>
  <c r="T110" i="13"/>
  <c r="H198" i="13"/>
  <c r="H158" i="13"/>
  <c r="H159" i="13"/>
  <c r="I158" i="13"/>
  <c r="P118" i="13"/>
  <c r="I162" i="13"/>
  <c r="O122" i="13"/>
  <c r="H107" i="13"/>
  <c r="H156" i="13"/>
  <c r="I201" i="13"/>
  <c r="E119" i="13"/>
  <c r="T114" i="13"/>
  <c r="H203" i="13"/>
  <c r="T107" i="13"/>
  <c r="T119" i="13"/>
  <c r="I106" i="13"/>
  <c r="I202" i="13"/>
  <c r="I199" i="13"/>
  <c r="T165" i="13"/>
  <c r="I157" i="13"/>
  <c r="H165" i="13"/>
  <c r="H105" i="13"/>
  <c r="T117" i="13"/>
  <c r="T118" i="13"/>
  <c r="P121" i="13"/>
  <c r="T161" i="13"/>
  <c r="H111" i="13"/>
  <c r="P208" i="13"/>
  <c r="T105" i="13"/>
  <c r="T203" i="13"/>
  <c r="O120" i="13"/>
  <c r="I163" i="13"/>
  <c r="T103" i="13"/>
  <c r="P119" i="13"/>
  <c r="E208" i="13"/>
  <c r="I107" i="13"/>
  <c r="T198" i="13"/>
  <c r="H150" i="13"/>
  <c r="T207" i="13"/>
  <c r="P211" i="13"/>
  <c r="H116" i="13"/>
  <c r="I104" i="13"/>
  <c r="H155" i="13"/>
  <c r="T112" i="13"/>
  <c r="T202" i="13"/>
  <c r="I150" i="13"/>
  <c r="T163" i="13"/>
  <c r="H112" i="13"/>
  <c r="T206" i="13"/>
  <c r="E166" i="13"/>
  <c r="T167" i="13"/>
  <c r="T162" i="13"/>
  <c r="E167" i="13"/>
  <c r="T121" i="13"/>
  <c r="E199" i="13"/>
  <c r="E200" i="13"/>
  <c r="H211" i="13"/>
  <c r="T168" i="13"/>
  <c r="E165" i="13"/>
  <c r="P122" i="13"/>
  <c r="H114" i="13"/>
  <c r="I206" i="13"/>
  <c r="T120" i="13"/>
  <c r="I155" i="13"/>
  <c r="I117" i="13"/>
  <c r="E122" i="13"/>
  <c r="O166" i="13"/>
  <c r="H209" i="13"/>
  <c r="T197" i="13"/>
  <c r="H103" i="13"/>
  <c r="H197" i="13"/>
  <c r="I110" i="13"/>
  <c r="T204" i="13"/>
  <c r="H163" i="13"/>
  <c r="E206" i="13"/>
  <c r="H161" i="13"/>
  <c r="T201" i="13"/>
  <c r="I152" i="13"/>
  <c r="T200" i="13"/>
  <c r="H106" i="13"/>
  <c r="I197" i="13"/>
  <c r="T111" i="13"/>
  <c r="T166" i="13"/>
  <c r="T210" i="13"/>
  <c r="H152" i="13"/>
  <c r="I112" i="13"/>
  <c r="I161" i="13"/>
  <c r="H202" i="13"/>
  <c r="H151" i="13"/>
  <c r="I114" i="13"/>
  <c r="I154" i="13"/>
  <c r="H119" i="13"/>
  <c r="T150" i="13"/>
  <c r="H160" i="13"/>
  <c r="H167" i="13"/>
  <c r="H201" i="13"/>
  <c r="T211" i="13"/>
  <c r="E168" i="13"/>
  <c r="O210" i="13"/>
  <c r="O169" i="13"/>
  <c r="O118" i="13"/>
  <c r="M17" i="18" l="1"/>
  <c r="M15" i="18"/>
  <c r="M16" i="18"/>
  <c r="M12" i="18"/>
  <c r="N165" i="13"/>
  <c r="N207" i="13"/>
  <c r="N211" i="13"/>
  <c r="N167" i="13"/>
  <c r="N168" i="13"/>
  <c r="N121"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36" i="13"/>
  <c r="C78" i="13"/>
  <c r="AA1" i="13" s="1" a="1"/>
  <c r="T65" i="13"/>
  <c r="T46" i="13"/>
  <c r="O121" i="13"/>
  <c r="T67" i="13"/>
  <c r="T48" i="13"/>
  <c r="T43" i="13"/>
  <c r="T61" i="13"/>
  <c r="T47" i="13"/>
  <c r="O211" i="13"/>
  <c r="T38" i="13"/>
  <c r="T39" i="13"/>
  <c r="T58" i="13"/>
  <c r="T41" i="13"/>
  <c r="T69" i="13"/>
  <c r="P210" i="13"/>
  <c r="T64" i="13"/>
  <c r="T71" i="13"/>
  <c r="T57" i="13"/>
  <c r="T73" i="13"/>
  <c r="T70" i="13"/>
  <c r="P165" i="13"/>
  <c r="T50" i="13"/>
  <c r="O168" i="13"/>
  <c r="T52" i="13"/>
  <c r="T53" i="13"/>
  <c r="T37" i="13"/>
  <c r="T66" i="13"/>
  <c r="T40" i="13"/>
  <c r="T49" i="13"/>
  <c r="T68" i="13"/>
  <c r="T59" i="13"/>
  <c r="T75" i="13"/>
  <c r="T60" i="13"/>
  <c r="T72" i="13"/>
  <c r="T62" i="13"/>
  <c r="T45" i="13"/>
  <c r="P120" i="13"/>
  <c r="O207" i="13"/>
  <c r="T63" i="13"/>
  <c r="T51" i="13"/>
  <c r="T54" i="13"/>
  <c r="O165" i="13"/>
  <c r="T36" i="13"/>
  <c r="T55" i="13"/>
  <c r="T56" i="13"/>
  <c r="T74" i="13"/>
  <c r="T44" i="13"/>
  <c r="O167" i="13"/>
  <c r="T42" i="13"/>
  <c r="AA1" i="13" l="1"/>
  <c r="AA13" i="13"/>
  <c r="AA21" i="13"/>
  <c r="AA11" i="13"/>
  <c r="AA9" i="13"/>
  <c r="AA3" i="13"/>
  <c r="AA20" i="13"/>
  <c r="AA17" i="13"/>
  <c r="AA32" i="13"/>
  <c r="AA2" i="13"/>
  <c r="AA5" i="13"/>
  <c r="AA26" i="13"/>
  <c r="AA18" i="13"/>
  <c r="AA16" i="13"/>
  <c r="AA24" i="13"/>
  <c r="AA28" i="13"/>
  <c r="AA33" i="13"/>
  <c r="AA31" i="13"/>
  <c r="AA8" i="13"/>
  <c r="AA22" i="13"/>
  <c r="AA15" i="13"/>
  <c r="AA23" i="13"/>
  <c r="AA12" i="13"/>
  <c r="AA10" i="13"/>
  <c r="AA19" i="13"/>
  <c r="AA30" i="13"/>
  <c r="AA7" i="13"/>
  <c r="AA4" i="13"/>
  <c r="AA25" i="13"/>
  <c r="AA14" i="13"/>
  <c r="AA27" i="13"/>
  <c r="AA29" i="13"/>
  <c r="AA6" i="13"/>
  <c r="B33" i="13"/>
  <c r="B22" i="13"/>
  <c r="A83" i="13"/>
  <c r="M13" i="18" l="1"/>
  <c r="M14" i="18"/>
  <c r="E12" i="14"/>
  <c r="F12" i="14"/>
  <c r="H12" i="14"/>
  <c r="I12" i="14" l="1"/>
  <c r="AJ535" i="6"/>
  <c r="AK535" i="6" s="1"/>
  <c r="D11" i="2" l="1"/>
  <c r="K39" i="2"/>
  <c r="K42" i="2"/>
  <c r="K44" i="2" s="1"/>
  <c r="K45" i="2" s="1"/>
  <c r="D234" i="13" s="1"/>
  <c r="E95" i="9" l="1"/>
  <c r="E48" i="9"/>
  <c r="D95" i="9"/>
  <c r="D92" i="9"/>
  <c r="D45" i="9"/>
  <c r="D192" i="13"/>
  <c r="D145" i="13"/>
  <c r="D98" i="13"/>
  <c r="D31" i="13"/>
  <c r="N12" i="18"/>
  <c r="N17" i="18"/>
  <c r="N14" i="18"/>
  <c r="N13" i="18"/>
  <c r="N16" i="18"/>
  <c r="N15" i="18"/>
  <c r="AM240" i="6"/>
  <c r="AM488" i="6"/>
  <c r="AM241" i="6"/>
  <c r="AM600" i="6"/>
  <c r="AM329" i="6"/>
  <c r="AM349" i="6"/>
  <c r="AM55" i="6"/>
  <c r="AM359" i="6"/>
  <c r="AM476" i="6"/>
  <c r="AM142" i="6"/>
  <c r="AM400" i="6"/>
  <c r="AM143" i="6"/>
  <c r="AM477" i="6"/>
  <c r="AM224" i="6"/>
  <c r="AM17" i="6"/>
  <c r="AM25" i="6"/>
  <c r="AM33" i="6"/>
  <c r="AM41" i="6"/>
  <c r="AM49" i="6"/>
  <c r="AM58" i="6"/>
  <c r="AM66" i="6"/>
  <c r="AM74" i="6"/>
  <c r="AM82" i="6"/>
  <c r="AM90" i="6"/>
  <c r="AM98" i="6"/>
  <c r="AM106" i="6"/>
  <c r="AM114" i="6"/>
  <c r="AM122" i="6"/>
  <c r="AM130" i="6"/>
  <c r="AM138" i="6"/>
  <c r="AM148" i="6"/>
  <c r="AM156" i="6"/>
  <c r="AM164" i="6"/>
  <c r="AM172" i="6"/>
  <c r="AM180" i="6"/>
  <c r="AM188" i="6"/>
  <c r="AM196" i="6"/>
  <c r="AM204" i="6"/>
  <c r="AM212" i="6"/>
  <c r="AM220" i="6"/>
  <c r="AM229" i="6"/>
  <c r="AM237" i="6"/>
  <c r="AM247" i="6"/>
  <c r="AM255" i="6"/>
  <c r="AM263" i="6"/>
  <c r="AM271" i="6"/>
  <c r="AM279" i="6"/>
  <c r="AM287" i="6"/>
  <c r="AM295" i="6"/>
  <c r="AM303" i="6"/>
  <c r="AM311" i="6"/>
  <c r="AM319" i="6"/>
  <c r="AM327" i="6"/>
  <c r="AM336" i="6"/>
  <c r="AM344" i="6"/>
  <c r="AM353" i="6"/>
  <c r="AM362" i="6"/>
  <c r="AM370" i="6"/>
  <c r="AM378" i="6"/>
  <c r="AM386" i="6"/>
  <c r="AM394" i="6"/>
  <c r="AM403" i="6"/>
  <c r="AM411" i="6"/>
  <c r="AM419" i="6"/>
  <c r="AM427" i="6"/>
  <c r="AM435" i="6"/>
  <c r="AM443" i="6"/>
  <c r="AM451" i="6"/>
  <c r="AM459" i="6"/>
  <c r="AM467" i="6"/>
  <c r="AM475" i="6"/>
  <c r="AM485" i="6"/>
  <c r="AM494" i="6"/>
  <c r="AM502" i="6"/>
  <c r="AM510" i="6"/>
  <c r="AM518" i="6"/>
  <c r="AM526" i="6"/>
  <c r="AM534" i="6"/>
  <c r="AM542" i="6"/>
  <c r="AM550" i="6"/>
  <c r="AM558" i="6"/>
  <c r="AM566" i="6"/>
  <c r="AM574" i="6"/>
  <c r="AM582" i="6"/>
  <c r="AM590" i="6"/>
  <c r="AM598" i="6"/>
  <c r="AM607" i="6"/>
  <c r="AM615" i="6"/>
  <c r="AM18" i="6"/>
  <c r="AM26" i="6"/>
  <c r="AM34" i="6"/>
  <c r="AM42" i="6"/>
  <c r="AM50" i="6"/>
  <c r="AM59" i="6"/>
  <c r="AM67" i="6"/>
  <c r="AM75" i="6"/>
  <c r="AM83" i="6"/>
  <c r="AM91" i="6"/>
  <c r="AM99" i="6"/>
  <c r="AM107" i="6"/>
  <c r="AM115" i="6"/>
  <c r="AM123" i="6"/>
  <c r="AM131" i="6"/>
  <c r="AM139" i="6"/>
  <c r="AM149" i="6"/>
  <c r="AM157" i="6"/>
  <c r="AM165" i="6"/>
  <c r="AM173" i="6"/>
  <c r="AM181" i="6"/>
  <c r="AM189" i="6"/>
  <c r="AM197" i="6"/>
  <c r="AM205" i="6"/>
  <c r="AM213" i="6"/>
  <c r="AM221" i="6"/>
  <c r="AM230" i="6"/>
  <c r="AM238" i="6"/>
  <c r="AM248" i="6"/>
  <c r="AM256" i="6"/>
  <c r="AM264" i="6"/>
  <c r="AM272" i="6"/>
  <c r="AM280" i="6"/>
  <c r="AM288" i="6"/>
  <c r="AM296" i="6"/>
  <c r="AM304" i="6"/>
  <c r="AM312" i="6"/>
  <c r="AM320" i="6"/>
  <c r="AM328" i="6"/>
  <c r="AM337" i="6"/>
  <c r="AM345" i="6"/>
  <c r="AM354" i="6"/>
  <c r="AM363" i="6"/>
  <c r="AM371" i="6"/>
  <c r="AM379" i="6"/>
  <c r="AM387" i="6"/>
  <c r="AM395" i="6"/>
  <c r="AM404" i="6"/>
  <c r="AM412" i="6"/>
  <c r="AM420" i="6"/>
  <c r="AM428" i="6"/>
  <c r="AM436" i="6"/>
  <c r="AM444" i="6"/>
  <c r="AM452" i="6"/>
  <c r="AM460" i="6"/>
  <c r="AM468" i="6"/>
  <c r="AM478" i="6"/>
  <c r="AM486" i="6"/>
  <c r="AM495" i="6"/>
  <c r="AM503" i="6"/>
  <c r="AM511" i="6"/>
  <c r="AM519" i="6"/>
  <c r="AM527" i="6"/>
  <c r="AM535" i="6"/>
  <c r="AM543" i="6"/>
  <c r="AM551" i="6"/>
  <c r="AM559" i="6"/>
  <c r="AM567" i="6"/>
  <c r="AM575" i="6"/>
  <c r="AM583" i="6"/>
  <c r="AM591" i="6"/>
  <c r="AM599" i="6"/>
  <c r="AM608" i="6"/>
  <c r="AM616" i="6"/>
  <c r="AM19" i="6"/>
  <c r="AM27" i="6"/>
  <c r="AM35" i="6"/>
  <c r="AM43" i="6"/>
  <c r="AM51" i="6"/>
  <c r="AM60" i="6"/>
  <c r="AM68" i="6"/>
  <c r="AM76" i="6"/>
  <c r="AM84" i="6"/>
  <c r="AM92" i="6"/>
  <c r="AM100" i="6"/>
  <c r="AM108" i="6"/>
  <c r="AM116" i="6"/>
  <c r="AM124" i="6"/>
  <c r="AM132" i="6"/>
  <c r="AM140" i="6"/>
  <c r="AM150" i="6"/>
  <c r="AM158" i="6"/>
  <c r="AM166" i="6"/>
  <c r="AM174" i="6"/>
  <c r="AM182" i="6"/>
  <c r="AM190" i="6"/>
  <c r="AM198" i="6"/>
  <c r="AM206" i="6"/>
  <c r="AM214" i="6"/>
  <c r="AM222" i="6"/>
  <c r="AM231" i="6"/>
  <c r="AM239" i="6"/>
  <c r="AM249" i="6"/>
  <c r="AM257" i="6"/>
  <c r="AM265" i="6"/>
  <c r="AM273" i="6"/>
  <c r="AM281" i="6"/>
  <c r="AM289" i="6"/>
  <c r="AM297" i="6"/>
  <c r="AM305" i="6"/>
  <c r="AM313" i="6"/>
  <c r="AM321" i="6"/>
  <c r="AM330" i="6"/>
  <c r="AM338" i="6"/>
  <c r="AM346" i="6"/>
  <c r="AM355" i="6"/>
  <c r="AM364" i="6"/>
  <c r="AM372" i="6"/>
  <c r="AM380" i="6"/>
  <c r="AM388" i="6"/>
  <c r="AM396" i="6"/>
  <c r="AM405" i="6"/>
  <c r="AM413" i="6"/>
  <c r="AM421" i="6"/>
  <c r="AM429" i="6"/>
  <c r="AM437" i="6"/>
  <c r="AM445" i="6"/>
  <c r="AM453" i="6"/>
  <c r="AM461" i="6"/>
  <c r="AM469" i="6"/>
  <c r="AM479" i="6"/>
  <c r="AM487" i="6"/>
  <c r="AM496" i="6"/>
  <c r="AM504" i="6"/>
  <c r="AM512" i="6"/>
  <c r="AM520" i="6"/>
  <c r="AM528" i="6"/>
  <c r="AM536" i="6"/>
  <c r="AM544" i="6"/>
  <c r="AM552" i="6"/>
  <c r="AM560" i="6"/>
  <c r="AM568" i="6"/>
  <c r="AM576" i="6"/>
  <c r="AM584" i="6"/>
  <c r="AM592" i="6"/>
  <c r="AM601" i="6"/>
  <c r="AM609" i="6"/>
  <c r="AM617" i="6"/>
  <c r="AM23" i="6"/>
  <c r="AM47" i="6"/>
  <c r="AM64" i="6"/>
  <c r="AM80" i="6"/>
  <c r="AM88" i="6"/>
  <c r="AM104" i="6"/>
  <c r="AM120" i="6"/>
  <c r="AM136" i="6"/>
  <c r="AM20" i="6"/>
  <c r="AM28" i="6"/>
  <c r="AM36" i="6"/>
  <c r="AM44" i="6"/>
  <c r="AM52" i="6"/>
  <c r="AM61" i="6"/>
  <c r="AM69" i="6"/>
  <c r="AM77" i="6"/>
  <c r="AM85" i="6"/>
  <c r="AM93" i="6"/>
  <c r="AM101" i="6"/>
  <c r="AM109" i="6"/>
  <c r="AM117" i="6"/>
  <c r="AM125" i="6"/>
  <c r="AM133" i="6"/>
  <c r="AM141" i="6"/>
  <c r="AM151" i="6"/>
  <c r="AM159" i="6"/>
  <c r="AM167" i="6"/>
  <c r="AM175" i="6"/>
  <c r="AM183" i="6"/>
  <c r="AM191" i="6"/>
  <c r="AM199" i="6"/>
  <c r="AM207" i="6"/>
  <c r="AM215" i="6"/>
  <c r="AM223" i="6"/>
  <c r="AM232" i="6"/>
  <c r="AM242" i="6"/>
  <c r="AM250" i="6"/>
  <c r="AM258" i="6"/>
  <c r="AM266" i="6"/>
  <c r="AM274" i="6"/>
  <c r="AM282" i="6"/>
  <c r="AM290" i="6"/>
  <c r="AM298" i="6"/>
  <c r="AM306" i="6"/>
  <c r="AM314" i="6"/>
  <c r="AM322" i="6"/>
  <c r="AM331" i="6"/>
  <c r="AM339" i="6"/>
  <c r="AM347" i="6"/>
  <c r="AM356" i="6"/>
  <c r="AM365" i="6"/>
  <c r="AM373" i="6"/>
  <c r="AM381" i="6"/>
  <c r="AM389" i="6"/>
  <c r="AM397" i="6"/>
  <c r="AM406" i="6"/>
  <c r="AM414" i="6"/>
  <c r="AM422" i="6"/>
  <c r="AM430" i="6"/>
  <c r="AM438" i="6"/>
  <c r="AM446" i="6"/>
  <c r="AM454" i="6"/>
  <c r="AM462" i="6"/>
  <c r="AM470" i="6"/>
  <c r="AM480" i="6"/>
  <c r="AM489" i="6"/>
  <c r="AM497" i="6"/>
  <c r="AM505" i="6"/>
  <c r="AM513" i="6"/>
  <c r="AM521" i="6"/>
  <c r="AM529" i="6"/>
  <c r="AM537" i="6"/>
  <c r="AM545" i="6"/>
  <c r="AM553" i="6"/>
  <c r="AM561" i="6"/>
  <c r="AM569" i="6"/>
  <c r="AM577" i="6"/>
  <c r="AM585" i="6"/>
  <c r="AM593" i="6"/>
  <c r="AM602" i="6"/>
  <c r="AM610" i="6"/>
  <c r="AM618" i="6"/>
  <c r="AM21" i="6"/>
  <c r="AM29" i="6"/>
  <c r="AM37" i="6"/>
  <c r="AM45" i="6"/>
  <c r="AM53" i="6"/>
  <c r="AM62" i="6"/>
  <c r="AM70" i="6"/>
  <c r="AM78" i="6"/>
  <c r="AM86" i="6"/>
  <c r="AM94" i="6"/>
  <c r="AM102" i="6"/>
  <c r="AM110" i="6"/>
  <c r="AM118" i="6"/>
  <c r="AM126" i="6"/>
  <c r="AM134" i="6"/>
  <c r="AM144" i="6"/>
  <c r="AM152" i="6"/>
  <c r="AM160" i="6"/>
  <c r="AM168" i="6"/>
  <c r="AM176" i="6"/>
  <c r="AM184" i="6"/>
  <c r="AM192" i="6"/>
  <c r="AM200" i="6"/>
  <c r="AM208" i="6"/>
  <c r="AM216" i="6"/>
  <c r="AM225" i="6"/>
  <c r="AM233" i="6"/>
  <c r="AM243" i="6"/>
  <c r="AM251" i="6"/>
  <c r="AM259" i="6"/>
  <c r="AM267" i="6"/>
  <c r="AM275" i="6"/>
  <c r="AM283" i="6"/>
  <c r="AM291" i="6"/>
  <c r="AM299" i="6"/>
  <c r="AM307" i="6"/>
  <c r="AM315" i="6"/>
  <c r="AM323" i="6"/>
  <c r="AM332" i="6"/>
  <c r="AM340" i="6"/>
  <c r="AM348" i="6"/>
  <c r="AM357" i="6"/>
  <c r="AM366" i="6"/>
  <c r="AM374" i="6"/>
  <c r="AM382" i="6"/>
  <c r="AM390" i="6"/>
  <c r="AM398" i="6"/>
  <c r="AM407" i="6"/>
  <c r="AM415" i="6"/>
  <c r="AM423" i="6"/>
  <c r="AM431" i="6"/>
  <c r="AM439" i="6"/>
  <c r="AM447" i="6"/>
  <c r="AM455" i="6"/>
  <c r="AM463" i="6"/>
  <c r="AM471" i="6"/>
  <c r="AM481" i="6"/>
  <c r="AM490" i="6"/>
  <c r="AM498" i="6"/>
  <c r="AM506" i="6"/>
  <c r="AM514" i="6"/>
  <c r="AM522" i="6"/>
  <c r="AM530" i="6"/>
  <c r="AM538" i="6"/>
  <c r="AM546" i="6"/>
  <c r="AM554" i="6"/>
  <c r="AM562" i="6"/>
  <c r="AM570" i="6"/>
  <c r="AM578" i="6"/>
  <c r="AM586" i="6"/>
  <c r="AM594" i="6"/>
  <c r="AM603" i="6"/>
  <c r="AM611" i="6"/>
  <c r="AM619" i="6"/>
  <c r="AM22" i="6"/>
  <c r="AM30" i="6"/>
  <c r="AM38" i="6"/>
  <c r="AM46" i="6"/>
  <c r="AM54" i="6"/>
  <c r="AM63" i="6"/>
  <c r="AM71" i="6"/>
  <c r="AM79" i="6"/>
  <c r="AM87" i="6"/>
  <c r="AM95" i="6"/>
  <c r="AM103" i="6"/>
  <c r="AM111" i="6"/>
  <c r="AM119" i="6"/>
  <c r="AM127" i="6"/>
  <c r="AM135" i="6"/>
  <c r="AM145" i="6"/>
  <c r="AM153" i="6"/>
  <c r="AM161" i="6"/>
  <c r="AM169" i="6"/>
  <c r="AM177" i="6"/>
  <c r="AM185" i="6"/>
  <c r="AM193" i="6"/>
  <c r="AM201" i="6"/>
  <c r="AM209" i="6"/>
  <c r="AM217" i="6"/>
  <c r="AM226" i="6"/>
  <c r="AM234" i="6"/>
  <c r="AM244" i="6"/>
  <c r="AM252" i="6"/>
  <c r="AM260" i="6"/>
  <c r="AM268" i="6"/>
  <c r="AM276" i="6"/>
  <c r="AM284" i="6"/>
  <c r="AM292" i="6"/>
  <c r="AM300" i="6"/>
  <c r="AM308" i="6"/>
  <c r="AM316" i="6"/>
  <c r="AM324" i="6"/>
  <c r="AM333" i="6"/>
  <c r="AM341" i="6"/>
  <c r="AM350" i="6"/>
  <c r="AM358" i="6"/>
  <c r="AM367" i="6"/>
  <c r="AM375" i="6"/>
  <c r="AM383" i="6"/>
  <c r="AM391" i="6"/>
  <c r="AM399" i="6"/>
  <c r="AM408" i="6"/>
  <c r="AM416" i="6"/>
  <c r="AM424" i="6"/>
  <c r="AM432" i="6"/>
  <c r="AM440" i="6"/>
  <c r="AM448" i="6"/>
  <c r="AM456" i="6"/>
  <c r="AM464" i="6"/>
  <c r="AM472" i="6"/>
  <c r="AM482" i="6"/>
  <c r="AM491" i="6"/>
  <c r="AM499" i="6"/>
  <c r="AM507" i="6"/>
  <c r="AM515" i="6"/>
  <c r="AM523" i="6"/>
  <c r="AM531" i="6"/>
  <c r="AM539" i="6"/>
  <c r="AM547" i="6"/>
  <c r="AM555" i="6"/>
  <c r="AM563" i="6"/>
  <c r="AM571" i="6"/>
  <c r="AM579" i="6"/>
  <c r="AM587" i="6"/>
  <c r="AM595" i="6"/>
  <c r="AM604" i="6"/>
  <c r="AM612" i="6"/>
  <c r="AM620" i="6"/>
  <c r="AM31" i="6"/>
  <c r="AM39" i="6"/>
  <c r="AM56" i="6"/>
  <c r="AM72" i="6"/>
  <c r="AM96" i="6"/>
  <c r="AM112" i="6"/>
  <c r="AM128" i="6"/>
  <c r="AM146" i="6"/>
  <c r="AM48" i="6"/>
  <c r="AM113" i="6"/>
  <c r="AM163" i="6"/>
  <c r="AM195" i="6"/>
  <c r="AM228" i="6"/>
  <c r="AM262" i="6"/>
  <c r="AM294" i="6"/>
  <c r="AM326" i="6"/>
  <c r="AM361" i="6"/>
  <c r="AM393" i="6"/>
  <c r="AM426" i="6"/>
  <c r="AM458" i="6"/>
  <c r="AM493" i="6"/>
  <c r="AM525" i="6"/>
  <c r="AM557" i="6"/>
  <c r="AM589" i="6"/>
  <c r="AM121" i="6"/>
  <c r="AM235" i="6"/>
  <c r="AM301" i="6"/>
  <c r="AM368" i="6"/>
  <c r="AM433" i="6"/>
  <c r="AM465" i="6"/>
  <c r="AM532" i="6"/>
  <c r="AM596" i="6"/>
  <c r="AM210" i="6"/>
  <c r="AM376" i="6"/>
  <c r="AM473" i="6"/>
  <c r="AM572" i="6"/>
  <c r="AM606" i="6"/>
  <c r="AM57" i="6"/>
  <c r="AM170" i="6"/>
  <c r="AM202" i="6"/>
  <c r="AM269" i="6"/>
  <c r="AM334" i="6"/>
  <c r="AM401" i="6"/>
  <c r="AM500" i="6"/>
  <c r="AM564" i="6"/>
  <c r="AM178" i="6"/>
  <c r="AM309" i="6"/>
  <c r="AM441" i="6"/>
  <c r="AM508" i="6"/>
  <c r="AM194" i="6"/>
  <c r="AM392" i="6"/>
  <c r="AM588" i="6"/>
  <c r="AM65" i="6"/>
  <c r="AM129" i="6"/>
  <c r="AM171" i="6"/>
  <c r="AM203" i="6"/>
  <c r="AM236" i="6"/>
  <c r="AM270" i="6"/>
  <c r="AM302" i="6"/>
  <c r="AM335" i="6"/>
  <c r="AM369" i="6"/>
  <c r="AM402" i="6"/>
  <c r="AM434" i="6"/>
  <c r="AM466" i="6"/>
  <c r="AM501" i="6"/>
  <c r="AM533" i="6"/>
  <c r="AM565" i="6"/>
  <c r="AM597" i="6"/>
  <c r="AM342" i="6"/>
  <c r="AM540" i="6"/>
  <c r="AM81" i="6"/>
  <c r="AM147" i="6"/>
  <c r="AM179" i="6"/>
  <c r="AM211" i="6"/>
  <c r="AM246" i="6"/>
  <c r="AM278" i="6"/>
  <c r="AM310" i="6"/>
  <c r="AM377" i="6"/>
  <c r="AM410" i="6"/>
  <c r="AM442" i="6"/>
  <c r="AM474" i="6"/>
  <c r="AM509" i="6"/>
  <c r="AM573" i="6"/>
  <c r="AM261" i="6"/>
  <c r="AM457" i="6"/>
  <c r="AM73" i="6"/>
  <c r="AM137" i="6"/>
  <c r="AM245" i="6"/>
  <c r="AM277" i="6"/>
  <c r="AM409" i="6"/>
  <c r="AM605" i="6"/>
  <c r="AM40" i="6"/>
  <c r="AM360" i="6"/>
  <c r="AM556" i="6"/>
  <c r="AM343" i="6"/>
  <c r="AM541" i="6"/>
  <c r="AM227" i="6"/>
  <c r="AM425" i="6"/>
  <c r="AM621" i="6"/>
  <c r="AM24" i="6"/>
  <c r="AM89" i="6"/>
  <c r="AM154" i="6"/>
  <c r="AM186" i="6"/>
  <c r="AM218" i="6"/>
  <c r="AM253" i="6"/>
  <c r="AM285" i="6"/>
  <c r="AM317" i="6"/>
  <c r="AM351" i="6"/>
  <c r="AM384" i="6"/>
  <c r="AM417" i="6"/>
  <c r="AM449" i="6"/>
  <c r="AM483" i="6"/>
  <c r="AM516" i="6"/>
  <c r="AM548" i="6"/>
  <c r="AM580" i="6"/>
  <c r="AM613" i="6"/>
  <c r="AM32" i="6"/>
  <c r="AM155" i="6"/>
  <c r="AM219" i="6"/>
  <c r="AM286" i="6"/>
  <c r="AM352" i="6"/>
  <c r="AM418" i="6"/>
  <c r="AM484" i="6"/>
  <c r="AM549" i="6"/>
  <c r="AM614" i="6"/>
  <c r="AM162" i="6"/>
  <c r="AM325" i="6"/>
  <c r="AM524" i="6"/>
  <c r="AM97" i="6"/>
  <c r="AM187" i="6"/>
  <c r="AM254" i="6"/>
  <c r="AM318" i="6"/>
  <c r="AM385" i="6"/>
  <c r="AM450" i="6"/>
  <c r="AM517" i="6"/>
  <c r="AM581" i="6"/>
  <c r="AM105" i="6"/>
  <c r="AM293" i="6"/>
  <c r="AM492" i="6"/>
  <c r="N17" i="24"/>
  <c r="N25" i="24"/>
  <c r="M31" i="3"/>
  <c r="AM16" i="6"/>
  <c r="N18" i="24"/>
  <c r="N26" i="24"/>
  <c r="M20" i="3"/>
  <c r="N27" i="24"/>
  <c r="N23" i="24"/>
  <c r="N19" i="24"/>
  <c r="N24" i="24"/>
  <c r="M42" i="3"/>
  <c r="N20" i="24"/>
  <c r="N28" i="24"/>
  <c r="N21" i="24"/>
  <c r="N29" i="24"/>
  <c r="N22" i="24"/>
  <c r="N30" i="24"/>
  <c r="D19" i="9"/>
  <c r="L115" i="13"/>
  <c r="L152" i="13"/>
  <c r="L200" i="13"/>
  <c r="K105" i="13"/>
  <c r="L116" i="13"/>
  <c r="E73" i="13"/>
  <c r="L161" i="13"/>
  <c r="E48" i="13"/>
  <c r="L114" i="13"/>
  <c r="K164" i="13"/>
  <c r="E75" i="13"/>
  <c r="E58" i="13"/>
  <c r="L202" i="13"/>
  <c r="L156" i="13"/>
  <c r="E51" i="13"/>
  <c r="K202" i="13"/>
  <c r="K116" i="13"/>
  <c r="L201" i="13"/>
  <c r="K107" i="13"/>
  <c r="E66" i="13"/>
  <c r="E68" i="13"/>
  <c r="L158" i="13"/>
  <c r="L206" i="13"/>
  <c r="K201" i="13"/>
  <c r="K160" i="13"/>
  <c r="K154" i="13"/>
  <c r="K200" i="13"/>
  <c r="K198" i="13"/>
  <c r="K163" i="13"/>
  <c r="E54" i="13"/>
  <c r="E59" i="13"/>
  <c r="L110" i="13"/>
  <c r="E64" i="13"/>
  <c r="L151" i="13"/>
  <c r="K152" i="13"/>
  <c r="L103" i="13"/>
  <c r="K103" i="13"/>
  <c r="L109" i="13"/>
  <c r="L157" i="13"/>
  <c r="K205" i="13"/>
  <c r="E70" i="13"/>
  <c r="E60" i="13"/>
  <c r="E67" i="13"/>
  <c r="K113" i="13"/>
  <c r="K157" i="13"/>
  <c r="E72" i="13"/>
  <c r="K156" i="13"/>
  <c r="L117" i="13"/>
  <c r="E46" i="13"/>
  <c r="L112" i="13"/>
  <c r="E74" i="13"/>
  <c r="K108" i="13"/>
  <c r="L106" i="13"/>
  <c r="K112" i="13"/>
  <c r="L160" i="13"/>
  <c r="E49" i="13"/>
  <c r="E65" i="13"/>
  <c r="L105" i="13"/>
  <c r="K115" i="13"/>
  <c r="K158" i="13"/>
  <c r="L155" i="13"/>
  <c r="L111" i="13"/>
  <c r="L107" i="13"/>
  <c r="K199" i="13"/>
  <c r="L162" i="13"/>
  <c r="K109" i="13"/>
  <c r="L113" i="13"/>
  <c r="E47" i="13"/>
  <c r="K114" i="13"/>
  <c r="L104" i="13"/>
  <c r="E61" i="13"/>
  <c r="K104" i="13"/>
  <c r="K106" i="13"/>
  <c r="K111" i="13"/>
  <c r="E50" i="13"/>
  <c r="E52" i="13"/>
  <c r="K206" i="13"/>
  <c r="E57" i="13"/>
  <c r="L205" i="13"/>
  <c r="L164" i="13"/>
  <c r="L197" i="13"/>
  <c r="L198" i="13"/>
  <c r="L154" i="13"/>
  <c r="K153" i="13"/>
  <c r="E55" i="13"/>
  <c r="E63" i="13"/>
  <c r="E53" i="13"/>
  <c r="L199" i="13"/>
  <c r="K150" i="13"/>
  <c r="E62" i="13"/>
  <c r="L108" i="13"/>
  <c r="E69" i="13"/>
  <c r="K203" i="13"/>
  <c r="E56" i="13"/>
  <c r="L159" i="13"/>
  <c r="K159" i="13"/>
  <c r="K162" i="13"/>
  <c r="E71" i="13"/>
  <c r="K117" i="13"/>
  <c r="K151" i="13"/>
  <c r="L153" i="13"/>
  <c r="L203" i="13"/>
  <c r="K161" i="13"/>
  <c r="L163" i="13"/>
  <c r="L204" i="13"/>
  <c r="K155" i="13"/>
  <c r="K110" i="13"/>
  <c r="L150" i="13"/>
  <c r="K197" i="13"/>
  <c r="K204" i="13"/>
  <c r="B8" i="6" l="1"/>
  <c r="D564" i="6" s="1"/>
  <c r="I35" i="22" l="1"/>
  <c r="I34" i="22"/>
  <c r="I33" i="22"/>
  <c r="I32" i="22"/>
  <c r="I31" i="22"/>
  <c r="I30" i="22"/>
  <c r="P163" i="13"/>
  <c r="P164" i="13"/>
  <c r="P162" i="13"/>
  <c r="P160" i="13"/>
  <c r="P161" i="13"/>
  <c r="G29" i="22" l="1"/>
  <c r="D300" i="22" l="1"/>
  <c r="D303" i="22"/>
  <c r="D299" i="22"/>
  <c r="D302" i="22"/>
  <c r="D78" i="22"/>
  <c r="D76" i="22"/>
  <c r="D75" i="22"/>
  <c r="D79" i="22"/>
  <c r="D207" i="22"/>
  <c r="D203" i="22"/>
  <c r="D200" i="22"/>
  <c r="D199" i="22"/>
  <c r="D206" i="22"/>
  <c r="D204" i="22"/>
  <c r="D234" i="22"/>
  <c r="D233" i="22"/>
  <c r="D108" i="22"/>
  <c r="D107" i="22"/>
  <c r="D103" i="22"/>
  <c r="D104" i="22"/>
  <c r="D101" i="22"/>
  <c r="D100" i="22"/>
  <c r="D297" i="22"/>
  <c r="D296" i="22"/>
  <c r="D384" i="22"/>
  <c r="D383" i="22"/>
  <c r="D373" i="22"/>
  <c r="D376" i="22"/>
  <c r="D371" i="22"/>
  <c r="D375" i="22"/>
  <c r="D374" i="22"/>
  <c r="D367" i="22"/>
  <c r="D370" i="22"/>
  <c r="D368" i="22"/>
  <c r="D341" i="22"/>
  <c r="D340" i="22"/>
  <c r="D336" i="22"/>
  <c r="D333" i="22"/>
  <c r="D332" i="22"/>
  <c r="D339" i="22"/>
  <c r="D338" i="22"/>
  <c r="D335" i="22"/>
  <c r="D68" i="22"/>
  <c r="D72" i="22"/>
  <c r="D69" i="22"/>
  <c r="D66" i="22"/>
  <c r="D65" i="22"/>
  <c r="D71" i="22"/>
  <c r="D441" i="22"/>
  <c r="D445" i="22"/>
  <c r="D264" i="22"/>
  <c r="D173" i="22"/>
  <c r="D439" i="22"/>
  <c r="D442" i="22"/>
  <c r="D171" i="22"/>
  <c r="D268" i="22"/>
  <c r="D438" i="22"/>
  <c r="D412" i="22"/>
  <c r="D170" i="22"/>
  <c r="D444" i="22"/>
  <c r="D411" i="22"/>
  <c r="D167" i="22"/>
  <c r="D133" i="22"/>
  <c r="D166" i="22"/>
  <c r="D136" i="22"/>
  <c r="D409" i="22"/>
  <c r="D132" i="22"/>
  <c r="D408" i="22"/>
  <c r="D269" i="22"/>
  <c r="D137" i="22"/>
  <c r="D174" i="22"/>
  <c r="D406" i="22"/>
  <c r="D405" i="22"/>
  <c r="D265" i="22"/>
  <c r="E24" i="13" l="1"/>
  <c r="N68" i="13" l="1"/>
  <c r="N115" i="13"/>
  <c r="N117" i="13"/>
  <c r="N113" i="13"/>
  <c r="N114" i="13"/>
  <c r="N116" i="13"/>
  <c r="P114" i="13"/>
  <c r="O68" i="13"/>
  <c r="P113" i="13"/>
  <c r="P115" i="13"/>
  <c r="P117" i="13"/>
  <c r="P116" i="13"/>
  <c r="E31" i="13" l="1"/>
  <c r="E28" i="13"/>
  <c r="O117" i="13"/>
  <c r="O116" i="13"/>
  <c r="O113" i="13"/>
  <c r="O114" i="13"/>
  <c r="O115" i="13"/>
  <c r="D9" i="22" l="1"/>
  <c r="D8" i="22"/>
  <c r="E445" i="22" l="1"/>
  <c r="F445" i="22" s="1"/>
  <c r="E336" i="22"/>
  <c r="F336" i="22" s="1"/>
  <c r="E297" i="22"/>
  <c r="E72" i="22"/>
  <c r="E442" i="22"/>
  <c r="F442" i="22" s="1"/>
  <c r="E333" i="22"/>
  <c r="F333" i="22" s="1"/>
  <c r="E265" i="22"/>
  <c r="F265" i="22" s="1"/>
  <c r="E104" i="22"/>
  <c r="F104" i="22" s="1"/>
  <c r="E406" i="22"/>
  <c r="F406" i="22" s="1"/>
  <c r="E66" i="22"/>
  <c r="F66" i="22" s="1"/>
  <c r="E409" i="22"/>
  <c r="E374" i="22"/>
  <c r="F374" i="22" s="1"/>
  <c r="E269" i="22"/>
  <c r="E174" i="22"/>
  <c r="F174" i="22" s="1"/>
  <c r="E137" i="22"/>
  <c r="F137" i="22" s="1"/>
  <c r="E108" i="22"/>
  <c r="F108" i="22" s="1"/>
  <c r="E69" i="22"/>
  <c r="F69" i="22" s="1"/>
  <c r="E79" i="22"/>
  <c r="E341" i="22"/>
  <c r="F341" i="22" s="1"/>
  <c r="E30" i="22"/>
  <c r="E200" i="22"/>
  <c r="F200" i="22" s="1"/>
  <c r="E439" i="22"/>
  <c r="F439" i="22" s="1"/>
  <c r="E233" i="22"/>
  <c r="E204" i="22"/>
  <c r="E167" i="22"/>
  <c r="F167" i="22" s="1"/>
  <c r="E101" i="22"/>
  <c r="F101" i="22" s="1"/>
  <c r="E31" i="22"/>
  <c r="F31" i="22" s="1"/>
  <c r="E32" i="22"/>
  <c r="F32" i="22" s="1"/>
  <c r="E33" i="22"/>
  <c r="F33" i="22" s="1"/>
  <c r="E133" i="22"/>
  <c r="F133" i="22" s="1"/>
  <c r="E368" i="22"/>
  <c r="F368" i="22" s="1"/>
  <c r="E376" i="22"/>
  <c r="E384" i="22"/>
  <c r="E339" i="22"/>
  <c r="F339" i="22" s="1"/>
  <c r="E34" i="22"/>
  <c r="F34" i="22" s="1"/>
  <c r="E412" i="22"/>
  <c r="F412" i="22" s="1"/>
  <c r="E303" i="22"/>
  <c r="F303" i="22" s="1"/>
  <c r="E171" i="22"/>
  <c r="F171" i="22" s="1"/>
  <c r="E207" i="22"/>
  <c r="F207" i="22" s="1"/>
  <c r="E371" i="22"/>
  <c r="F371" i="22" s="1"/>
  <c r="F204" i="22"/>
  <c r="F209" i="22"/>
  <c r="F208" i="22"/>
  <c r="F212" i="22"/>
  <c r="F216" i="22"/>
  <c r="F210" i="22"/>
  <c r="F214" i="22"/>
  <c r="F211" i="22"/>
  <c r="F215" i="22"/>
  <c r="F213" i="22"/>
  <c r="F243" i="22"/>
  <c r="F249" i="22"/>
  <c r="F239" i="22"/>
  <c r="F246" i="22"/>
  <c r="F241" i="22"/>
  <c r="F247" i="22"/>
  <c r="F240" i="22"/>
  <c r="F248" i="22"/>
  <c r="F245" i="22"/>
  <c r="F242" i="22"/>
  <c r="F244" i="22"/>
  <c r="F84" i="22"/>
  <c r="F347" i="22"/>
  <c r="F350" i="22"/>
  <c r="F43" i="22"/>
  <c r="F41" i="22"/>
  <c r="F348" i="22"/>
  <c r="F37" i="22"/>
  <c r="F115" i="22"/>
  <c r="F113" i="22"/>
  <c r="F46" i="22"/>
  <c r="F386" i="22"/>
  <c r="F116" i="22"/>
  <c r="F39" i="22"/>
  <c r="F117" i="22"/>
  <c r="F388" i="22"/>
  <c r="F81" i="22"/>
  <c r="F40" i="22"/>
  <c r="F389" i="22"/>
  <c r="F45" i="22"/>
  <c r="F112" i="22"/>
  <c r="F36" i="22"/>
  <c r="F114" i="22"/>
  <c r="F49" i="22"/>
  <c r="F387" i="22"/>
  <c r="F44" i="22"/>
  <c r="F349" i="22"/>
  <c r="F42" i="22"/>
  <c r="F47" i="22"/>
  <c r="F82" i="22"/>
  <c r="F48" i="22"/>
  <c r="F38" i="22"/>
  <c r="F83" i="22"/>
  <c r="F237" i="22"/>
  <c r="F233" i="22"/>
  <c r="F238" i="22"/>
  <c r="F111" i="22"/>
  <c r="F310" i="22"/>
  <c r="F308" i="22"/>
  <c r="F312" i="22"/>
  <c r="F306" i="22"/>
  <c r="F314" i="22"/>
  <c r="F309" i="22"/>
  <c r="F313" i="22"/>
  <c r="F385" i="22"/>
  <c r="F307" i="22"/>
  <c r="F311" i="22"/>
  <c r="F315" i="22"/>
  <c r="F305" i="22"/>
  <c r="F304" i="22"/>
  <c r="F384" i="22"/>
  <c r="F297" i="22"/>
  <c r="F376" i="22"/>
  <c r="F346" i="22"/>
  <c r="F79" i="22"/>
  <c r="F279" i="22"/>
  <c r="F451" i="22"/>
  <c r="F419" i="22"/>
  <c r="F452" i="22"/>
  <c r="F180" i="22"/>
  <c r="F421" i="22"/>
  <c r="F179" i="22"/>
  <c r="F177" i="22"/>
  <c r="F178" i="22"/>
  <c r="F183" i="22"/>
  <c r="F450" i="22"/>
  <c r="F274" i="22"/>
  <c r="F272" i="22"/>
  <c r="F281" i="22"/>
  <c r="F276" i="22"/>
  <c r="F417" i="22"/>
  <c r="F416" i="22"/>
  <c r="F418" i="22"/>
  <c r="F273" i="22"/>
  <c r="F420" i="22"/>
  <c r="F453" i="22"/>
  <c r="F182" i="22"/>
  <c r="F277" i="22"/>
  <c r="F275" i="22"/>
  <c r="F454" i="22"/>
  <c r="F415" i="22"/>
  <c r="F455" i="22"/>
  <c r="F181" i="22"/>
  <c r="F278" i="22"/>
  <c r="F422" i="22"/>
  <c r="F282" i="22"/>
  <c r="F280" i="22"/>
  <c r="F72" i="22"/>
  <c r="F269" i="22"/>
  <c r="F409" i="22"/>
  <c r="F35" i="22"/>
  <c r="F141" i="22"/>
  <c r="F146" i="22"/>
  <c r="F145" i="22"/>
  <c r="F150" i="22"/>
  <c r="F149" i="22"/>
  <c r="F144" i="22"/>
  <c r="F148" i="22"/>
  <c r="F147" i="22"/>
  <c r="F142" i="22"/>
  <c r="F143" i="22"/>
  <c r="F30" i="22" l="1"/>
  <c r="E26" i="22"/>
  <c r="G31" i="23"/>
  <c r="N8" i="23"/>
  <c r="N6" i="23"/>
  <c r="C51" i="24"/>
  <c r="C49" i="24"/>
  <c r="C50" i="24"/>
  <c r="C42" i="24"/>
  <c r="C41" i="24"/>
  <c r="C44" i="24"/>
  <c r="C45" i="24"/>
  <c r="C46" i="24"/>
  <c r="C43" i="24"/>
  <c r="C47" i="24"/>
  <c r="C48" i="24"/>
  <c r="F21" i="14"/>
  <c r="I21" i="14" s="1"/>
  <c r="H21" i="14"/>
  <c r="D37" i="24"/>
  <c r="G36" i="24"/>
  <c r="D36" i="24"/>
  <c r="D34" i="24"/>
  <c r="V13" i="24"/>
  <c r="S13" i="24"/>
  <c r="P13" i="24"/>
  <c r="V12" i="24"/>
  <c r="S12" i="24"/>
  <c r="P12" i="24"/>
  <c r="V11" i="24"/>
  <c r="S11" i="24"/>
  <c r="P11" i="24"/>
  <c r="V10" i="24"/>
  <c r="S10" i="24"/>
  <c r="P10" i="24"/>
  <c r="V9" i="24"/>
  <c r="S9" i="24"/>
  <c r="P9" i="24"/>
  <c r="V8" i="24"/>
  <c r="S8" i="24"/>
  <c r="P8" i="24"/>
  <c r="V7" i="24"/>
  <c r="S7" i="24"/>
  <c r="P7" i="24"/>
  <c r="V6" i="24"/>
  <c r="S6" i="24"/>
  <c r="P6" i="24"/>
  <c r="G30" i="23"/>
  <c r="N75" i="13"/>
  <c r="N74" i="13"/>
  <c r="N73" i="13"/>
  <c r="N72" i="13"/>
  <c r="F145" i="7"/>
  <c r="AN145" i="7"/>
  <c r="AN151" i="7"/>
  <c r="AN150" i="7"/>
  <c r="AN149" i="7"/>
  <c r="AN148" i="7"/>
  <c r="AN147" i="7"/>
  <c r="AN146" i="7"/>
  <c r="AN144" i="7"/>
  <c r="AN143" i="7"/>
  <c r="AN142" i="7"/>
  <c r="AN141" i="7"/>
  <c r="AN140" i="7"/>
  <c r="I74" i="13"/>
  <c r="I75" i="13"/>
  <c r="I68" i="13"/>
  <c r="I72" i="13"/>
  <c r="I73" i="13"/>
  <c r="E4" i="14"/>
  <c r="D46" i="18" s="1"/>
  <c r="N48" i="15"/>
  <c r="N49" i="15"/>
  <c r="G43" i="23"/>
  <c r="D26" i="12"/>
  <c r="F4" i="14"/>
  <c r="I4" i="14" s="1"/>
  <c r="K23" i="3"/>
  <c r="M23" i="3"/>
  <c r="N23" i="3" s="1"/>
  <c r="K24" i="3"/>
  <c r="M24" i="3"/>
  <c r="N24" i="3" s="1"/>
  <c r="K25" i="3"/>
  <c r="M25" i="3"/>
  <c r="N25" i="3" s="1"/>
  <c r="F10" i="14"/>
  <c r="N46" i="15"/>
  <c r="K34" i="3"/>
  <c r="M34" i="3"/>
  <c r="N34" i="3" s="1"/>
  <c r="K35" i="3"/>
  <c r="M35" i="3"/>
  <c r="O35" i="3" s="1"/>
  <c r="K36" i="3"/>
  <c r="M36" i="3"/>
  <c r="O36" i="3" s="1"/>
  <c r="K55" i="3"/>
  <c r="E47" i="9"/>
  <c r="L31" i="3"/>
  <c r="I31" i="3"/>
  <c r="I26" i="11"/>
  <c r="I27" i="11"/>
  <c r="N50" i="15"/>
  <c r="D11" i="18"/>
  <c r="F10" i="11"/>
  <c r="E10" i="11"/>
  <c r="N29" i="15"/>
  <c r="W16" i="6"/>
  <c r="C7" i="3"/>
  <c r="R13" i="3"/>
  <c r="I19" i="11"/>
  <c r="I20" i="11"/>
  <c r="I5" i="11"/>
  <c r="H5" i="12"/>
  <c r="AE73" i="7"/>
  <c r="AD73" i="7"/>
  <c r="AC73" i="7"/>
  <c r="AB73" i="7"/>
  <c r="N47" i="15"/>
  <c r="F14" i="14"/>
  <c r="F20" i="14"/>
  <c r="F6" i="14"/>
  <c r="E6" i="14"/>
  <c r="N41" i="15"/>
  <c r="N44" i="15"/>
  <c r="F16" i="14"/>
  <c r="AH16" i="6"/>
  <c r="H4" i="14"/>
  <c r="H5" i="14"/>
  <c r="F5" i="14"/>
  <c r="I5" i="14" s="1"/>
  <c r="H6" i="14"/>
  <c r="H7" i="14"/>
  <c r="F7" i="14"/>
  <c r="H8" i="14"/>
  <c r="F8" i="14"/>
  <c r="I8" i="14" s="1"/>
  <c r="H9" i="14"/>
  <c r="F9" i="14"/>
  <c r="H10" i="14"/>
  <c r="H11" i="14"/>
  <c r="F11" i="14"/>
  <c r="H13" i="14"/>
  <c r="F13" i="14"/>
  <c r="I13" i="14" s="1"/>
  <c r="H14" i="14"/>
  <c r="H15" i="14"/>
  <c r="F15" i="14"/>
  <c r="I15" i="14" s="1"/>
  <c r="H16" i="14"/>
  <c r="H17" i="14"/>
  <c r="F17" i="14"/>
  <c r="I17" i="14" s="1"/>
  <c r="H18" i="14"/>
  <c r="F18" i="14"/>
  <c r="I18" i="14" s="1"/>
  <c r="H19" i="14"/>
  <c r="F19" i="14"/>
  <c r="I19" i="14" s="1"/>
  <c r="H20" i="14"/>
  <c r="Z16" i="6"/>
  <c r="AD16" i="6" s="1"/>
  <c r="X16" i="6"/>
  <c r="AB16" i="6" s="1"/>
  <c r="D13" i="6"/>
  <c r="E13" i="6"/>
  <c r="E12" i="6"/>
  <c r="R42" i="3"/>
  <c r="Q42" i="3"/>
  <c r="L42" i="3"/>
  <c r="I42" i="3"/>
  <c r="I20" i="3"/>
  <c r="Q20" i="3"/>
  <c r="L20" i="3"/>
  <c r="R20" i="3"/>
  <c r="N17" i="15"/>
  <c r="N18" i="15"/>
  <c r="N19" i="15"/>
  <c r="N20" i="15"/>
  <c r="N21" i="15"/>
  <c r="N22" i="15"/>
  <c r="N23" i="15"/>
  <c r="N24" i="15"/>
  <c r="N25" i="15"/>
  <c r="N26" i="15"/>
  <c r="N27" i="15"/>
  <c r="N28" i="15"/>
  <c r="N30" i="15"/>
  <c r="N31" i="15"/>
  <c r="N32" i="15"/>
  <c r="N33" i="15"/>
  <c r="N34" i="15"/>
  <c r="N35" i="15"/>
  <c r="N36" i="15"/>
  <c r="N37" i="15"/>
  <c r="N38" i="15"/>
  <c r="N39" i="15"/>
  <c r="AL535" i="6" s="1"/>
  <c r="N40" i="15"/>
  <c r="N42" i="15"/>
  <c r="N43" i="15"/>
  <c r="N45" i="15"/>
  <c r="G19" i="14"/>
  <c r="E8" i="14"/>
  <c r="E7" i="14"/>
  <c r="E5" i="14"/>
  <c r="K44" i="3"/>
  <c r="K45" i="3"/>
  <c r="K47" i="3"/>
  <c r="K49" i="3"/>
  <c r="K51" i="3"/>
  <c r="K52" i="3"/>
  <c r="M46" i="3"/>
  <c r="M47" i="3"/>
  <c r="M48" i="3"/>
  <c r="M49" i="3"/>
  <c r="M50" i="3"/>
  <c r="M51" i="3"/>
  <c r="N51" i="3" s="1"/>
  <c r="M52" i="3"/>
  <c r="M53" i="3"/>
  <c r="M54" i="3"/>
  <c r="AA16" i="6"/>
  <c r="AE16" i="6" s="1"/>
  <c r="D12" i="6"/>
  <c r="K48" i="3"/>
  <c r="K53" i="3"/>
  <c r="K50" i="3"/>
  <c r="L15" i="18"/>
  <c r="L14" i="18"/>
  <c r="I6" i="14"/>
  <c r="I67" i="13"/>
  <c r="I59" i="13"/>
  <c r="I65" i="13"/>
  <c r="I66" i="13"/>
  <c r="I71" i="13"/>
  <c r="I49" i="13"/>
  <c r="I69" i="13"/>
  <c r="I52" i="13"/>
  <c r="I57" i="13"/>
  <c r="I70" i="13"/>
  <c r="I63" i="13"/>
  <c r="I50" i="13"/>
  <c r="I58" i="13"/>
  <c r="I55" i="13"/>
  <c r="I47" i="13"/>
  <c r="I41" i="13"/>
  <c r="I45" i="13"/>
  <c r="I44" i="13"/>
  <c r="I42" i="13"/>
  <c r="I40" i="13"/>
  <c r="I36" i="13"/>
  <c r="N163" i="13"/>
  <c r="N161" i="13"/>
  <c r="N164" i="13"/>
  <c r="N160" i="13"/>
  <c r="N162" i="13"/>
  <c r="O74" i="13"/>
  <c r="H43" i="13"/>
  <c r="T158" i="13"/>
  <c r="H41" i="13"/>
  <c r="H58" i="13"/>
  <c r="H55" i="13"/>
  <c r="H67" i="13"/>
  <c r="P204" i="13"/>
  <c r="P200" i="13"/>
  <c r="H39" i="13"/>
  <c r="H74" i="13"/>
  <c r="T156" i="13"/>
  <c r="H65" i="13"/>
  <c r="T160" i="13"/>
  <c r="H46" i="13"/>
  <c r="H64" i="13"/>
  <c r="O75" i="13"/>
  <c r="P72" i="13"/>
  <c r="H49" i="13"/>
  <c r="P201" i="13"/>
  <c r="P68" i="13"/>
  <c r="T152" i="13"/>
  <c r="P74" i="13"/>
  <c r="H73" i="13"/>
  <c r="H48" i="13"/>
  <c r="H56" i="13"/>
  <c r="P199" i="13"/>
  <c r="H71" i="13"/>
  <c r="H57" i="13"/>
  <c r="H70" i="13"/>
  <c r="O73" i="13"/>
  <c r="H54" i="13"/>
  <c r="P206" i="13"/>
  <c r="T154" i="13"/>
  <c r="H69" i="13"/>
  <c r="H62" i="13"/>
  <c r="H42" i="13"/>
  <c r="H68" i="13"/>
  <c r="T155" i="13"/>
  <c r="T159" i="13"/>
  <c r="H72" i="13"/>
  <c r="H51" i="13"/>
  <c r="P203" i="13"/>
  <c r="H63" i="13"/>
  <c r="H75" i="13"/>
  <c r="O72" i="13"/>
  <c r="P205" i="13"/>
  <c r="T151" i="13"/>
  <c r="H60" i="13"/>
  <c r="P202" i="13"/>
  <c r="H59" i="13"/>
  <c r="H38" i="13"/>
  <c r="H40" i="13"/>
  <c r="H50" i="13"/>
  <c r="T153" i="13"/>
  <c r="H61" i="13"/>
  <c r="H37" i="13"/>
  <c r="P75" i="13"/>
  <c r="T157" i="13"/>
  <c r="H44" i="13"/>
  <c r="H45" i="13"/>
  <c r="H36" i="13"/>
  <c r="H66" i="13"/>
  <c r="H47" i="13"/>
  <c r="P197" i="13"/>
  <c r="H53" i="13"/>
  <c r="P198" i="13"/>
  <c r="H52" i="13"/>
  <c r="E437" i="22" l="1"/>
  <c r="F437" i="22" s="1"/>
  <c r="E165" i="22"/>
  <c r="F165" i="22" s="1"/>
  <c r="E364" i="22"/>
  <c r="E335" i="22"/>
  <c r="F335" i="22" s="1"/>
  <c r="E164" i="22"/>
  <c r="E75" i="22"/>
  <c r="F75" i="22" s="1"/>
  <c r="E173" i="22"/>
  <c r="F173" i="22" s="1"/>
  <c r="E337" i="22"/>
  <c r="F337" i="22" s="1"/>
  <c r="E77" i="22"/>
  <c r="F77" i="22" s="1"/>
  <c r="E106" i="22"/>
  <c r="F106" i="22" s="1"/>
  <c r="E139" i="22"/>
  <c r="F139" i="22" s="1"/>
  <c r="E441" i="22"/>
  <c r="F441" i="22" s="1"/>
  <c r="E206" i="22"/>
  <c r="F206" i="22" s="1"/>
  <c r="E343" i="22"/>
  <c r="F343" i="22" s="1"/>
  <c r="E408" i="22"/>
  <c r="F408" i="22" s="1"/>
  <c r="E136" i="22"/>
  <c r="F136" i="22" s="1"/>
  <c r="E345" i="22"/>
  <c r="F345" i="22" s="1"/>
  <c r="E63" i="22"/>
  <c r="E443" i="22"/>
  <c r="F443" i="22" s="1"/>
  <c r="E331" i="22"/>
  <c r="F331" i="22" s="1"/>
  <c r="E102" i="22"/>
  <c r="F102" i="22" s="1"/>
  <c r="E449" i="22"/>
  <c r="F449" i="22" s="1"/>
  <c r="E169" i="22"/>
  <c r="F169" i="22" s="1"/>
  <c r="E365" i="22"/>
  <c r="F365" i="22" s="1"/>
  <c r="E99" i="22"/>
  <c r="F99" i="22" s="1"/>
  <c r="E403" i="22"/>
  <c r="E298" i="22"/>
  <c r="F298" i="22" s="1"/>
  <c r="E447" i="22"/>
  <c r="F447" i="22" s="1"/>
  <c r="E175" i="22"/>
  <c r="F175" i="22" s="1"/>
  <c r="E334" i="22"/>
  <c r="F334" i="22" s="1"/>
  <c r="E98" i="22"/>
  <c r="E404" i="22"/>
  <c r="F404" i="22" s="1"/>
  <c r="E132" i="22"/>
  <c r="F132" i="22" s="1"/>
  <c r="E373" i="22"/>
  <c r="F373" i="22" s="1"/>
  <c r="E107" i="22"/>
  <c r="F107" i="22" s="1"/>
  <c r="E263" i="22"/>
  <c r="E103" i="22"/>
  <c r="F103" i="22" s="1"/>
  <c r="E410" i="22"/>
  <c r="F410" i="22" s="1"/>
  <c r="E138" i="22"/>
  <c r="F138" i="22" s="1"/>
  <c r="E407" i="22"/>
  <c r="F407" i="22" s="1"/>
  <c r="E300" i="22"/>
  <c r="F300" i="22" s="1"/>
  <c r="E80" i="22"/>
  <c r="F80" i="22" s="1"/>
  <c r="E140" i="22"/>
  <c r="F140" i="22" s="1"/>
  <c r="E266" i="22"/>
  <c r="F266" i="22" s="1"/>
  <c r="E381" i="22"/>
  <c r="F381" i="22" s="1"/>
  <c r="E68" i="22"/>
  <c r="F68" i="22" s="1"/>
  <c r="E67" i="22"/>
  <c r="F67" i="22" s="1"/>
  <c r="E232" i="22"/>
  <c r="F232" i="22" s="1"/>
  <c r="E413" i="22"/>
  <c r="F413" i="22" s="1"/>
  <c r="E367" i="22"/>
  <c r="F367" i="22" s="1"/>
  <c r="E267" i="22"/>
  <c r="F267" i="22" s="1"/>
  <c r="E296" i="22"/>
  <c r="E405" i="22"/>
  <c r="F405" i="22" s="1"/>
  <c r="E369" i="22"/>
  <c r="F369" i="22" s="1"/>
  <c r="E64" i="22"/>
  <c r="F64" i="22" s="1"/>
  <c r="E134" i="22"/>
  <c r="F134" i="22" s="1"/>
  <c r="E76" i="22"/>
  <c r="F76" i="22" s="1"/>
  <c r="E438" i="22"/>
  <c r="F438" i="22" s="1"/>
  <c r="E203" i="22"/>
  <c r="F203" i="22" s="1"/>
  <c r="E375" i="22"/>
  <c r="F375" i="22" s="1"/>
  <c r="E109" i="22"/>
  <c r="F109" i="22" s="1"/>
  <c r="E131" i="22"/>
  <c r="E271" i="22"/>
  <c r="F271" i="22" s="1"/>
  <c r="E378" i="22"/>
  <c r="F378" i="22" s="1"/>
  <c r="E377" i="22"/>
  <c r="F377" i="22" s="1"/>
  <c r="E370" i="22"/>
  <c r="F370" i="22" s="1"/>
  <c r="E380" i="22"/>
  <c r="F380" i="22" s="1"/>
  <c r="E302" i="22"/>
  <c r="F302" i="22" s="1"/>
  <c r="E344" i="22"/>
  <c r="F344" i="22" s="1"/>
  <c r="E71" i="22"/>
  <c r="F71" i="22" s="1"/>
  <c r="E446" i="22"/>
  <c r="F446" i="22" s="1"/>
  <c r="E166" i="22"/>
  <c r="F166" i="22" s="1"/>
  <c r="E236" i="22"/>
  <c r="F236" i="22" s="1"/>
  <c r="E383" i="22"/>
  <c r="F383" i="22" s="1"/>
  <c r="E70" i="22"/>
  <c r="F70" i="22" s="1"/>
  <c r="E440" i="22"/>
  <c r="F440" i="22" s="1"/>
  <c r="E234" i="22"/>
  <c r="F234" i="22" s="1"/>
  <c r="E170" i="22"/>
  <c r="F170" i="22" s="1"/>
  <c r="E332" i="22"/>
  <c r="F332" i="22" s="1"/>
  <c r="E201" i="22"/>
  <c r="F201" i="22" s="1"/>
  <c r="E135" i="22"/>
  <c r="F135" i="22" s="1"/>
  <c r="E65" i="22"/>
  <c r="F65" i="22" s="1"/>
  <c r="E330" i="22"/>
  <c r="F330" i="22" s="1"/>
  <c r="E78" i="22"/>
  <c r="F78" i="22" s="1"/>
  <c r="E448" i="22"/>
  <c r="F448" i="22" s="1"/>
  <c r="E230" i="22"/>
  <c r="E340" i="22"/>
  <c r="F340" i="22" s="1"/>
  <c r="E199" i="22"/>
  <c r="F199" i="22" s="1"/>
  <c r="E342" i="22"/>
  <c r="F342" i="22" s="1"/>
  <c r="E268" i="22"/>
  <c r="F268" i="22" s="1"/>
  <c r="E366" i="22"/>
  <c r="F366" i="22" s="1"/>
  <c r="E338" i="22"/>
  <c r="F338" i="22" s="1"/>
  <c r="E436" i="22"/>
  <c r="E205" i="22"/>
  <c r="F205" i="22" s="1"/>
  <c r="E105" i="22"/>
  <c r="F105" i="22" s="1"/>
  <c r="E301" i="22"/>
  <c r="F301" i="22" s="1"/>
  <c r="E73" i="22"/>
  <c r="F73" i="22" s="1"/>
  <c r="E74" i="22"/>
  <c r="F74" i="22" s="1"/>
  <c r="E231" i="22"/>
  <c r="F231" i="22" s="1"/>
  <c r="E100" i="22"/>
  <c r="F100" i="22" s="1"/>
  <c r="E379" i="22"/>
  <c r="F379" i="22" s="1"/>
  <c r="E299" i="22"/>
  <c r="F299" i="22" s="1"/>
  <c r="E110" i="22"/>
  <c r="F110" i="22" s="1"/>
  <c r="E411" i="22"/>
  <c r="F411" i="22" s="1"/>
  <c r="E168" i="22"/>
  <c r="F168" i="22" s="1"/>
  <c r="E372" i="22"/>
  <c r="F372" i="22" s="1"/>
  <c r="E264" i="22"/>
  <c r="F264" i="22" s="1"/>
  <c r="E414" i="22"/>
  <c r="F414" i="22" s="1"/>
  <c r="E202" i="22"/>
  <c r="F202" i="22" s="1"/>
  <c r="E382" i="22"/>
  <c r="F382" i="22" s="1"/>
  <c r="E270" i="22"/>
  <c r="F270" i="22" s="1"/>
  <c r="E176" i="22"/>
  <c r="F176" i="22" s="1"/>
  <c r="E172" i="22"/>
  <c r="F172" i="22" s="1"/>
  <c r="E235" i="22"/>
  <c r="F235" i="22" s="1"/>
  <c r="E444" i="22"/>
  <c r="F444" i="22" s="1"/>
  <c r="E198" i="22"/>
  <c r="F198" i="22" s="1"/>
  <c r="E329" i="22"/>
  <c r="E197" i="22"/>
  <c r="I10" i="14"/>
  <c r="I43" i="3"/>
  <c r="K43" i="3" s="1"/>
  <c r="I21" i="3"/>
  <c r="K21" i="3" s="1"/>
  <c r="D11" i="3" s="1"/>
  <c r="D12" i="3" s="1"/>
  <c r="D32" i="3" s="1"/>
  <c r="I32" i="3" s="1"/>
  <c r="F43" i="23"/>
  <c r="E36" i="23"/>
  <c r="E43" i="23"/>
  <c r="F36" i="23"/>
  <c r="F42" i="23"/>
  <c r="E42" i="23"/>
  <c r="I7" i="14"/>
  <c r="AJ241" i="6"/>
  <c r="AK241" i="6" s="1"/>
  <c r="AL241" i="6" s="1"/>
  <c r="AJ57" i="6"/>
  <c r="AK57" i="6" s="1"/>
  <c r="AL57" i="6" s="1"/>
  <c r="AJ65" i="6"/>
  <c r="AK65" i="6" s="1"/>
  <c r="AL65" i="6" s="1"/>
  <c r="AJ81" i="6"/>
  <c r="AK81" i="6" s="1"/>
  <c r="AL81" i="6" s="1"/>
  <c r="AJ97" i="6"/>
  <c r="AK97" i="6" s="1"/>
  <c r="AL97" i="6" s="1"/>
  <c r="AJ105" i="6"/>
  <c r="AK105" i="6" s="1"/>
  <c r="AL105" i="6" s="1"/>
  <c r="AJ113" i="6"/>
  <c r="AK113" i="6" s="1"/>
  <c r="AL113" i="6" s="1"/>
  <c r="AJ195" i="6"/>
  <c r="AK195" i="6" s="1"/>
  <c r="AL195" i="6" s="1"/>
  <c r="AJ254" i="6"/>
  <c r="AK254" i="6" s="1"/>
  <c r="AL254" i="6" s="1"/>
  <c r="AJ270" i="6"/>
  <c r="AK270" i="6" s="1"/>
  <c r="AL270" i="6" s="1"/>
  <c r="AJ517" i="6"/>
  <c r="AK517" i="6" s="1"/>
  <c r="AL517" i="6" s="1"/>
  <c r="AJ565" i="6"/>
  <c r="AK565" i="6" s="1"/>
  <c r="AL565" i="6" s="1"/>
  <c r="AJ573" i="6"/>
  <c r="AK573" i="6" s="1"/>
  <c r="AL573" i="6" s="1"/>
  <c r="AJ58" i="6"/>
  <c r="AK58" i="6" s="1"/>
  <c r="AL58" i="6" s="1"/>
  <c r="AJ82" i="6"/>
  <c r="AK82" i="6" s="1"/>
  <c r="AL82" i="6" s="1"/>
  <c r="AJ106" i="6"/>
  <c r="AK106" i="6" s="1"/>
  <c r="AL106" i="6" s="1"/>
  <c r="AJ130" i="6"/>
  <c r="AK130" i="6" s="1"/>
  <c r="AL130" i="6" s="1"/>
  <c r="AJ255" i="6"/>
  <c r="AK255" i="6" s="1"/>
  <c r="AL255" i="6" s="1"/>
  <c r="AJ271" i="6"/>
  <c r="AK271" i="6" s="1"/>
  <c r="AL271" i="6" s="1"/>
  <c r="AJ443" i="6"/>
  <c r="AK443" i="6" s="1"/>
  <c r="AL443" i="6" s="1"/>
  <c r="AJ574" i="6"/>
  <c r="AK574" i="6" s="1"/>
  <c r="AL574" i="6" s="1"/>
  <c r="AJ67" i="6"/>
  <c r="AK67" i="6" s="1"/>
  <c r="AL67" i="6" s="1"/>
  <c r="AJ123" i="6"/>
  <c r="AK123" i="6" s="1"/>
  <c r="AL123" i="6" s="1"/>
  <c r="AJ157" i="6"/>
  <c r="AK157" i="6" s="1"/>
  <c r="AL157" i="6" s="1"/>
  <c r="AJ296" i="6"/>
  <c r="AK296" i="6" s="1"/>
  <c r="AL296" i="6" s="1"/>
  <c r="AJ575" i="6"/>
  <c r="AK575" i="6" s="1"/>
  <c r="AL575" i="6" s="1"/>
  <c r="AJ620" i="6"/>
  <c r="AK620" i="6" s="1"/>
  <c r="AL620" i="6" s="1"/>
  <c r="AJ60" i="6"/>
  <c r="AK60" i="6" s="1"/>
  <c r="AL60" i="6" s="1"/>
  <c r="AJ68" i="6"/>
  <c r="AK68" i="6" s="1"/>
  <c r="AL68" i="6" s="1"/>
  <c r="AJ84" i="6"/>
  <c r="AK84" i="6" s="1"/>
  <c r="AL84" i="6" s="1"/>
  <c r="AJ100" i="6"/>
  <c r="AK100" i="6" s="1"/>
  <c r="AL100" i="6" s="1"/>
  <c r="AJ124" i="6"/>
  <c r="AK124" i="6" s="1"/>
  <c r="AL124" i="6" s="1"/>
  <c r="AJ461" i="6"/>
  <c r="AK461" i="6" s="1"/>
  <c r="AL461" i="6" s="1"/>
  <c r="AJ528" i="6"/>
  <c r="AK528" i="6" s="1"/>
  <c r="AL528" i="6" s="1"/>
  <c r="AJ568" i="6"/>
  <c r="AK568" i="6" s="1"/>
  <c r="AL568" i="6" s="1"/>
  <c r="AJ576" i="6"/>
  <c r="AK576" i="6" s="1"/>
  <c r="AL576" i="6" s="1"/>
  <c r="AJ69" i="6"/>
  <c r="AK69" i="6" s="1"/>
  <c r="AL69" i="6" s="1"/>
  <c r="AJ93" i="6"/>
  <c r="AK93" i="6" s="1"/>
  <c r="AL93" i="6" s="1"/>
  <c r="AJ125" i="6"/>
  <c r="AK125" i="6" s="1"/>
  <c r="AL125" i="6" s="1"/>
  <c r="AJ282" i="6"/>
  <c r="AK282" i="6" s="1"/>
  <c r="AL282" i="6" s="1"/>
  <c r="AJ489" i="6"/>
  <c r="AK489" i="6" s="1"/>
  <c r="AL489" i="6" s="1"/>
  <c r="AJ505" i="6"/>
  <c r="AK505" i="6" s="1"/>
  <c r="AL505" i="6" s="1"/>
  <c r="AJ569" i="6"/>
  <c r="AK569" i="6" s="1"/>
  <c r="AL569" i="6" s="1"/>
  <c r="AJ602" i="6"/>
  <c r="AK602" i="6" s="1"/>
  <c r="AL602" i="6" s="1"/>
  <c r="AJ53" i="6"/>
  <c r="AK53" i="6" s="1"/>
  <c r="AL53" i="6" s="1"/>
  <c r="AJ94" i="6"/>
  <c r="AK94" i="6" s="1"/>
  <c r="AL94" i="6" s="1"/>
  <c r="AJ102" i="6"/>
  <c r="AK102" i="6" s="1"/>
  <c r="AL102" i="6" s="1"/>
  <c r="AJ200" i="6"/>
  <c r="AK200" i="6" s="1"/>
  <c r="AL200" i="6" s="1"/>
  <c r="AJ275" i="6"/>
  <c r="AK275" i="6" s="1"/>
  <c r="AL275" i="6" s="1"/>
  <c r="AJ283" i="6"/>
  <c r="AK283" i="6" s="1"/>
  <c r="AL283" i="6" s="1"/>
  <c r="AJ366" i="6"/>
  <c r="AK366" i="6" s="1"/>
  <c r="AL366" i="6" s="1"/>
  <c r="AJ570" i="6"/>
  <c r="AK570" i="6" s="1"/>
  <c r="AL570" i="6" s="1"/>
  <c r="AJ603" i="6"/>
  <c r="AK603" i="6" s="1"/>
  <c r="AL603" i="6" s="1"/>
  <c r="AJ95" i="6"/>
  <c r="AK95" i="6" s="1"/>
  <c r="AL95" i="6" s="1"/>
  <c r="AJ103" i="6"/>
  <c r="AK103" i="6" s="1"/>
  <c r="AL103" i="6" s="1"/>
  <c r="AJ284" i="6"/>
  <c r="AK284" i="6" s="1"/>
  <c r="AL284" i="6" s="1"/>
  <c r="AJ350" i="6"/>
  <c r="AK350" i="6" s="1"/>
  <c r="AL350" i="6" s="1"/>
  <c r="AJ391" i="6"/>
  <c r="AK391" i="6" s="1"/>
  <c r="AL391" i="6" s="1"/>
  <c r="AJ456" i="6"/>
  <c r="AK456" i="6" s="1"/>
  <c r="AL456" i="6" s="1"/>
  <c r="AJ507" i="6"/>
  <c r="AK507" i="6" s="1"/>
  <c r="AL507" i="6" s="1"/>
  <c r="AJ571" i="6"/>
  <c r="AK571" i="6" s="1"/>
  <c r="AL571" i="6" s="1"/>
  <c r="AJ572" i="6"/>
  <c r="AK572" i="6" s="1"/>
  <c r="AL572" i="6" s="1"/>
  <c r="AJ580" i="6"/>
  <c r="AK580" i="6" s="1"/>
  <c r="AL580" i="6" s="1"/>
  <c r="AJ56" i="6"/>
  <c r="AK56" i="6" s="1"/>
  <c r="AL56" i="6" s="1"/>
  <c r="AJ253" i="6"/>
  <c r="AK253" i="6" s="1"/>
  <c r="AL253" i="6" s="1"/>
  <c r="AJ516" i="6"/>
  <c r="AK516" i="6" s="1"/>
  <c r="AL516" i="6" s="1"/>
  <c r="AJ269" i="6"/>
  <c r="AK269" i="6" s="1"/>
  <c r="AL269" i="6" s="1"/>
  <c r="AJ64" i="6"/>
  <c r="AK64" i="6" s="1"/>
  <c r="AL64" i="6" s="1"/>
  <c r="AJ202" i="6"/>
  <c r="AK202" i="6" s="1"/>
  <c r="AL202" i="6" s="1"/>
  <c r="AJ104" i="6"/>
  <c r="AK104" i="6" s="1"/>
  <c r="AL104" i="6" s="1"/>
  <c r="AJ96" i="6"/>
  <c r="AK96" i="6" s="1"/>
  <c r="AL96" i="6" s="1"/>
  <c r="AJ621" i="6"/>
  <c r="AK621" i="6" s="1"/>
  <c r="AL621" i="6" s="1"/>
  <c r="D94" i="18"/>
  <c r="D78" i="18"/>
  <c r="D231" i="13"/>
  <c r="D43" i="23"/>
  <c r="D42" i="23"/>
  <c r="D25" i="23"/>
  <c r="D36" i="23"/>
  <c r="AJ600" i="6"/>
  <c r="AK600" i="6" s="1"/>
  <c r="AL600" i="6" s="1"/>
  <c r="AJ137" i="6"/>
  <c r="AK137" i="6" s="1"/>
  <c r="AL137" i="6" s="1"/>
  <c r="AJ155" i="6"/>
  <c r="AK155" i="6" s="1"/>
  <c r="AL155" i="6" s="1"/>
  <c r="AJ484" i="6"/>
  <c r="AK484" i="6" s="1"/>
  <c r="AL484" i="6" s="1"/>
  <c r="AJ549" i="6"/>
  <c r="AK549" i="6" s="1"/>
  <c r="AL549" i="6" s="1"/>
  <c r="AJ606" i="6"/>
  <c r="AK606" i="6" s="1"/>
  <c r="AL606" i="6" s="1"/>
  <c r="AJ156" i="6"/>
  <c r="AK156" i="6" s="1"/>
  <c r="AL156" i="6" s="1"/>
  <c r="AJ172" i="6"/>
  <c r="AK172" i="6" s="1"/>
  <c r="AL172" i="6" s="1"/>
  <c r="AJ451" i="6"/>
  <c r="AK451" i="6" s="1"/>
  <c r="AL451" i="6" s="1"/>
  <c r="AJ550" i="6"/>
  <c r="AK550" i="6" s="1"/>
  <c r="AL550" i="6" s="1"/>
  <c r="AJ607" i="6"/>
  <c r="AK607" i="6" s="1"/>
  <c r="AL607" i="6" s="1"/>
  <c r="AJ604" i="6"/>
  <c r="AK604" i="6" s="1"/>
  <c r="AL604" i="6" s="1"/>
  <c r="AJ107" i="6"/>
  <c r="AK107" i="6" s="1"/>
  <c r="AL107" i="6" s="1"/>
  <c r="AJ238" i="6"/>
  <c r="AK238" i="6" s="1"/>
  <c r="AL238" i="6" s="1"/>
  <c r="AJ312" i="6"/>
  <c r="AK312" i="6" s="1"/>
  <c r="AL312" i="6" s="1"/>
  <c r="AJ460" i="6"/>
  <c r="AK460" i="6" s="1"/>
  <c r="AL460" i="6" s="1"/>
  <c r="AJ190" i="6"/>
  <c r="AK190" i="6" s="1"/>
  <c r="AL190" i="6" s="1"/>
  <c r="AJ239" i="6"/>
  <c r="AK239" i="6" s="1"/>
  <c r="AL239" i="6" s="1"/>
  <c r="AJ257" i="6"/>
  <c r="AK257" i="6" s="1"/>
  <c r="AL257" i="6" s="1"/>
  <c r="AJ346" i="6"/>
  <c r="AK346" i="6" s="1"/>
  <c r="AL346" i="6" s="1"/>
  <c r="AJ61" i="6"/>
  <c r="AK61" i="6" s="1"/>
  <c r="AL61" i="6" s="1"/>
  <c r="AJ109" i="6"/>
  <c r="AK109" i="6" s="1"/>
  <c r="AL109" i="6" s="1"/>
  <c r="AJ141" i="6"/>
  <c r="AK141" i="6" s="1"/>
  <c r="AL141" i="6" s="1"/>
  <c r="AJ258" i="6"/>
  <c r="AK258" i="6" s="1"/>
  <c r="AL258" i="6" s="1"/>
  <c r="AJ347" i="6"/>
  <c r="AK347" i="6" s="1"/>
  <c r="AL347" i="6" s="1"/>
  <c r="AJ216" i="6"/>
  <c r="AK216" i="6" s="1"/>
  <c r="AL216" i="6" s="1"/>
  <c r="AJ259" i="6"/>
  <c r="AK259" i="6" s="1"/>
  <c r="AL259" i="6" s="1"/>
  <c r="AJ299" i="6"/>
  <c r="AK299" i="6" s="1"/>
  <c r="AL299" i="6" s="1"/>
  <c r="AJ348" i="6"/>
  <c r="AK348" i="6" s="1"/>
  <c r="AL348" i="6" s="1"/>
  <c r="AJ276" i="6"/>
  <c r="AK276" i="6" s="1"/>
  <c r="AL276" i="6" s="1"/>
  <c r="AJ308" i="6"/>
  <c r="AK308" i="6" s="1"/>
  <c r="AL308" i="6" s="1"/>
  <c r="AJ491" i="6"/>
  <c r="AK491" i="6" s="1"/>
  <c r="AL491" i="6" s="1"/>
  <c r="AJ547" i="6"/>
  <c r="AK547" i="6" s="1"/>
  <c r="AL547" i="6" s="1"/>
  <c r="AJ136" i="6"/>
  <c r="AK136" i="6" s="1"/>
  <c r="AL136" i="6" s="1"/>
  <c r="AJ483" i="6"/>
  <c r="AK483" i="6" s="1"/>
  <c r="AL483" i="6" s="1"/>
  <c r="AJ154" i="6"/>
  <c r="AK154" i="6" s="1"/>
  <c r="AL154" i="6" s="1"/>
  <c r="AJ548" i="6"/>
  <c r="AK548" i="6" s="1"/>
  <c r="AL548" i="6" s="1"/>
  <c r="AJ301" i="6"/>
  <c r="AK301" i="6" s="1"/>
  <c r="AL301" i="6" s="1"/>
  <c r="D7" i="22"/>
  <c r="D89" i="9" s="1"/>
  <c r="L21" i="24"/>
  <c r="M21" i="24" s="1"/>
  <c r="D31" i="23"/>
  <c r="D37" i="23" s="1"/>
  <c r="AJ224" i="6"/>
  <c r="AK224" i="6" s="1"/>
  <c r="AL224" i="6" s="1"/>
  <c r="AJ477" i="6"/>
  <c r="AK477" i="6" s="1"/>
  <c r="AL477" i="6" s="1"/>
  <c r="AJ240" i="6"/>
  <c r="AK240" i="6" s="1"/>
  <c r="AL240" i="6" s="1"/>
  <c r="AJ488" i="6"/>
  <c r="AK488" i="6" s="1"/>
  <c r="AL488" i="6" s="1"/>
  <c r="AJ476" i="6"/>
  <c r="AK476" i="6" s="1"/>
  <c r="AL476" i="6" s="1"/>
  <c r="AJ359" i="6"/>
  <c r="AK359" i="6" s="1"/>
  <c r="AL359" i="6" s="1"/>
  <c r="AJ400" i="6"/>
  <c r="AK400" i="6" s="1"/>
  <c r="AL400" i="6" s="1"/>
  <c r="AJ349" i="6"/>
  <c r="AK349" i="6" s="1"/>
  <c r="AL349" i="6" s="1"/>
  <c r="AJ55" i="6"/>
  <c r="AK55" i="6" s="1"/>
  <c r="AL55" i="6" s="1"/>
  <c r="AJ142" i="6"/>
  <c r="AK142" i="6" s="1"/>
  <c r="AL142" i="6" s="1"/>
  <c r="AJ143" i="6"/>
  <c r="AK143" i="6" s="1"/>
  <c r="AL143" i="6" s="1"/>
  <c r="AJ24" i="6"/>
  <c r="AK24" i="6" s="1"/>
  <c r="AL24" i="6" s="1"/>
  <c r="AJ32" i="6"/>
  <c r="AK32" i="6" s="1"/>
  <c r="AL32" i="6" s="1"/>
  <c r="AJ40" i="6"/>
  <c r="AK40" i="6" s="1"/>
  <c r="AL40" i="6" s="1"/>
  <c r="AJ48" i="6"/>
  <c r="AK48" i="6" s="1"/>
  <c r="AL48" i="6" s="1"/>
  <c r="AJ73" i="6"/>
  <c r="AK73" i="6" s="1"/>
  <c r="AL73" i="6" s="1"/>
  <c r="AJ89" i="6"/>
  <c r="AK89" i="6" s="1"/>
  <c r="AL89" i="6" s="1"/>
  <c r="AJ121" i="6"/>
  <c r="AK121" i="6" s="1"/>
  <c r="AL121" i="6" s="1"/>
  <c r="AJ129" i="6"/>
  <c r="AK129" i="6" s="1"/>
  <c r="AL129" i="6" s="1"/>
  <c r="AJ147" i="6"/>
  <c r="AK147" i="6" s="1"/>
  <c r="AL147" i="6" s="1"/>
  <c r="AJ163" i="6"/>
  <c r="AK163" i="6" s="1"/>
  <c r="AL163" i="6" s="1"/>
  <c r="AJ171" i="6"/>
  <c r="AK171" i="6" s="1"/>
  <c r="AL171" i="6" s="1"/>
  <c r="AJ179" i="6"/>
  <c r="AK179" i="6" s="1"/>
  <c r="AL179" i="6" s="1"/>
  <c r="AJ187" i="6"/>
  <c r="AK187" i="6" s="1"/>
  <c r="AL187" i="6" s="1"/>
  <c r="AJ203" i="6"/>
  <c r="AK203" i="6" s="1"/>
  <c r="AL203" i="6" s="1"/>
  <c r="AJ211" i="6"/>
  <c r="AK211" i="6" s="1"/>
  <c r="AL211" i="6" s="1"/>
  <c r="AJ219" i="6"/>
  <c r="AK219" i="6" s="1"/>
  <c r="AL219" i="6" s="1"/>
  <c r="AJ236" i="6"/>
  <c r="AK236" i="6" s="1"/>
  <c r="AL236" i="6" s="1"/>
  <c r="AJ246" i="6"/>
  <c r="AK246" i="6" s="1"/>
  <c r="AL246" i="6" s="1"/>
  <c r="AJ262" i="6"/>
  <c r="AK262" i="6" s="1"/>
  <c r="AL262" i="6" s="1"/>
  <c r="AJ278" i="6"/>
  <c r="AK278" i="6" s="1"/>
  <c r="AL278" i="6" s="1"/>
  <c r="AJ286" i="6"/>
  <c r="AK286" i="6" s="1"/>
  <c r="AL286" i="6" s="1"/>
  <c r="AJ294" i="6"/>
  <c r="AK294" i="6" s="1"/>
  <c r="AL294" i="6" s="1"/>
  <c r="AJ310" i="6"/>
  <c r="AK310" i="6" s="1"/>
  <c r="AL310" i="6" s="1"/>
  <c r="AJ318" i="6"/>
  <c r="AK318" i="6" s="1"/>
  <c r="AL318" i="6" s="1"/>
  <c r="AJ335" i="6"/>
  <c r="AK335" i="6" s="1"/>
  <c r="AL335" i="6" s="1"/>
  <c r="AJ343" i="6"/>
  <c r="AK343" i="6" s="1"/>
  <c r="AL343" i="6" s="1"/>
  <c r="AJ352" i="6"/>
  <c r="AK352" i="6" s="1"/>
  <c r="AL352" i="6" s="1"/>
  <c r="AJ361" i="6"/>
  <c r="AK361" i="6" s="1"/>
  <c r="AL361" i="6" s="1"/>
  <c r="AJ369" i="6"/>
  <c r="AK369" i="6" s="1"/>
  <c r="AL369" i="6" s="1"/>
  <c r="AJ377" i="6"/>
  <c r="AK377" i="6" s="1"/>
  <c r="AL377" i="6" s="1"/>
  <c r="AJ385" i="6"/>
  <c r="AK385" i="6" s="1"/>
  <c r="AL385" i="6" s="1"/>
  <c r="AJ393" i="6"/>
  <c r="AK393" i="6" s="1"/>
  <c r="AL393" i="6" s="1"/>
  <c r="AJ402" i="6"/>
  <c r="AK402" i="6" s="1"/>
  <c r="AL402" i="6" s="1"/>
  <c r="AJ410" i="6"/>
  <c r="AK410" i="6" s="1"/>
  <c r="AL410" i="6" s="1"/>
  <c r="AJ418" i="6"/>
  <c r="AK418" i="6" s="1"/>
  <c r="AL418" i="6" s="1"/>
  <c r="AJ426" i="6"/>
  <c r="AK426" i="6" s="1"/>
  <c r="AL426" i="6" s="1"/>
  <c r="AJ434" i="6"/>
  <c r="AK434" i="6" s="1"/>
  <c r="AL434" i="6" s="1"/>
  <c r="AJ442" i="6"/>
  <c r="AK442" i="6" s="1"/>
  <c r="AL442" i="6" s="1"/>
  <c r="AJ450" i="6"/>
  <c r="AK450" i="6" s="1"/>
  <c r="AL450" i="6" s="1"/>
  <c r="AJ458" i="6"/>
  <c r="AK458" i="6" s="1"/>
  <c r="AL458" i="6" s="1"/>
  <c r="AJ466" i="6"/>
  <c r="AK466" i="6" s="1"/>
  <c r="AL466" i="6" s="1"/>
  <c r="AJ474" i="6"/>
  <c r="AK474" i="6" s="1"/>
  <c r="AL474" i="6" s="1"/>
  <c r="AJ493" i="6"/>
  <c r="AK493" i="6" s="1"/>
  <c r="AL493" i="6" s="1"/>
  <c r="AJ501" i="6"/>
  <c r="AK501" i="6" s="1"/>
  <c r="AL501" i="6" s="1"/>
  <c r="AJ509" i="6"/>
  <c r="AK509" i="6" s="1"/>
  <c r="AL509" i="6" s="1"/>
  <c r="AJ525" i="6"/>
  <c r="AK525" i="6" s="1"/>
  <c r="AL525" i="6" s="1"/>
  <c r="AJ533" i="6"/>
  <c r="AK533" i="6" s="1"/>
  <c r="AL533" i="6" s="1"/>
  <c r="AJ541" i="6"/>
  <c r="AK541" i="6" s="1"/>
  <c r="AL541" i="6" s="1"/>
  <c r="AJ557" i="6"/>
  <c r="AK557" i="6" s="1"/>
  <c r="AL557" i="6" s="1"/>
  <c r="AJ581" i="6"/>
  <c r="AK581" i="6" s="1"/>
  <c r="AL581" i="6" s="1"/>
  <c r="AJ589" i="6"/>
  <c r="AK589" i="6" s="1"/>
  <c r="AL589" i="6" s="1"/>
  <c r="AJ597" i="6"/>
  <c r="AK597" i="6" s="1"/>
  <c r="AL597" i="6" s="1"/>
  <c r="AJ17" i="6"/>
  <c r="AK17" i="6" s="1"/>
  <c r="AL17" i="6" s="1"/>
  <c r="AJ25" i="6"/>
  <c r="AK25" i="6" s="1"/>
  <c r="AL25" i="6" s="1"/>
  <c r="AJ33" i="6"/>
  <c r="AK33" i="6" s="1"/>
  <c r="AL33" i="6" s="1"/>
  <c r="AJ41" i="6"/>
  <c r="AK41" i="6" s="1"/>
  <c r="AL41" i="6" s="1"/>
  <c r="AJ49" i="6"/>
  <c r="AK49" i="6" s="1"/>
  <c r="AL49" i="6" s="1"/>
  <c r="AJ90" i="6"/>
  <c r="AK90" i="6" s="1"/>
  <c r="AL90" i="6" s="1"/>
  <c r="AJ98" i="6"/>
  <c r="AK98" i="6" s="1"/>
  <c r="AL98" i="6" s="1"/>
  <c r="AJ114" i="6"/>
  <c r="AK114" i="6" s="1"/>
  <c r="AL114" i="6" s="1"/>
  <c r="AJ122" i="6"/>
  <c r="AK122" i="6" s="1"/>
  <c r="AL122" i="6" s="1"/>
  <c r="AJ138" i="6"/>
  <c r="AK138" i="6" s="1"/>
  <c r="AL138" i="6" s="1"/>
  <c r="AJ164" i="6"/>
  <c r="AK164" i="6" s="1"/>
  <c r="AL164" i="6" s="1"/>
  <c r="AJ188" i="6"/>
  <c r="AK188" i="6" s="1"/>
  <c r="AL188" i="6" s="1"/>
  <c r="AJ196" i="6"/>
  <c r="AK196" i="6" s="1"/>
  <c r="AL196" i="6" s="1"/>
  <c r="AJ204" i="6"/>
  <c r="AK204" i="6" s="1"/>
  <c r="AL204" i="6" s="1"/>
  <c r="AJ212" i="6"/>
  <c r="AK212" i="6" s="1"/>
  <c r="AL212" i="6" s="1"/>
  <c r="AJ220" i="6"/>
  <c r="AK220" i="6" s="1"/>
  <c r="AL220" i="6" s="1"/>
  <c r="AJ237" i="6"/>
  <c r="AK237" i="6" s="1"/>
  <c r="AL237" i="6" s="1"/>
  <c r="AJ247" i="6"/>
  <c r="AK247" i="6" s="1"/>
  <c r="AL247" i="6" s="1"/>
  <c r="AJ263" i="6"/>
  <c r="AK263" i="6" s="1"/>
  <c r="AL263" i="6" s="1"/>
  <c r="AJ279" i="6"/>
  <c r="AK279" i="6" s="1"/>
  <c r="AL279" i="6" s="1"/>
  <c r="AJ287" i="6"/>
  <c r="AK287" i="6" s="1"/>
  <c r="AL287" i="6" s="1"/>
  <c r="AJ295" i="6"/>
  <c r="AK295" i="6" s="1"/>
  <c r="AL295" i="6" s="1"/>
  <c r="AJ311" i="6"/>
  <c r="AK311" i="6" s="1"/>
  <c r="AL311" i="6" s="1"/>
  <c r="AJ319" i="6"/>
  <c r="AK319" i="6" s="1"/>
  <c r="AL319" i="6" s="1"/>
  <c r="AJ336" i="6"/>
  <c r="AK336" i="6" s="1"/>
  <c r="AL336" i="6" s="1"/>
  <c r="AJ344" i="6"/>
  <c r="AK344" i="6" s="1"/>
  <c r="AL344" i="6" s="1"/>
  <c r="AJ353" i="6"/>
  <c r="AK353" i="6" s="1"/>
  <c r="AL353" i="6" s="1"/>
  <c r="AJ362" i="6"/>
  <c r="AK362" i="6" s="1"/>
  <c r="AL362" i="6" s="1"/>
  <c r="AJ370" i="6"/>
  <c r="AK370" i="6" s="1"/>
  <c r="AL370" i="6" s="1"/>
  <c r="AJ378" i="6"/>
  <c r="AK378" i="6" s="1"/>
  <c r="AL378" i="6" s="1"/>
  <c r="AJ386" i="6"/>
  <c r="AK386" i="6" s="1"/>
  <c r="AL386" i="6" s="1"/>
  <c r="AJ394" i="6"/>
  <c r="AK394" i="6" s="1"/>
  <c r="AL394" i="6" s="1"/>
  <c r="AJ403" i="6"/>
  <c r="AK403" i="6" s="1"/>
  <c r="AL403" i="6" s="1"/>
  <c r="AJ411" i="6"/>
  <c r="AK411" i="6" s="1"/>
  <c r="AL411" i="6" s="1"/>
  <c r="AJ419" i="6"/>
  <c r="AK419" i="6" s="1"/>
  <c r="AL419" i="6" s="1"/>
  <c r="AJ427" i="6"/>
  <c r="AK427" i="6" s="1"/>
  <c r="AL427" i="6" s="1"/>
  <c r="AJ435" i="6"/>
  <c r="AK435" i="6" s="1"/>
  <c r="AL435" i="6" s="1"/>
  <c r="AJ459" i="6"/>
  <c r="AK459" i="6" s="1"/>
  <c r="AL459" i="6" s="1"/>
  <c r="AJ467" i="6"/>
  <c r="AK467" i="6" s="1"/>
  <c r="AL467" i="6" s="1"/>
  <c r="AJ475" i="6"/>
  <c r="AK475" i="6" s="1"/>
  <c r="AL475" i="6" s="1"/>
  <c r="AJ485" i="6"/>
  <c r="AK485" i="6" s="1"/>
  <c r="AL485" i="6" s="1"/>
  <c r="AJ494" i="6"/>
  <c r="AK494" i="6" s="1"/>
  <c r="AL494" i="6" s="1"/>
  <c r="AJ502" i="6"/>
  <c r="AK502" i="6" s="1"/>
  <c r="AL502" i="6" s="1"/>
  <c r="AJ510" i="6"/>
  <c r="AK510" i="6" s="1"/>
  <c r="AL510" i="6" s="1"/>
  <c r="AJ518" i="6"/>
  <c r="AK518" i="6" s="1"/>
  <c r="AL518" i="6" s="1"/>
  <c r="AJ526" i="6"/>
  <c r="AK526" i="6" s="1"/>
  <c r="AL526" i="6" s="1"/>
  <c r="AJ534" i="6"/>
  <c r="AK534" i="6" s="1"/>
  <c r="AL534" i="6" s="1"/>
  <c r="AJ542" i="6"/>
  <c r="AK542" i="6" s="1"/>
  <c r="AL542" i="6" s="1"/>
  <c r="AJ558" i="6"/>
  <c r="AK558" i="6" s="1"/>
  <c r="AL558" i="6" s="1"/>
  <c r="AJ582" i="6"/>
  <c r="AK582" i="6" s="1"/>
  <c r="AL582" i="6" s="1"/>
  <c r="AJ590" i="6"/>
  <c r="AK590" i="6" s="1"/>
  <c r="AL590" i="6" s="1"/>
  <c r="AJ598" i="6"/>
  <c r="AK598" i="6" s="1"/>
  <c r="AL598" i="6" s="1"/>
  <c r="AJ18" i="6"/>
  <c r="AK18" i="6" s="1"/>
  <c r="AL18" i="6" s="1"/>
  <c r="AJ26" i="6"/>
  <c r="AK26" i="6" s="1"/>
  <c r="AL26" i="6" s="1"/>
  <c r="AJ34" i="6"/>
  <c r="AK34" i="6" s="1"/>
  <c r="AL34" i="6" s="1"/>
  <c r="AJ42" i="6"/>
  <c r="AK42" i="6" s="1"/>
  <c r="AL42" i="6" s="1"/>
  <c r="AJ50" i="6"/>
  <c r="AK50" i="6" s="1"/>
  <c r="AL50" i="6" s="1"/>
  <c r="AJ59" i="6"/>
  <c r="AK59" i="6" s="1"/>
  <c r="AL59" i="6" s="1"/>
  <c r="AJ91" i="6"/>
  <c r="AK91" i="6" s="1"/>
  <c r="AL91" i="6" s="1"/>
  <c r="AJ99" i="6"/>
  <c r="AK99" i="6" s="1"/>
  <c r="AL99" i="6" s="1"/>
  <c r="AJ115" i="6"/>
  <c r="AK115" i="6" s="1"/>
  <c r="AL115" i="6" s="1"/>
  <c r="AJ131" i="6"/>
  <c r="AK131" i="6" s="1"/>
  <c r="AL131" i="6" s="1"/>
  <c r="AJ139" i="6"/>
  <c r="AK139" i="6" s="1"/>
  <c r="AL139" i="6" s="1"/>
  <c r="AJ149" i="6"/>
  <c r="AK149" i="6" s="1"/>
  <c r="AL149" i="6" s="1"/>
  <c r="AJ173" i="6"/>
  <c r="AK173" i="6" s="1"/>
  <c r="AL173" i="6" s="1"/>
  <c r="AJ181" i="6"/>
  <c r="AK181" i="6" s="1"/>
  <c r="AL181" i="6" s="1"/>
  <c r="AJ189" i="6"/>
  <c r="AK189" i="6" s="1"/>
  <c r="AL189" i="6" s="1"/>
  <c r="AJ197" i="6"/>
  <c r="AK197" i="6" s="1"/>
  <c r="AL197" i="6" s="1"/>
  <c r="AJ205" i="6"/>
  <c r="AK205" i="6" s="1"/>
  <c r="AL205" i="6" s="1"/>
  <c r="AJ213" i="6"/>
  <c r="AK213" i="6" s="1"/>
  <c r="AL213" i="6" s="1"/>
  <c r="AJ221" i="6"/>
  <c r="AK221" i="6" s="1"/>
  <c r="AL221" i="6" s="1"/>
  <c r="AJ248" i="6"/>
  <c r="AK248" i="6" s="1"/>
  <c r="AL248" i="6" s="1"/>
  <c r="AJ256" i="6"/>
  <c r="AK256" i="6" s="1"/>
  <c r="AL256" i="6" s="1"/>
  <c r="AJ264" i="6"/>
  <c r="AK264" i="6" s="1"/>
  <c r="AL264" i="6" s="1"/>
  <c r="AJ272" i="6"/>
  <c r="AK272" i="6" s="1"/>
  <c r="AL272" i="6" s="1"/>
  <c r="AJ280" i="6"/>
  <c r="AK280" i="6" s="1"/>
  <c r="AL280" i="6" s="1"/>
  <c r="AJ288" i="6"/>
  <c r="AK288" i="6" s="1"/>
  <c r="AL288" i="6" s="1"/>
  <c r="AJ304" i="6"/>
  <c r="AK304" i="6" s="1"/>
  <c r="AL304" i="6" s="1"/>
  <c r="AJ320" i="6"/>
  <c r="AK320" i="6" s="1"/>
  <c r="AL320" i="6" s="1"/>
  <c r="AJ337" i="6"/>
  <c r="AK337" i="6" s="1"/>
  <c r="AL337" i="6" s="1"/>
  <c r="AJ345" i="6"/>
  <c r="AK345" i="6" s="1"/>
  <c r="AL345" i="6" s="1"/>
  <c r="AJ354" i="6"/>
  <c r="AK354" i="6" s="1"/>
  <c r="AL354" i="6" s="1"/>
  <c r="AJ363" i="6"/>
  <c r="AK363" i="6" s="1"/>
  <c r="AL363" i="6" s="1"/>
  <c r="AJ371" i="6"/>
  <c r="AK371" i="6" s="1"/>
  <c r="AL371" i="6" s="1"/>
  <c r="AJ379" i="6"/>
  <c r="AK379" i="6" s="1"/>
  <c r="AL379" i="6" s="1"/>
  <c r="AJ387" i="6"/>
  <c r="AK387" i="6" s="1"/>
  <c r="AL387" i="6" s="1"/>
  <c r="AJ395" i="6"/>
  <c r="AK395" i="6" s="1"/>
  <c r="AL395" i="6" s="1"/>
  <c r="AJ404" i="6"/>
  <c r="AK404" i="6" s="1"/>
  <c r="AL404" i="6" s="1"/>
  <c r="AJ412" i="6"/>
  <c r="AK412" i="6" s="1"/>
  <c r="AL412" i="6" s="1"/>
  <c r="AJ420" i="6"/>
  <c r="AK420" i="6" s="1"/>
  <c r="AL420" i="6" s="1"/>
  <c r="AJ428" i="6"/>
  <c r="AK428" i="6" s="1"/>
  <c r="AL428" i="6" s="1"/>
  <c r="AJ436" i="6"/>
  <c r="AK436" i="6" s="1"/>
  <c r="AL436" i="6" s="1"/>
  <c r="AJ444" i="6"/>
  <c r="AK444" i="6" s="1"/>
  <c r="AL444" i="6" s="1"/>
  <c r="AJ452" i="6"/>
  <c r="AK452" i="6" s="1"/>
  <c r="AL452" i="6" s="1"/>
  <c r="AJ468" i="6"/>
  <c r="AK468" i="6" s="1"/>
  <c r="AL468" i="6" s="1"/>
  <c r="AJ478" i="6"/>
  <c r="AK478" i="6" s="1"/>
  <c r="AL478" i="6" s="1"/>
  <c r="AJ486" i="6"/>
  <c r="AK486" i="6" s="1"/>
  <c r="AL486" i="6" s="1"/>
  <c r="AJ495" i="6"/>
  <c r="AK495" i="6" s="1"/>
  <c r="AL495" i="6" s="1"/>
  <c r="AJ503" i="6"/>
  <c r="AK503" i="6" s="1"/>
  <c r="AL503" i="6" s="1"/>
  <c r="AJ511" i="6"/>
  <c r="AK511" i="6" s="1"/>
  <c r="AL511" i="6" s="1"/>
  <c r="AJ519" i="6"/>
  <c r="AK519" i="6" s="1"/>
  <c r="AL519" i="6" s="1"/>
  <c r="AJ527" i="6"/>
  <c r="AK527" i="6" s="1"/>
  <c r="AL527" i="6" s="1"/>
  <c r="AJ543" i="6"/>
  <c r="AK543" i="6" s="1"/>
  <c r="AL543" i="6" s="1"/>
  <c r="AJ551" i="6"/>
  <c r="AK551" i="6" s="1"/>
  <c r="AL551" i="6" s="1"/>
  <c r="AJ559" i="6"/>
  <c r="AK559" i="6" s="1"/>
  <c r="AL559" i="6" s="1"/>
  <c r="AJ583" i="6"/>
  <c r="AK583" i="6" s="1"/>
  <c r="AL583" i="6" s="1"/>
  <c r="AJ591" i="6"/>
  <c r="AK591" i="6" s="1"/>
  <c r="AL591" i="6" s="1"/>
  <c r="AJ599" i="6"/>
  <c r="AK599" i="6" s="1"/>
  <c r="AL599" i="6" s="1"/>
  <c r="AJ608" i="6"/>
  <c r="AK608" i="6" s="1"/>
  <c r="AL608" i="6" s="1"/>
  <c r="AJ616" i="6"/>
  <c r="AK616" i="6" s="1"/>
  <c r="AL616" i="6" s="1"/>
  <c r="AJ19" i="6"/>
  <c r="AK19" i="6" s="1"/>
  <c r="AL19" i="6" s="1"/>
  <c r="AJ27" i="6"/>
  <c r="AK27" i="6" s="1"/>
  <c r="AL27" i="6" s="1"/>
  <c r="AJ35" i="6"/>
  <c r="AK35" i="6" s="1"/>
  <c r="AL35" i="6" s="1"/>
  <c r="AJ43" i="6"/>
  <c r="AK43" i="6" s="1"/>
  <c r="AL43" i="6" s="1"/>
  <c r="AJ92" i="6"/>
  <c r="AK92" i="6" s="1"/>
  <c r="AL92" i="6" s="1"/>
  <c r="AJ108" i="6"/>
  <c r="AK108" i="6" s="1"/>
  <c r="AL108" i="6" s="1"/>
  <c r="AJ116" i="6"/>
  <c r="AK116" i="6" s="1"/>
  <c r="AL116" i="6" s="1"/>
  <c r="AJ132" i="6"/>
  <c r="AK132" i="6" s="1"/>
  <c r="AL132" i="6" s="1"/>
  <c r="AJ140" i="6"/>
  <c r="AK140" i="6" s="1"/>
  <c r="AL140" i="6" s="1"/>
  <c r="AJ150" i="6"/>
  <c r="AK150" i="6" s="1"/>
  <c r="AL150" i="6" s="1"/>
  <c r="AJ158" i="6"/>
  <c r="AK158" i="6" s="1"/>
  <c r="AL158" i="6" s="1"/>
  <c r="AJ174" i="6"/>
  <c r="AK174" i="6" s="1"/>
  <c r="AL174" i="6" s="1"/>
  <c r="AJ182" i="6"/>
  <c r="AK182" i="6" s="1"/>
  <c r="AL182" i="6" s="1"/>
  <c r="AJ198" i="6"/>
  <c r="AK198" i="6" s="1"/>
  <c r="AL198" i="6" s="1"/>
  <c r="AJ206" i="6"/>
  <c r="AK206" i="6" s="1"/>
  <c r="AL206" i="6" s="1"/>
  <c r="AJ214" i="6"/>
  <c r="AK214" i="6" s="1"/>
  <c r="AL214" i="6" s="1"/>
  <c r="AJ222" i="6"/>
  <c r="AK222" i="6" s="1"/>
  <c r="AL222" i="6" s="1"/>
  <c r="AJ249" i="6"/>
  <c r="AK249" i="6" s="1"/>
  <c r="AL249" i="6" s="1"/>
  <c r="AJ265" i="6"/>
  <c r="AK265" i="6" s="1"/>
  <c r="AL265" i="6" s="1"/>
  <c r="AJ273" i="6"/>
  <c r="AK273" i="6" s="1"/>
  <c r="AL273" i="6" s="1"/>
  <c r="AJ281" i="6"/>
  <c r="AK281" i="6" s="1"/>
  <c r="AL281" i="6" s="1"/>
  <c r="AJ289" i="6"/>
  <c r="AK289" i="6" s="1"/>
  <c r="AL289" i="6" s="1"/>
  <c r="AJ297" i="6"/>
  <c r="AK297" i="6" s="1"/>
  <c r="AL297" i="6" s="1"/>
  <c r="AJ305" i="6"/>
  <c r="AK305" i="6" s="1"/>
  <c r="AL305" i="6" s="1"/>
  <c r="AJ313" i="6"/>
  <c r="AK313" i="6" s="1"/>
  <c r="AL313" i="6" s="1"/>
  <c r="AJ321" i="6"/>
  <c r="AK321" i="6" s="1"/>
  <c r="AL321" i="6" s="1"/>
  <c r="AJ330" i="6"/>
  <c r="AK330" i="6" s="1"/>
  <c r="AL330" i="6" s="1"/>
  <c r="AJ338" i="6"/>
  <c r="AK338" i="6" s="1"/>
  <c r="AL338" i="6" s="1"/>
  <c r="AJ355" i="6"/>
  <c r="AK355" i="6" s="1"/>
  <c r="AL355" i="6" s="1"/>
  <c r="AJ364" i="6"/>
  <c r="AK364" i="6" s="1"/>
  <c r="AL364" i="6" s="1"/>
  <c r="AJ372" i="6"/>
  <c r="AK372" i="6" s="1"/>
  <c r="AL372" i="6" s="1"/>
  <c r="AJ380" i="6"/>
  <c r="AK380" i="6" s="1"/>
  <c r="AL380" i="6" s="1"/>
  <c r="AJ388" i="6"/>
  <c r="AK388" i="6" s="1"/>
  <c r="AL388" i="6" s="1"/>
  <c r="AJ396" i="6"/>
  <c r="AK396" i="6" s="1"/>
  <c r="AL396" i="6" s="1"/>
  <c r="AJ405" i="6"/>
  <c r="AK405" i="6" s="1"/>
  <c r="AL405" i="6" s="1"/>
  <c r="AJ413" i="6"/>
  <c r="AK413" i="6" s="1"/>
  <c r="AL413" i="6" s="1"/>
  <c r="AJ421" i="6"/>
  <c r="AK421" i="6" s="1"/>
  <c r="AL421" i="6" s="1"/>
  <c r="AJ429" i="6"/>
  <c r="AK429" i="6" s="1"/>
  <c r="AL429" i="6" s="1"/>
  <c r="AJ437" i="6"/>
  <c r="AK437" i="6" s="1"/>
  <c r="AL437" i="6" s="1"/>
  <c r="AJ445" i="6"/>
  <c r="AK445" i="6" s="1"/>
  <c r="AL445" i="6" s="1"/>
  <c r="AJ453" i="6"/>
  <c r="AK453" i="6" s="1"/>
  <c r="AL453" i="6" s="1"/>
  <c r="AJ469" i="6"/>
  <c r="AK469" i="6" s="1"/>
  <c r="AL469" i="6" s="1"/>
  <c r="AJ479" i="6"/>
  <c r="AK479" i="6" s="1"/>
  <c r="AL479" i="6" s="1"/>
  <c r="AJ487" i="6"/>
  <c r="AK487" i="6" s="1"/>
  <c r="AL487" i="6" s="1"/>
  <c r="AJ496" i="6"/>
  <c r="AK496" i="6" s="1"/>
  <c r="AL496" i="6" s="1"/>
  <c r="AJ504" i="6"/>
  <c r="AK504" i="6" s="1"/>
  <c r="AL504" i="6" s="1"/>
  <c r="AJ512" i="6"/>
  <c r="AK512" i="6" s="1"/>
  <c r="AL512" i="6" s="1"/>
  <c r="AJ520" i="6"/>
  <c r="AK520" i="6" s="1"/>
  <c r="AL520" i="6" s="1"/>
  <c r="AJ536" i="6"/>
  <c r="AK536" i="6" s="1"/>
  <c r="AL536" i="6" s="1"/>
  <c r="AJ544" i="6"/>
  <c r="AK544" i="6" s="1"/>
  <c r="AL544" i="6" s="1"/>
  <c r="AJ552" i="6"/>
  <c r="AK552" i="6" s="1"/>
  <c r="AL552" i="6" s="1"/>
  <c r="AJ560" i="6"/>
  <c r="AK560" i="6" s="1"/>
  <c r="AL560" i="6" s="1"/>
  <c r="AJ584" i="6"/>
  <c r="AK584" i="6" s="1"/>
  <c r="AL584" i="6" s="1"/>
  <c r="AJ592" i="6"/>
  <c r="AK592" i="6" s="1"/>
  <c r="AL592" i="6" s="1"/>
  <c r="AJ609" i="6"/>
  <c r="AK609" i="6" s="1"/>
  <c r="AL609" i="6" s="1"/>
  <c r="AJ617" i="6"/>
  <c r="AK617" i="6" s="1"/>
  <c r="AL617" i="6" s="1"/>
  <c r="AJ612" i="6"/>
  <c r="AK612" i="6" s="1"/>
  <c r="AL612" i="6" s="1"/>
  <c r="AJ20" i="6"/>
  <c r="AK20" i="6" s="1"/>
  <c r="AL20" i="6" s="1"/>
  <c r="AJ28" i="6"/>
  <c r="AK28" i="6" s="1"/>
  <c r="AL28" i="6" s="1"/>
  <c r="AJ36" i="6"/>
  <c r="AK36" i="6" s="1"/>
  <c r="AL36" i="6" s="1"/>
  <c r="AJ44" i="6"/>
  <c r="AK44" i="6" s="1"/>
  <c r="AL44" i="6" s="1"/>
  <c r="AJ52" i="6"/>
  <c r="AK52" i="6" s="1"/>
  <c r="AL52" i="6" s="1"/>
  <c r="AJ77" i="6"/>
  <c r="AK77" i="6" s="1"/>
  <c r="AL77" i="6" s="1"/>
  <c r="AJ85" i="6"/>
  <c r="AK85" i="6" s="1"/>
  <c r="AL85" i="6" s="1"/>
  <c r="AJ101" i="6"/>
  <c r="AK101" i="6" s="1"/>
  <c r="AL101" i="6" s="1"/>
  <c r="AJ117" i="6"/>
  <c r="AK117" i="6" s="1"/>
  <c r="AL117" i="6" s="1"/>
  <c r="AJ133" i="6"/>
  <c r="AK133" i="6" s="1"/>
  <c r="AL133" i="6" s="1"/>
  <c r="AJ151" i="6"/>
  <c r="AK151" i="6" s="1"/>
  <c r="AL151" i="6" s="1"/>
  <c r="AJ159" i="6"/>
  <c r="AK159" i="6" s="1"/>
  <c r="AL159" i="6" s="1"/>
  <c r="AJ175" i="6"/>
  <c r="AK175" i="6" s="1"/>
  <c r="AL175" i="6" s="1"/>
  <c r="AJ183" i="6"/>
  <c r="AK183" i="6" s="1"/>
  <c r="AL183" i="6" s="1"/>
  <c r="AJ191" i="6"/>
  <c r="AK191" i="6" s="1"/>
  <c r="AL191" i="6" s="1"/>
  <c r="AJ199" i="6"/>
  <c r="AK199" i="6" s="1"/>
  <c r="AL199" i="6" s="1"/>
  <c r="AJ207" i="6"/>
  <c r="AK207" i="6" s="1"/>
  <c r="AL207" i="6" s="1"/>
  <c r="AJ215" i="6"/>
  <c r="AK215" i="6" s="1"/>
  <c r="AL215" i="6" s="1"/>
  <c r="AJ223" i="6"/>
  <c r="AK223" i="6" s="1"/>
  <c r="AL223" i="6" s="1"/>
  <c r="AJ242" i="6"/>
  <c r="AK242" i="6" s="1"/>
  <c r="AL242" i="6" s="1"/>
  <c r="AJ250" i="6"/>
  <c r="AK250" i="6" s="1"/>
  <c r="AL250" i="6" s="1"/>
  <c r="AJ266" i="6"/>
  <c r="AK266" i="6" s="1"/>
  <c r="AL266" i="6" s="1"/>
  <c r="AJ274" i="6"/>
  <c r="AK274" i="6" s="1"/>
  <c r="AL274" i="6" s="1"/>
  <c r="AJ290" i="6"/>
  <c r="AK290" i="6" s="1"/>
  <c r="AL290" i="6" s="1"/>
  <c r="AJ298" i="6"/>
  <c r="AK298" i="6" s="1"/>
  <c r="AL298" i="6" s="1"/>
  <c r="AJ306" i="6"/>
  <c r="AK306" i="6" s="1"/>
  <c r="AL306" i="6" s="1"/>
  <c r="AJ314" i="6"/>
  <c r="AK314" i="6" s="1"/>
  <c r="AL314" i="6" s="1"/>
  <c r="AJ331" i="6"/>
  <c r="AK331" i="6" s="1"/>
  <c r="AL331" i="6" s="1"/>
  <c r="AJ339" i="6"/>
  <c r="AK339" i="6" s="1"/>
  <c r="AL339" i="6" s="1"/>
  <c r="AJ356" i="6"/>
  <c r="AK356" i="6" s="1"/>
  <c r="AL356" i="6" s="1"/>
  <c r="AJ365" i="6"/>
  <c r="AK365" i="6" s="1"/>
  <c r="AL365" i="6" s="1"/>
  <c r="AJ373" i="6"/>
  <c r="AK373" i="6" s="1"/>
  <c r="AL373" i="6" s="1"/>
  <c r="AJ381" i="6"/>
  <c r="AK381" i="6" s="1"/>
  <c r="AL381" i="6" s="1"/>
  <c r="AJ389" i="6"/>
  <c r="AK389" i="6" s="1"/>
  <c r="AL389" i="6" s="1"/>
  <c r="AJ397" i="6"/>
  <c r="AK397" i="6" s="1"/>
  <c r="AL397" i="6" s="1"/>
  <c r="AJ406" i="6"/>
  <c r="AK406" i="6" s="1"/>
  <c r="AL406" i="6" s="1"/>
  <c r="AJ414" i="6"/>
  <c r="AK414" i="6" s="1"/>
  <c r="AL414" i="6" s="1"/>
  <c r="AJ422" i="6"/>
  <c r="AK422" i="6" s="1"/>
  <c r="AL422" i="6" s="1"/>
  <c r="AJ430" i="6"/>
  <c r="AK430" i="6" s="1"/>
  <c r="AL430" i="6" s="1"/>
  <c r="AJ438" i="6"/>
  <c r="AK438" i="6" s="1"/>
  <c r="AL438" i="6" s="1"/>
  <c r="AJ446" i="6"/>
  <c r="AK446" i="6" s="1"/>
  <c r="AL446" i="6" s="1"/>
  <c r="AJ454" i="6"/>
  <c r="AK454" i="6" s="1"/>
  <c r="AL454" i="6" s="1"/>
  <c r="AJ462" i="6"/>
  <c r="AK462" i="6" s="1"/>
  <c r="AL462" i="6" s="1"/>
  <c r="AJ470" i="6"/>
  <c r="AK470" i="6" s="1"/>
  <c r="AL470" i="6" s="1"/>
  <c r="AJ480" i="6"/>
  <c r="AK480" i="6" s="1"/>
  <c r="AL480" i="6" s="1"/>
  <c r="AJ497" i="6"/>
  <c r="AK497" i="6" s="1"/>
  <c r="AL497" i="6" s="1"/>
  <c r="AJ513" i="6"/>
  <c r="AK513" i="6" s="1"/>
  <c r="AL513" i="6" s="1"/>
  <c r="AJ521" i="6"/>
  <c r="AK521" i="6" s="1"/>
  <c r="AL521" i="6" s="1"/>
  <c r="AJ529" i="6"/>
  <c r="AK529" i="6" s="1"/>
  <c r="AL529" i="6" s="1"/>
  <c r="AJ537" i="6"/>
  <c r="AK537" i="6" s="1"/>
  <c r="AL537" i="6" s="1"/>
  <c r="AJ545" i="6"/>
  <c r="AK545" i="6" s="1"/>
  <c r="AL545" i="6" s="1"/>
  <c r="AJ553" i="6"/>
  <c r="AK553" i="6" s="1"/>
  <c r="AL553" i="6" s="1"/>
  <c r="AJ561" i="6"/>
  <c r="AK561" i="6" s="1"/>
  <c r="AL561" i="6" s="1"/>
  <c r="AJ577" i="6"/>
  <c r="AK577" i="6" s="1"/>
  <c r="AL577" i="6" s="1"/>
  <c r="AJ585" i="6"/>
  <c r="AK585" i="6" s="1"/>
  <c r="AL585" i="6" s="1"/>
  <c r="AJ610" i="6"/>
  <c r="AK610" i="6" s="1"/>
  <c r="AL610" i="6" s="1"/>
  <c r="AJ618" i="6"/>
  <c r="AK618" i="6" s="1"/>
  <c r="AL618" i="6" s="1"/>
  <c r="AJ587" i="6"/>
  <c r="AK587" i="6" s="1"/>
  <c r="AL587" i="6" s="1"/>
  <c r="AJ21" i="6"/>
  <c r="AK21" i="6" s="1"/>
  <c r="AL21" i="6" s="1"/>
  <c r="AJ29" i="6"/>
  <c r="AK29" i="6" s="1"/>
  <c r="AL29" i="6" s="1"/>
  <c r="AJ37" i="6"/>
  <c r="AK37" i="6" s="1"/>
  <c r="AL37" i="6" s="1"/>
  <c r="AJ45" i="6"/>
  <c r="AK45" i="6" s="1"/>
  <c r="AL45" i="6" s="1"/>
  <c r="AJ70" i="6"/>
  <c r="AK70" i="6" s="1"/>
  <c r="AL70" i="6" s="1"/>
  <c r="AJ78" i="6"/>
  <c r="AK78" i="6" s="1"/>
  <c r="AL78" i="6" s="1"/>
  <c r="AJ86" i="6"/>
  <c r="AK86" i="6" s="1"/>
  <c r="AL86" i="6" s="1"/>
  <c r="AJ110" i="6"/>
  <c r="AK110" i="6" s="1"/>
  <c r="AL110" i="6" s="1"/>
  <c r="AJ118" i="6"/>
  <c r="AK118" i="6" s="1"/>
  <c r="AL118" i="6" s="1"/>
  <c r="AJ126" i="6"/>
  <c r="AK126" i="6" s="1"/>
  <c r="AL126" i="6" s="1"/>
  <c r="AJ134" i="6"/>
  <c r="AK134" i="6" s="1"/>
  <c r="AL134" i="6" s="1"/>
  <c r="AJ144" i="6"/>
  <c r="AK144" i="6" s="1"/>
  <c r="AL144" i="6" s="1"/>
  <c r="AJ152" i="6"/>
  <c r="AK152" i="6" s="1"/>
  <c r="AL152" i="6" s="1"/>
  <c r="AJ160" i="6"/>
  <c r="AK160" i="6" s="1"/>
  <c r="AL160" i="6" s="1"/>
  <c r="AJ176" i="6"/>
  <c r="AK176" i="6" s="1"/>
  <c r="AL176" i="6" s="1"/>
  <c r="AJ184" i="6"/>
  <c r="AK184" i="6" s="1"/>
  <c r="AL184" i="6" s="1"/>
  <c r="AJ192" i="6"/>
  <c r="AK192" i="6" s="1"/>
  <c r="AL192" i="6" s="1"/>
  <c r="AJ208" i="6"/>
  <c r="AK208" i="6" s="1"/>
  <c r="AL208" i="6" s="1"/>
  <c r="AJ225" i="6"/>
  <c r="AK225" i="6" s="1"/>
  <c r="AL225" i="6" s="1"/>
  <c r="AJ233" i="6"/>
  <c r="AK233" i="6" s="1"/>
  <c r="AL233" i="6" s="1"/>
  <c r="AJ243" i="6"/>
  <c r="AK243" i="6" s="1"/>
  <c r="AL243" i="6" s="1"/>
  <c r="AJ251" i="6"/>
  <c r="AK251" i="6" s="1"/>
  <c r="AL251" i="6" s="1"/>
  <c r="AJ267" i="6"/>
  <c r="AK267" i="6" s="1"/>
  <c r="AL267" i="6" s="1"/>
  <c r="AJ291" i="6"/>
  <c r="AK291" i="6" s="1"/>
  <c r="AL291" i="6" s="1"/>
  <c r="AJ307" i="6"/>
  <c r="AK307" i="6" s="1"/>
  <c r="AL307" i="6" s="1"/>
  <c r="AJ315" i="6"/>
  <c r="AK315" i="6" s="1"/>
  <c r="AL315" i="6" s="1"/>
  <c r="AJ332" i="6"/>
  <c r="AK332" i="6" s="1"/>
  <c r="AL332" i="6" s="1"/>
  <c r="AJ340" i="6"/>
  <c r="AK340" i="6" s="1"/>
  <c r="AL340" i="6" s="1"/>
  <c r="AJ357" i="6"/>
  <c r="AK357" i="6" s="1"/>
  <c r="AL357" i="6" s="1"/>
  <c r="AJ374" i="6"/>
  <c r="AK374" i="6" s="1"/>
  <c r="AL374" i="6" s="1"/>
  <c r="AJ382" i="6"/>
  <c r="AK382" i="6" s="1"/>
  <c r="AL382" i="6" s="1"/>
  <c r="AJ390" i="6"/>
  <c r="AK390" i="6" s="1"/>
  <c r="AL390" i="6" s="1"/>
  <c r="AJ398" i="6"/>
  <c r="AK398" i="6" s="1"/>
  <c r="AL398" i="6" s="1"/>
  <c r="AJ407" i="6"/>
  <c r="AK407" i="6" s="1"/>
  <c r="AL407" i="6" s="1"/>
  <c r="AJ415" i="6"/>
  <c r="AK415" i="6" s="1"/>
  <c r="AL415" i="6" s="1"/>
  <c r="AJ423" i="6"/>
  <c r="AK423" i="6" s="1"/>
  <c r="AL423" i="6" s="1"/>
  <c r="AJ431" i="6"/>
  <c r="AK431" i="6" s="1"/>
  <c r="AL431" i="6" s="1"/>
  <c r="AJ439" i="6"/>
  <c r="AK439" i="6" s="1"/>
  <c r="AL439" i="6" s="1"/>
  <c r="AJ447" i="6"/>
  <c r="AK447" i="6" s="1"/>
  <c r="AL447" i="6" s="1"/>
  <c r="AJ455" i="6"/>
  <c r="AK455" i="6" s="1"/>
  <c r="AL455" i="6" s="1"/>
  <c r="AJ463" i="6"/>
  <c r="AK463" i="6" s="1"/>
  <c r="AL463" i="6" s="1"/>
  <c r="AJ471" i="6"/>
  <c r="AK471" i="6" s="1"/>
  <c r="AL471" i="6" s="1"/>
  <c r="AJ481" i="6"/>
  <c r="AK481" i="6" s="1"/>
  <c r="AL481" i="6" s="1"/>
  <c r="AJ490" i="6"/>
  <c r="AK490" i="6" s="1"/>
  <c r="AL490" i="6" s="1"/>
  <c r="AJ498" i="6"/>
  <c r="AK498" i="6" s="1"/>
  <c r="AL498" i="6" s="1"/>
  <c r="AJ514" i="6"/>
  <c r="AK514" i="6" s="1"/>
  <c r="AL514" i="6" s="1"/>
  <c r="AJ522" i="6"/>
  <c r="AK522" i="6" s="1"/>
  <c r="AL522" i="6" s="1"/>
  <c r="AJ530" i="6"/>
  <c r="AK530" i="6" s="1"/>
  <c r="AL530" i="6" s="1"/>
  <c r="AJ538" i="6"/>
  <c r="AK538" i="6" s="1"/>
  <c r="AL538" i="6" s="1"/>
  <c r="AJ546" i="6"/>
  <c r="AK546" i="6" s="1"/>
  <c r="AL546" i="6" s="1"/>
  <c r="AJ554" i="6"/>
  <c r="AK554" i="6" s="1"/>
  <c r="AL554" i="6" s="1"/>
  <c r="AJ562" i="6"/>
  <c r="AK562" i="6" s="1"/>
  <c r="AL562" i="6" s="1"/>
  <c r="AJ578" i="6"/>
  <c r="AK578" i="6" s="1"/>
  <c r="AL578" i="6" s="1"/>
  <c r="AJ586" i="6"/>
  <c r="AK586" i="6" s="1"/>
  <c r="AL586" i="6" s="1"/>
  <c r="AJ619" i="6"/>
  <c r="AK619" i="6" s="1"/>
  <c r="AL619" i="6" s="1"/>
  <c r="AJ595" i="6"/>
  <c r="AK595" i="6" s="1"/>
  <c r="AL595" i="6" s="1"/>
  <c r="AJ22" i="6"/>
  <c r="AK22" i="6" s="1"/>
  <c r="AL22" i="6" s="1"/>
  <c r="AJ30" i="6"/>
  <c r="AK30" i="6" s="1"/>
  <c r="AL30" i="6" s="1"/>
  <c r="AJ38" i="6"/>
  <c r="AK38" i="6" s="1"/>
  <c r="AL38" i="6" s="1"/>
  <c r="AJ46" i="6"/>
  <c r="AK46" i="6" s="1"/>
  <c r="AL46" i="6" s="1"/>
  <c r="AJ54" i="6"/>
  <c r="AK54" i="6" s="1"/>
  <c r="AL54" i="6" s="1"/>
  <c r="AJ71" i="6"/>
  <c r="AK71" i="6" s="1"/>
  <c r="AL71" i="6" s="1"/>
  <c r="AJ87" i="6"/>
  <c r="AK87" i="6" s="1"/>
  <c r="AL87" i="6" s="1"/>
  <c r="AJ111" i="6"/>
  <c r="AK111" i="6" s="1"/>
  <c r="AL111" i="6" s="1"/>
  <c r="AJ119" i="6"/>
  <c r="AK119" i="6" s="1"/>
  <c r="AL119" i="6" s="1"/>
  <c r="AJ127" i="6"/>
  <c r="AK127" i="6" s="1"/>
  <c r="AL127" i="6" s="1"/>
  <c r="AJ135" i="6"/>
  <c r="AK135" i="6" s="1"/>
  <c r="AL135" i="6" s="1"/>
  <c r="AJ145" i="6"/>
  <c r="AK145" i="6" s="1"/>
  <c r="AL145" i="6" s="1"/>
  <c r="AJ153" i="6"/>
  <c r="AK153" i="6" s="1"/>
  <c r="AL153" i="6" s="1"/>
  <c r="AJ161" i="6"/>
  <c r="AK161" i="6" s="1"/>
  <c r="AL161" i="6" s="1"/>
  <c r="AJ177" i="6"/>
  <c r="AK177" i="6" s="1"/>
  <c r="AL177" i="6" s="1"/>
  <c r="AJ185" i="6"/>
  <c r="AK185" i="6" s="1"/>
  <c r="AL185" i="6" s="1"/>
  <c r="AJ193" i="6"/>
  <c r="AK193" i="6" s="1"/>
  <c r="AL193" i="6" s="1"/>
  <c r="AJ201" i="6"/>
  <c r="AK201" i="6" s="1"/>
  <c r="AL201" i="6" s="1"/>
  <c r="AJ209" i="6"/>
  <c r="AK209" i="6" s="1"/>
  <c r="AL209" i="6" s="1"/>
  <c r="AJ217" i="6"/>
  <c r="AK217" i="6" s="1"/>
  <c r="AL217" i="6" s="1"/>
  <c r="AJ226" i="6"/>
  <c r="AK226" i="6" s="1"/>
  <c r="AL226" i="6" s="1"/>
  <c r="AJ234" i="6"/>
  <c r="AK234" i="6" s="1"/>
  <c r="AL234" i="6" s="1"/>
  <c r="AJ244" i="6"/>
  <c r="AK244" i="6" s="1"/>
  <c r="AL244" i="6" s="1"/>
  <c r="AJ252" i="6"/>
  <c r="AK252" i="6" s="1"/>
  <c r="AL252" i="6" s="1"/>
  <c r="AJ260" i="6"/>
  <c r="AK260" i="6" s="1"/>
  <c r="AL260" i="6" s="1"/>
  <c r="AJ268" i="6"/>
  <c r="AK268" i="6" s="1"/>
  <c r="AL268" i="6" s="1"/>
  <c r="AJ292" i="6"/>
  <c r="AK292" i="6" s="1"/>
  <c r="AL292" i="6" s="1"/>
  <c r="AJ300" i="6"/>
  <c r="AK300" i="6" s="1"/>
  <c r="AL300" i="6" s="1"/>
  <c r="AJ316" i="6"/>
  <c r="AK316" i="6" s="1"/>
  <c r="AL316" i="6" s="1"/>
  <c r="AJ333" i="6"/>
  <c r="AK333" i="6" s="1"/>
  <c r="AL333" i="6" s="1"/>
  <c r="AJ341" i="6"/>
  <c r="AK341" i="6" s="1"/>
  <c r="AL341" i="6" s="1"/>
  <c r="AJ358" i="6"/>
  <c r="AK358" i="6" s="1"/>
  <c r="AL358" i="6" s="1"/>
  <c r="AJ367" i="6"/>
  <c r="AK367" i="6" s="1"/>
  <c r="AL367" i="6" s="1"/>
  <c r="AJ375" i="6"/>
  <c r="AK375" i="6" s="1"/>
  <c r="AL375" i="6" s="1"/>
  <c r="AJ383" i="6"/>
  <c r="AK383" i="6" s="1"/>
  <c r="AL383" i="6" s="1"/>
  <c r="AJ399" i="6"/>
  <c r="AK399" i="6" s="1"/>
  <c r="AL399" i="6" s="1"/>
  <c r="AJ408" i="6"/>
  <c r="AK408" i="6" s="1"/>
  <c r="AL408" i="6" s="1"/>
  <c r="AJ416" i="6"/>
  <c r="AK416" i="6" s="1"/>
  <c r="AL416" i="6" s="1"/>
  <c r="AJ424" i="6"/>
  <c r="AK424" i="6" s="1"/>
  <c r="AL424" i="6" s="1"/>
  <c r="AJ432" i="6"/>
  <c r="AK432" i="6" s="1"/>
  <c r="AL432" i="6" s="1"/>
  <c r="AJ440" i="6"/>
  <c r="AK440" i="6" s="1"/>
  <c r="AL440" i="6" s="1"/>
  <c r="AJ448" i="6"/>
  <c r="AK448" i="6" s="1"/>
  <c r="AL448" i="6" s="1"/>
  <c r="AJ464" i="6"/>
  <c r="AK464" i="6" s="1"/>
  <c r="AL464" i="6" s="1"/>
  <c r="AJ472" i="6"/>
  <c r="AK472" i="6" s="1"/>
  <c r="AL472" i="6" s="1"/>
  <c r="AJ482" i="6"/>
  <c r="AK482" i="6" s="1"/>
  <c r="AL482" i="6" s="1"/>
  <c r="AJ499" i="6"/>
  <c r="AK499" i="6" s="1"/>
  <c r="AL499" i="6" s="1"/>
  <c r="AJ515" i="6"/>
  <c r="AK515" i="6" s="1"/>
  <c r="AL515" i="6" s="1"/>
  <c r="AJ523" i="6"/>
  <c r="AK523" i="6" s="1"/>
  <c r="AL523" i="6" s="1"/>
  <c r="AJ531" i="6"/>
  <c r="AK531" i="6" s="1"/>
  <c r="AL531" i="6" s="1"/>
  <c r="AJ539" i="6"/>
  <c r="AK539" i="6" s="1"/>
  <c r="AL539" i="6" s="1"/>
  <c r="AJ555" i="6"/>
  <c r="AK555" i="6" s="1"/>
  <c r="AL555" i="6" s="1"/>
  <c r="AJ563" i="6"/>
  <c r="AK563" i="6" s="1"/>
  <c r="AL563" i="6" s="1"/>
  <c r="AJ579" i="6"/>
  <c r="AK579" i="6" s="1"/>
  <c r="AL579" i="6" s="1"/>
  <c r="AJ47" i="6"/>
  <c r="AK47" i="6" s="1"/>
  <c r="AL47" i="6" s="1"/>
  <c r="AJ112" i="6"/>
  <c r="AK112" i="6" s="1"/>
  <c r="AL112" i="6" s="1"/>
  <c r="AJ178" i="6"/>
  <c r="AK178" i="6" s="1"/>
  <c r="AL178" i="6" s="1"/>
  <c r="AJ245" i="6"/>
  <c r="AK245" i="6" s="1"/>
  <c r="AL245" i="6" s="1"/>
  <c r="AJ309" i="6"/>
  <c r="AK309" i="6" s="1"/>
  <c r="AL309" i="6" s="1"/>
  <c r="AJ376" i="6"/>
  <c r="AK376" i="6" s="1"/>
  <c r="AL376" i="6" s="1"/>
  <c r="AJ441" i="6"/>
  <c r="AK441" i="6" s="1"/>
  <c r="AL441" i="6" s="1"/>
  <c r="AJ508" i="6"/>
  <c r="AK508" i="6" s="1"/>
  <c r="AL508" i="6" s="1"/>
  <c r="AJ449" i="6"/>
  <c r="AK449" i="6" s="1"/>
  <c r="AL449" i="6" s="1"/>
  <c r="AJ72" i="6"/>
  <c r="AK72" i="6" s="1"/>
  <c r="AL72" i="6" s="1"/>
  <c r="AJ465" i="6"/>
  <c r="AK465" i="6" s="1"/>
  <c r="AL465" i="6" s="1"/>
  <c r="AJ235" i="6"/>
  <c r="AK235" i="6" s="1"/>
  <c r="AL235" i="6" s="1"/>
  <c r="AJ120" i="6"/>
  <c r="AK120" i="6" s="1"/>
  <c r="AL120" i="6" s="1"/>
  <c r="AJ186" i="6"/>
  <c r="AK186" i="6" s="1"/>
  <c r="AL186" i="6" s="1"/>
  <c r="AJ317" i="6"/>
  <c r="AK317" i="6" s="1"/>
  <c r="AL317" i="6" s="1"/>
  <c r="AJ384" i="6"/>
  <c r="AK384" i="6" s="1"/>
  <c r="AL384" i="6" s="1"/>
  <c r="AJ588" i="6"/>
  <c r="AK588" i="6" s="1"/>
  <c r="AL588" i="6" s="1"/>
  <c r="AJ128" i="6"/>
  <c r="AK128" i="6" s="1"/>
  <c r="AL128" i="6" s="1"/>
  <c r="AJ194" i="6"/>
  <c r="AK194" i="6" s="1"/>
  <c r="AL194" i="6" s="1"/>
  <c r="AJ261" i="6"/>
  <c r="AK261" i="6" s="1"/>
  <c r="AL261" i="6" s="1"/>
  <c r="AJ392" i="6"/>
  <c r="AK392" i="6" s="1"/>
  <c r="AL392" i="6" s="1"/>
  <c r="AJ457" i="6"/>
  <c r="AK457" i="6" s="1"/>
  <c r="AL457" i="6" s="1"/>
  <c r="AJ524" i="6"/>
  <c r="AK524" i="6" s="1"/>
  <c r="AL524" i="6" s="1"/>
  <c r="AJ401" i="6"/>
  <c r="AK401" i="6" s="1"/>
  <c r="AL401" i="6" s="1"/>
  <c r="AJ39" i="6"/>
  <c r="AK39" i="6" s="1"/>
  <c r="AL39" i="6" s="1"/>
  <c r="AJ500" i="6"/>
  <c r="AK500" i="6" s="1"/>
  <c r="AL500" i="6" s="1"/>
  <c r="AJ596" i="6"/>
  <c r="AK596" i="6" s="1"/>
  <c r="AL596" i="6" s="1"/>
  <c r="AJ368" i="6"/>
  <c r="AK368" i="6" s="1"/>
  <c r="AL368" i="6" s="1"/>
  <c r="AJ146" i="6"/>
  <c r="AK146" i="6" s="1"/>
  <c r="AL146" i="6" s="1"/>
  <c r="AJ210" i="6"/>
  <c r="AK210" i="6" s="1"/>
  <c r="AL210" i="6" s="1"/>
  <c r="AJ342" i="6"/>
  <c r="AK342" i="6" s="1"/>
  <c r="AL342" i="6" s="1"/>
  <c r="AJ409" i="6"/>
  <c r="AK409" i="6" s="1"/>
  <c r="AL409" i="6" s="1"/>
  <c r="AJ473" i="6"/>
  <c r="AK473" i="6" s="1"/>
  <c r="AL473" i="6" s="1"/>
  <c r="AJ540" i="6"/>
  <c r="AK540" i="6" s="1"/>
  <c r="AL540" i="6" s="1"/>
  <c r="AJ605" i="6"/>
  <c r="AK605" i="6" s="1"/>
  <c r="AL605" i="6" s="1"/>
  <c r="AJ613" i="6"/>
  <c r="AK613" i="6" s="1"/>
  <c r="AL613" i="6" s="1"/>
  <c r="AJ433" i="6"/>
  <c r="AK433" i="6" s="1"/>
  <c r="AL433" i="6" s="1"/>
  <c r="AJ23" i="6"/>
  <c r="AK23" i="6" s="1"/>
  <c r="AL23" i="6" s="1"/>
  <c r="AJ88" i="6"/>
  <c r="AK88" i="6" s="1"/>
  <c r="AL88" i="6" s="1"/>
  <c r="AJ218" i="6"/>
  <c r="AK218" i="6" s="1"/>
  <c r="AL218" i="6" s="1"/>
  <c r="AJ285" i="6"/>
  <c r="AK285" i="6" s="1"/>
  <c r="AL285" i="6" s="1"/>
  <c r="AJ351" i="6"/>
  <c r="AK351" i="6" s="1"/>
  <c r="AL351" i="6" s="1"/>
  <c r="AJ417" i="6"/>
  <c r="AK417" i="6" s="1"/>
  <c r="AL417" i="6" s="1"/>
  <c r="AJ564" i="6"/>
  <c r="AK564" i="6" s="1"/>
  <c r="AL564" i="6" s="1"/>
  <c r="AJ31" i="6"/>
  <c r="AK31" i="6" s="1"/>
  <c r="AL31" i="6" s="1"/>
  <c r="AJ162" i="6"/>
  <c r="AK162" i="6" s="1"/>
  <c r="AL162" i="6" s="1"/>
  <c r="AJ293" i="6"/>
  <c r="AK293" i="6" s="1"/>
  <c r="AL293" i="6" s="1"/>
  <c r="AJ360" i="6"/>
  <c r="AK360" i="6" s="1"/>
  <c r="AL360" i="6" s="1"/>
  <c r="AJ425" i="6"/>
  <c r="AK425" i="6" s="1"/>
  <c r="AL425" i="6" s="1"/>
  <c r="AJ492" i="6"/>
  <c r="AK492" i="6" s="1"/>
  <c r="AL492" i="6" s="1"/>
  <c r="AJ556" i="6"/>
  <c r="AK556" i="6" s="1"/>
  <c r="AL556" i="6" s="1"/>
  <c r="AJ16" i="6"/>
  <c r="L17" i="24"/>
  <c r="M17" i="24" s="1"/>
  <c r="I9" i="14"/>
  <c r="AJ329" i="6"/>
  <c r="AK329" i="6" s="1"/>
  <c r="AL329" i="6" s="1"/>
  <c r="AJ66" i="6"/>
  <c r="AK66" i="6" s="1"/>
  <c r="AL66" i="6" s="1"/>
  <c r="AJ180" i="6"/>
  <c r="AK180" i="6" s="1"/>
  <c r="AL180" i="6" s="1"/>
  <c r="AJ566" i="6"/>
  <c r="AK566" i="6" s="1"/>
  <c r="AL566" i="6" s="1"/>
  <c r="AJ83" i="6"/>
  <c r="AK83" i="6" s="1"/>
  <c r="AL83" i="6" s="1"/>
  <c r="AJ567" i="6"/>
  <c r="AK567" i="6" s="1"/>
  <c r="AL567" i="6" s="1"/>
  <c r="AJ51" i="6"/>
  <c r="AK51" i="6" s="1"/>
  <c r="AL51" i="6" s="1"/>
  <c r="AJ231" i="6"/>
  <c r="AK231" i="6" s="1"/>
  <c r="AL231" i="6" s="1"/>
  <c r="AJ232" i="6"/>
  <c r="AK232" i="6" s="1"/>
  <c r="AL232" i="6" s="1"/>
  <c r="AJ62" i="6"/>
  <c r="AK62" i="6" s="1"/>
  <c r="AL62" i="6" s="1"/>
  <c r="AJ506" i="6"/>
  <c r="AK506" i="6" s="1"/>
  <c r="AL506" i="6" s="1"/>
  <c r="AJ63" i="6"/>
  <c r="AK63" i="6" s="1"/>
  <c r="AL63" i="6" s="1"/>
  <c r="AJ79" i="6"/>
  <c r="AK79" i="6" s="1"/>
  <c r="AL79" i="6" s="1"/>
  <c r="AJ532" i="6"/>
  <c r="AK532" i="6" s="1"/>
  <c r="AL532" i="6" s="1"/>
  <c r="AJ80" i="6"/>
  <c r="AK80" i="6" s="1"/>
  <c r="AL80" i="6" s="1"/>
  <c r="AJ228" i="6"/>
  <c r="AK228" i="6" s="1"/>
  <c r="AL228" i="6" s="1"/>
  <c r="AJ302" i="6"/>
  <c r="AK302" i="6" s="1"/>
  <c r="AL302" i="6" s="1"/>
  <c r="AJ326" i="6"/>
  <c r="AK326" i="6" s="1"/>
  <c r="AL326" i="6" s="1"/>
  <c r="AJ614" i="6"/>
  <c r="AK614" i="6" s="1"/>
  <c r="AL614" i="6" s="1"/>
  <c r="AJ74" i="6"/>
  <c r="AK74" i="6" s="1"/>
  <c r="AL74" i="6" s="1"/>
  <c r="AJ148" i="6"/>
  <c r="AK148" i="6" s="1"/>
  <c r="AL148" i="6" s="1"/>
  <c r="AJ229" i="6"/>
  <c r="AK229" i="6" s="1"/>
  <c r="AL229" i="6" s="1"/>
  <c r="AJ303" i="6"/>
  <c r="AK303" i="6" s="1"/>
  <c r="AL303" i="6" s="1"/>
  <c r="AJ327" i="6"/>
  <c r="AK327" i="6" s="1"/>
  <c r="AL327" i="6" s="1"/>
  <c r="AJ615" i="6"/>
  <c r="AK615" i="6" s="1"/>
  <c r="AL615" i="6" s="1"/>
  <c r="AJ75" i="6"/>
  <c r="AK75" i="6" s="1"/>
  <c r="AL75" i="6" s="1"/>
  <c r="AJ165" i="6"/>
  <c r="AK165" i="6" s="1"/>
  <c r="AL165" i="6" s="1"/>
  <c r="AJ230" i="6"/>
  <c r="AK230" i="6" s="1"/>
  <c r="AL230" i="6" s="1"/>
  <c r="AJ328" i="6"/>
  <c r="AK328" i="6" s="1"/>
  <c r="AL328" i="6" s="1"/>
  <c r="AJ76" i="6"/>
  <c r="AK76" i="6" s="1"/>
  <c r="AL76" i="6" s="1"/>
  <c r="AJ166" i="6"/>
  <c r="AK166" i="6" s="1"/>
  <c r="AL166" i="6" s="1"/>
  <c r="AJ601" i="6"/>
  <c r="AK601" i="6" s="1"/>
  <c r="AL601" i="6" s="1"/>
  <c r="AJ167" i="6"/>
  <c r="AK167" i="6" s="1"/>
  <c r="AL167" i="6" s="1"/>
  <c r="AJ322" i="6"/>
  <c r="AK322" i="6" s="1"/>
  <c r="AL322" i="6" s="1"/>
  <c r="AJ593" i="6"/>
  <c r="AK593" i="6" s="1"/>
  <c r="AL593" i="6" s="1"/>
  <c r="AJ168" i="6"/>
  <c r="AK168" i="6" s="1"/>
  <c r="AL168" i="6" s="1"/>
  <c r="AJ323" i="6"/>
  <c r="AK323" i="6" s="1"/>
  <c r="AL323" i="6" s="1"/>
  <c r="AJ594" i="6"/>
  <c r="AK594" i="6" s="1"/>
  <c r="AL594" i="6" s="1"/>
  <c r="AJ611" i="6"/>
  <c r="AK611" i="6" s="1"/>
  <c r="AL611" i="6" s="1"/>
  <c r="AJ169" i="6"/>
  <c r="AK169" i="6" s="1"/>
  <c r="AL169" i="6" s="1"/>
  <c r="AJ324" i="6"/>
  <c r="AK324" i="6" s="1"/>
  <c r="AL324" i="6" s="1"/>
  <c r="AJ334" i="6"/>
  <c r="AK334" i="6" s="1"/>
  <c r="AL334" i="6" s="1"/>
  <c r="AJ170" i="6"/>
  <c r="AK170" i="6" s="1"/>
  <c r="AL170" i="6" s="1"/>
  <c r="AJ325" i="6"/>
  <c r="AK325" i="6" s="1"/>
  <c r="AL325" i="6" s="1"/>
  <c r="AJ277" i="6"/>
  <c r="AK277" i="6" s="1"/>
  <c r="AL277" i="6" s="1"/>
  <c r="AJ227" i="6"/>
  <c r="AK227" i="6" s="1"/>
  <c r="AL227" i="6" s="1"/>
  <c r="G101" i="22"/>
  <c r="G270" i="22"/>
  <c r="G148" i="22"/>
  <c r="F26" i="22"/>
  <c r="Y16" i="6"/>
  <c r="AC16" i="6" s="1"/>
  <c r="E217" i="13"/>
  <c r="M20" i="18"/>
  <c r="D112" i="9" s="1"/>
  <c r="K33" i="3"/>
  <c r="M43" i="3"/>
  <c r="I16" i="14"/>
  <c r="L29" i="24"/>
  <c r="M29" i="24" s="1"/>
  <c r="N7" i="23"/>
  <c r="I14" i="14"/>
  <c r="M32" i="3"/>
  <c r="N32" i="3" s="1"/>
  <c r="N69" i="13"/>
  <c r="N67" i="13"/>
  <c r="O34" i="3"/>
  <c r="O23" i="3"/>
  <c r="O24" i="3"/>
  <c r="N36" i="3"/>
  <c r="O25" i="3"/>
  <c r="N35" i="3"/>
  <c r="L44" i="3"/>
  <c r="L51" i="3"/>
  <c r="Q51" i="3" s="1"/>
  <c r="L24" i="3"/>
  <c r="Q24" i="3" s="1"/>
  <c r="R24" i="3" s="1"/>
  <c r="L43" i="3"/>
  <c r="L36" i="3"/>
  <c r="Q36" i="3" s="1"/>
  <c r="R36" i="3" s="1"/>
  <c r="L48" i="3"/>
  <c r="Q48" i="3" s="1"/>
  <c r="L35" i="3"/>
  <c r="Q35" i="3" s="1"/>
  <c r="R35" i="3" s="1"/>
  <c r="L21" i="3"/>
  <c r="L23" i="3"/>
  <c r="Q23" i="3" s="1"/>
  <c r="R23" i="3" s="1"/>
  <c r="L50" i="3"/>
  <c r="Q50" i="3" s="1"/>
  <c r="L34" i="3"/>
  <c r="Q34" i="3" s="1"/>
  <c r="R34" i="3" s="1"/>
  <c r="L25" i="3"/>
  <c r="Q25" i="3" s="1"/>
  <c r="R25" i="3" s="1"/>
  <c r="L52" i="3"/>
  <c r="Q52" i="3" s="1"/>
  <c r="O49" i="3"/>
  <c r="N49" i="3"/>
  <c r="L46" i="3"/>
  <c r="Q46" i="3" s="1"/>
  <c r="N54" i="3"/>
  <c r="O54" i="3"/>
  <c r="L49" i="3"/>
  <c r="Q49" i="3" s="1"/>
  <c r="R49" i="3" s="1"/>
  <c r="N47" i="3"/>
  <c r="O47" i="3"/>
  <c r="O50" i="3"/>
  <c r="N50" i="3"/>
  <c r="O52" i="3"/>
  <c r="N52" i="3"/>
  <c r="M33" i="3"/>
  <c r="M45" i="3"/>
  <c r="N45" i="3" s="1"/>
  <c r="N53" i="3"/>
  <c r="O53" i="3"/>
  <c r="L53" i="3"/>
  <c r="Q53" i="3" s="1"/>
  <c r="K46" i="3"/>
  <c r="L54" i="3"/>
  <c r="Q54" i="3" s="1"/>
  <c r="K54" i="3"/>
  <c r="L55" i="3"/>
  <c r="O51" i="3"/>
  <c r="L47" i="3"/>
  <c r="Q47" i="3" s="1"/>
  <c r="L45" i="3"/>
  <c r="N46" i="3"/>
  <c r="O46" i="3"/>
  <c r="O48" i="3"/>
  <c r="N48" i="3"/>
  <c r="I20" i="14"/>
  <c r="G32" i="23"/>
  <c r="L25" i="24"/>
  <c r="M25" i="24" s="1"/>
  <c r="G37" i="23"/>
  <c r="I11" i="14"/>
  <c r="G10" i="11"/>
  <c r="Q13" i="3"/>
  <c r="L28" i="24"/>
  <c r="M28" i="24" s="1"/>
  <c r="G36" i="23"/>
  <c r="G33" i="23"/>
  <c r="L24" i="24"/>
  <c r="M24" i="24" s="1"/>
  <c r="L20" i="24"/>
  <c r="M20" i="24" s="1"/>
  <c r="H5" i="11"/>
  <c r="M11" i="18"/>
  <c r="L13" i="18"/>
  <c r="N11" i="18"/>
  <c r="L12" i="18"/>
  <c r="L27" i="24"/>
  <c r="L23" i="24"/>
  <c r="M23" i="24" s="1"/>
  <c r="L19" i="24"/>
  <c r="M19" i="24" s="1"/>
  <c r="G47" i="23"/>
  <c r="M19" i="18"/>
  <c r="Q31" i="3"/>
  <c r="L17" i="18"/>
  <c r="L30" i="24"/>
  <c r="M30" i="24" s="1"/>
  <c r="G35" i="23"/>
  <c r="N19" i="18"/>
  <c r="R31" i="3"/>
  <c r="L16" i="18"/>
  <c r="L26" i="24"/>
  <c r="M26" i="24" s="1"/>
  <c r="L22" i="24"/>
  <c r="M22" i="24" s="1"/>
  <c r="L18" i="24"/>
  <c r="M18" i="24" s="1"/>
  <c r="G39" i="23"/>
  <c r="G42" i="23"/>
  <c r="D48" i="9"/>
  <c r="G38" i="23"/>
  <c r="N70" i="13"/>
  <c r="N65" i="13"/>
  <c r="I51" i="13"/>
  <c r="N56" i="13"/>
  <c r="I56" i="13"/>
  <c r="I62" i="13"/>
  <c r="I46" i="13"/>
  <c r="N58" i="13"/>
  <c r="N66" i="13"/>
  <c r="N51" i="13"/>
  <c r="I48" i="13"/>
  <c r="I54" i="13"/>
  <c r="N63" i="13"/>
  <c r="I64" i="13"/>
  <c r="I61" i="13"/>
  <c r="N49" i="13"/>
  <c r="N71" i="13"/>
  <c r="N50" i="13"/>
  <c r="I60" i="13"/>
  <c r="N57" i="13"/>
  <c r="I53" i="13"/>
  <c r="I39" i="13"/>
  <c r="N41" i="13"/>
  <c r="N40" i="13"/>
  <c r="N36" i="13"/>
  <c r="I43" i="13"/>
  <c r="I38" i="13"/>
  <c r="I37" i="13"/>
  <c r="N42" i="13"/>
  <c r="AG16" i="6"/>
  <c r="AF16" i="6"/>
  <c r="N159" i="13"/>
  <c r="N155" i="13"/>
  <c r="N154" i="13"/>
  <c r="N156" i="13"/>
  <c r="N158" i="13"/>
  <c r="N157" i="13"/>
  <c r="N152" i="13"/>
  <c r="N153" i="13"/>
  <c r="N151" i="13"/>
  <c r="N150" i="13"/>
  <c r="N105" i="13"/>
  <c r="N197" i="13"/>
  <c r="N108" i="13"/>
  <c r="N206" i="13"/>
  <c r="N200" i="13"/>
  <c r="N110" i="13"/>
  <c r="N199" i="13"/>
  <c r="N198" i="13"/>
  <c r="N107" i="13"/>
  <c r="N104" i="13"/>
  <c r="N112" i="13"/>
  <c r="N204" i="13"/>
  <c r="N106" i="13"/>
  <c r="N202" i="13"/>
  <c r="N103" i="13"/>
  <c r="N203" i="13"/>
  <c r="N111" i="13"/>
  <c r="N109" i="13"/>
  <c r="N201" i="13"/>
  <c r="N205" i="13"/>
  <c r="P159" i="13"/>
  <c r="P157" i="13"/>
  <c r="O161" i="13"/>
  <c r="P56" i="13"/>
  <c r="O163" i="13"/>
  <c r="P106" i="13"/>
  <c r="P104" i="13"/>
  <c r="O69" i="13"/>
  <c r="P151" i="13"/>
  <c r="P62" i="13"/>
  <c r="P67" i="13"/>
  <c r="P58" i="13"/>
  <c r="P150" i="13"/>
  <c r="P49" i="13"/>
  <c r="P53" i="13"/>
  <c r="P154" i="13"/>
  <c r="P156" i="13"/>
  <c r="O164" i="13"/>
  <c r="P65" i="13"/>
  <c r="P153" i="13"/>
  <c r="P103" i="13"/>
  <c r="O160" i="13"/>
  <c r="P60" i="13"/>
  <c r="P110" i="13"/>
  <c r="P152" i="13"/>
  <c r="P108" i="13"/>
  <c r="P111" i="13"/>
  <c r="P71" i="13"/>
  <c r="P112" i="13"/>
  <c r="P46" i="13"/>
  <c r="P36" i="13"/>
  <c r="P40" i="13"/>
  <c r="P158" i="13"/>
  <c r="P50" i="13"/>
  <c r="P105" i="13"/>
  <c r="O67" i="13"/>
  <c r="P69" i="13"/>
  <c r="P109" i="13"/>
  <c r="P37" i="13"/>
  <c r="P41" i="13"/>
  <c r="P39" i="13"/>
  <c r="P38" i="13"/>
  <c r="O162" i="13"/>
  <c r="P54" i="13"/>
  <c r="P107" i="13"/>
  <c r="P43" i="13"/>
  <c r="P63" i="13"/>
  <c r="P70" i="13"/>
  <c r="P155" i="13"/>
  <c r="P42" i="13"/>
  <c r="P66" i="13"/>
  <c r="P51" i="13"/>
  <c r="P57" i="13"/>
  <c r="P73" i="13"/>
  <c r="E255" i="22" l="1"/>
  <c r="F263" i="22"/>
  <c r="F255" i="22" s="1"/>
  <c r="E189" i="22"/>
  <c r="F197" i="22"/>
  <c r="F189" i="22" s="1"/>
  <c r="F329" i="22"/>
  <c r="F321" i="22" s="1"/>
  <c r="E321" i="22"/>
  <c r="E428" i="22"/>
  <c r="F436" i="22"/>
  <c r="F428" i="22" s="1"/>
  <c r="E90" i="22"/>
  <c r="F98" i="22"/>
  <c r="F90" i="22" s="1"/>
  <c r="E55" i="22"/>
  <c r="D15" i="22" s="1"/>
  <c r="F63" i="22"/>
  <c r="F55" i="22" s="1"/>
  <c r="D16" i="22"/>
  <c r="F164" i="22"/>
  <c r="F156" i="22" s="1"/>
  <c r="E156" i="22"/>
  <c r="E288" i="22"/>
  <c r="F296" i="22"/>
  <c r="F288" i="22" s="1"/>
  <c r="E356" i="22"/>
  <c r="F364" i="22"/>
  <c r="F356" i="22" s="1"/>
  <c r="F230" i="22"/>
  <c r="F222" i="22" s="1"/>
  <c r="E222" i="22"/>
  <c r="E123" i="22"/>
  <c r="F131" i="22"/>
  <c r="F123" i="22" s="1"/>
  <c r="F403" i="22"/>
  <c r="F395" i="22" s="1"/>
  <c r="E395" i="22"/>
  <c r="G167" i="22"/>
  <c r="G313" i="22"/>
  <c r="G165" i="22"/>
  <c r="G302" i="22"/>
  <c r="G447" i="22"/>
  <c r="G103" i="22"/>
  <c r="G149" i="22"/>
  <c r="G172" i="22"/>
  <c r="G135" i="22"/>
  <c r="G448" i="22"/>
  <c r="G347" i="22"/>
  <c r="G43" i="22"/>
  <c r="G346" i="22"/>
  <c r="G82" i="22"/>
  <c r="G335" i="22"/>
  <c r="G115" i="22"/>
  <c r="G176" i="22"/>
  <c r="G236" i="22"/>
  <c r="G336" i="22"/>
  <c r="G76" i="22"/>
  <c r="G231" i="22"/>
  <c r="G272" i="22"/>
  <c r="G382" i="22"/>
  <c r="G212" i="22"/>
  <c r="G34" i="22"/>
  <c r="G418" i="22"/>
  <c r="G240" i="22"/>
  <c r="G70" i="22"/>
  <c r="G296" i="22"/>
  <c r="G208" i="22"/>
  <c r="G367" i="22"/>
  <c r="G182" i="22"/>
  <c r="G446" i="22"/>
  <c r="G443" i="22"/>
  <c r="G421" i="22"/>
  <c r="G338" i="22"/>
  <c r="G107" i="22"/>
  <c r="G81" i="22"/>
  <c r="G117" i="22"/>
  <c r="G238" i="22"/>
  <c r="G32" i="22"/>
  <c r="G133" i="22"/>
  <c r="G453" i="22"/>
  <c r="G422" i="22"/>
  <c r="G451" i="22"/>
  <c r="G79" i="22"/>
  <c r="G282" i="22"/>
  <c r="G407" i="22"/>
  <c r="G67" i="22"/>
  <c r="G64" i="22"/>
  <c r="G174" i="22"/>
  <c r="G333" i="22"/>
  <c r="G341" i="22"/>
  <c r="G372" i="22"/>
  <c r="G371" i="22"/>
  <c r="G365" i="22"/>
  <c r="G309" i="22"/>
  <c r="G312" i="22"/>
  <c r="G385" i="22"/>
  <c r="G109" i="22"/>
  <c r="G39" i="22"/>
  <c r="G42" i="22"/>
  <c r="G36" i="22"/>
  <c r="G45" i="22"/>
  <c r="G230" i="22"/>
  <c r="G243" i="22"/>
  <c r="G204" i="22"/>
  <c r="G202" i="22"/>
  <c r="G411" i="22"/>
  <c r="G269" i="22"/>
  <c r="G274" i="22"/>
  <c r="G331" i="22"/>
  <c r="G376" i="22"/>
  <c r="G38" i="22"/>
  <c r="G30" i="22"/>
  <c r="G132" i="22"/>
  <c r="G438" i="22"/>
  <c r="G408" i="22"/>
  <c r="G450" i="22"/>
  <c r="G31" i="22"/>
  <c r="G147" i="22"/>
  <c r="G134" i="22"/>
  <c r="G170" i="22"/>
  <c r="G417" i="22"/>
  <c r="G173" i="22"/>
  <c r="G166" i="22"/>
  <c r="G454" i="22"/>
  <c r="G66" i="22"/>
  <c r="G265" i="22"/>
  <c r="G169" i="22"/>
  <c r="G449" i="22"/>
  <c r="G405" i="22"/>
  <c r="G75" i="22"/>
  <c r="G452" i="22"/>
  <c r="G340" i="22"/>
  <c r="G329" i="22"/>
  <c r="G373" i="22"/>
  <c r="G375" i="22"/>
  <c r="G377" i="22"/>
  <c r="G384" i="22"/>
  <c r="G310" i="22"/>
  <c r="G299" i="22"/>
  <c r="G102" i="22"/>
  <c r="G100" i="22"/>
  <c r="G44" i="22"/>
  <c r="G49" i="22"/>
  <c r="G349" i="22"/>
  <c r="G389" i="22"/>
  <c r="G232" i="22"/>
  <c r="G209" i="22"/>
  <c r="G199" i="22"/>
  <c r="G201" i="22"/>
  <c r="G266" i="22"/>
  <c r="G137" i="22"/>
  <c r="G141" i="22"/>
  <c r="G140" i="22"/>
  <c r="G436" i="22"/>
  <c r="G77" i="22"/>
  <c r="G171" i="22"/>
  <c r="G183" i="22"/>
  <c r="G180" i="22"/>
  <c r="G414" i="22"/>
  <c r="G73" i="22"/>
  <c r="G281" i="22"/>
  <c r="G178" i="22"/>
  <c r="G420" i="22"/>
  <c r="G276" i="22"/>
  <c r="G410" i="22"/>
  <c r="G332" i="22"/>
  <c r="G381" i="22"/>
  <c r="G364" i="22"/>
  <c r="G378" i="22"/>
  <c r="G304" i="22"/>
  <c r="G303" i="22"/>
  <c r="G306" i="22"/>
  <c r="G104" i="22"/>
  <c r="G99" i="22"/>
  <c r="G387" i="22"/>
  <c r="G48" i="22"/>
  <c r="G41" i="22"/>
  <c r="G350" i="22"/>
  <c r="G235" i="22"/>
  <c r="G244" i="22"/>
  <c r="G198" i="22"/>
  <c r="G200" i="22"/>
  <c r="G216" i="22"/>
  <c r="G215" i="22"/>
  <c r="G415" i="22"/>
  <c r="G268" i="22"/>
  <c r="G406" i="22"/>
  <c r="G455" i="22"/>
  <c r="G279" i="22"/>
  <c r="G278" i="22"/>
  <c r="G344" i="22"/>
  <c r="G380" i="22"/>
  <c r="G311" i="22"/>
  <c r="G348" i="22"/>
  <c r="G249" i="22"/>
  <c r="G207" i="22"/>
  <c r="G211" i="22"/>
  <c r="G143" i="22"/>
  <c r="G142" i="22"/>
  <c r="G275" i="22"/>
  <c r="G403" i="22"/>
  <c r="G72" i="22"/>
  <c r="G74" i="22"/>
  <c r="G80" i="22"/>
  <c r="G271" i="22"/>
  <c r="G264" i="22"/>
  <c r="G442" i="22"/>
  <c r="G267" i="22"/>
  <c r="G175" i="22"/>
  <c r="G280" i="22"/>
  <c r="G339" i="22"/>
  <c r="G366" i="22"/>
  <c r="G368" i="22"/>
  <c r="G305" i="22"/>
  <c r="G314" i="22"/>
  <c r="G308" i="22"/>
  <c r="G110" i="22"/>
  <c r="G40" i="22"/>
  <c r="G37" i="22"/>
  <c r="G114" i="22"/>
  <c r="G116" i="22"/>
  <c r="G241" i="22"/>
  <c r="G233" i="22"/>
  <c r="G247" i="22"/>
  <c r="G206" i="22"/>
  <c r="G210" i="22"/>
  <c r="G146" i="22"/>
  <c r="G145" i="22"/>
  <c r="G136" i="22"/>
  <c r="G444" i="22"/>
  <c r="G68" i="22"/>
  <c r="G437" i="22"/>
  <c r="G69" i="22"/>
  <c r="G412" i="22"/>
  <c r="G168" i="22"/>
  <c r="G440" i="22"/>
  <c r="G273" i="22"/>
  <c r="G78" i="22"/>
  <c r="G441" i="22"/>
  <c r="G419" i="22"/>
  <c r="G330" i="22"/>
  <c r="G334" i="22"/>
  <c r="G369" i="22"/>
  <c r="G370" i="22"/>
  <c r="G297" i="22"/>
  <c r="G298" i="22"/>
  <c r="G301" i="22"/>
  <c r="G105" i="22"/>
  <c r="G106" i="22"/>
  <c r="G113" i="22"/>
  <c r="G388" i="22"/>
  <c r="G84" i="22"/>
  <c r="G46" i="22"/>
  <c r="G242" i="22"/>
  <c r="G246" i="22"/>
  <c r="G239" i="22"/>
  <c r="G203" i="22"/>
  <c r="G213" i="22"/>
  <c r="G439" i="22"/>
  <c r="G315" i="22"/>
  <c r="G33" i="22"/>
  <c r="G138" i="22"/>
  <c r="G445" i="22"/>
  <c r="G345" i="22"/>
  <c r="G35" i="22"/>
  <c r="G144" i="22"/>
  <c r="G139" i="22"/>
  <c r="G150" i="22"/>
  <c r="G63" i="22"/>
  <c r="G404" i="22"/>
  <c r="G413" i="22"/>
  <c r="G177" i="22"/>
  <c r="G409" i="22"/>
  <c r="G416" i="22"/>
  <c r="G181" i="22"/>
  <c r="G277" i="22"/>
  <c r="G65" i="22"/>
  <c r="G71" i="22"/>
  <c r="G179" i="22"/>
  <c r="G343" i="22"/>
  <c r="G342" i="22"/>
  <c r="G337" i="22"/>
  <c r="G379" i="22"/>
  <c r="G374" i="22"/>
  <c r="G383" i="22"/>
  <c r="G307" i="22"/>
  <c r="G300" i="22"/>
  <c r="G108" i="22"/>
  <c r="G111" i="22"/>
  <c r="G386" i="22"/>
  <c r="G83" i="22"/>
  <c r="G47" i="22"/>
  <c r="G112" i="22"/>
  <c r="G248" i="22"/>
  <c r="G245" i="22"/>
  <c r="G234" i="22"/>
  <c r="G214" i="22"/>
  <c r="G205" i="22"/>
  <c r="G237" i="22"/>
  <c r="D57" i="9"/>
  <c r="F35" i="23"/>
  <c r="E35" i="23"/>
  <c r="D35" i="23"/>
  <c r="D39" i="23" s="1"/>
  <c r="L33" i="3"/>
  <c r="Q33" i="3" s="1"/>
  <c r="E175" i="13"/>
  <c r="E215" i="13"/>
  <c r="E173" i="13"/>
  <c r="E126" i="13"/>
  <c r="E128" i="13"/>
  <c r="N20" i="18"/>
  <c r="E112" i="9" s="1"/>
  <c r="O32" i="3"/>
  <c r="M44" i="3"/>
  <c r="O44" i="3" s="1"/>
  <c r="M27" i="24"/>
  <c r="D32" i="23" s="1"/>
  <c r="D33" i="23" s="1"/>
  <c r="O43" i="3"/>
  <c r="N43" i="3"/>
  <c r="Q43" i="3"/>
  <c r="R43" i="3" s="1"/>
  <c r="Q45" i="3"/>
  <c r="R47" i="3"/>
  <c r="R52" i="3"/>
  <c r="R50" i="3"/>
  <c r="R51" i="3"/>
  <c r="O45" i="3"/>
  <c r="N33" i="3"/>
  <c r="O33" i="3"/>
  <c r="R53" i="3"/>
  <c r="K32" i="3"/>
  <c r="L32" i="3"/>
  <c r="Q32" i="3" s="1"/>
  <c r="R54" i="3"/>
  <c r="K22" i="3"/>
  <c r="L22" i="3"/>
  <c r="R46" i="3"/>
  <c r="R48" i="3"/>
  <c r="N47" i="13"/>
  <c r="N48" i="13"/>
  <c r="N59" i="13"/>
  <c r="N61" i="13"/>
  <c r="N64" i="13"/>
  <c r="N62" i="13"/>
  <c r="N46" i="13"/>
  <c r="N52" i="13"/>
  <c r="N53" i="13"/>
  <c r="N60" i="13"/>
  <c r="N54" i="13"/>
  <c r="N55" i="13"/>
  <c r="N45" i="13"/>
  <c r="N44" i="13"/>
  <c r="N43" i="13"/>
  <c r="N37" i="13"/>
  <c r="N39" i="13"/>
  <c r="N38" i="13"/>
  <c r="AI16" i="6"/>
  <c r="O152" i="13"/>
  <c r="K254" i="13"/>
  <c r="O197" i="13"/>
  <c r="P44" i="13"/>
  <c r="L264" i="13"/>
  <c r="O63" i="13"/>
  <c r="O70" i="13"/>
  <c r="L262" i="13"/>
  <c r="L258" i="13"/>
  <c r="L253" i="13"/>
  <c r="O154" i="13"/>
  <c r="K246" i="13"/>
  <c r="K261" i="13"/>
  <c r="K264" i="13"/>
  <c r="P45" i="13"/>
  <c r="O107" i="13"/>
  <c r="K251" i="13"/>
  <c r="O155" i="13"/>
  <c r="L242" i="13"/>
  <c r="L246" i="13"/>
  <c r="L241" i="13"/>
  <c r="K247" i="13"/>
  <c r="O51" i="13"/>
  <c r="O40" i="13"/>
  <c r="K240" i="13"/>
  <c r="O105" i="13"/>
  <c r="K257" i="13"/>
  <c r="O151" i="13"/>
  <c r="L247" i="13"/>
  <c r="O36" i="13"/>
  <c r="O109" i="13"/>
  <c r="K250" i="13"/>
  <c r="L255" i="13"/>
  <c r="O112" i="13"/>
  <c r="L256" i="13"/>
  <c r="L250" i="13"/>
  <c r="K259" i="13"/>
  <c r="L239" i="13"/>
  <c r="O150" i="13"/>
  <c r="O158" i="13"/>
  <c r="O106" i="13"/>
  <c r="O57" i="13"/>
  <c r="O202" i="13"/>
  <c r="L245" i="13"/>
  <c r="L249" i="13"/>
  <c r="O156" i="13"/>
  <c r="P47" i="13"/>
  <c r="O110" i="13"/>
  <c r="K248" i="13"/>
  <c r="O66" i="13"/>
  <c r="O203" i="13"/>
  <c r="K244" i="13"/>
  <c r="P52" i="13"/>
  <c r="O41" i="13"/>
  <c r="K243" i="13"/>
  <c r="L240" i="13"/>
  <c r="L260" i="13"/>
  <c r="P59" i="13"/>
  <c r="K262" i="13"/>
  <c r="L248" i="13"/>
  <c r="O205" i="13"/>
  <c r="L244" i="13"/>
  <c r="O157" i="13"/>
  <c r="L261" i="13"/>
  <c r="K241" i="13"/>
  <c r="K252" i="13"/>
  <c r="O58" i="13"/>
  <c r="K260" i="13"/>
  <c r="O103" i="13"/>
  <c r="K255" i="13"/>
  <c r="O108" i="13"/>
  <c r="K253" i="13"/>
  <c r="K245" i="13"/>
  <c r="P55" i="13"/>
  <c r="K256" i="13"/>
  <c r="L251" i="13"/>
  <c r="P64" i="13"/>
  <c r="O153" i="13"/>
  <c r="P61" i="13"/>
  <c r="O49" i="13"/>
  <c r="O159" i="13"/>
  <c r="O198" i="13"/>
  <c r="O50" i="13"/>
  <c r="L257" i="13"/>
  <c r="L259" i="13"/>
  <c r="K239" i="13"/>
  <c r="K263" i="13"/>
  <c r="L254" i="13"/>
  <c r="O111" i="13"/>
  <c r="O204" i="13"/>
  <c r="K249" i="13"/>
  <c r="O206" i="13"/>
  <c r="O42" i="13"/>
  <c r="K258" i="13"/>
  <c r="O56" i="13"/>
  <c r="O200" i="13"/>
  <c r="L252" i="13"/>
  <c r="O71" i="13"/>
  <c r="O199" i="13"/>
  <c r="O104" i="13"/>
  <c r="O65" i="13"/>
  <c r="L243" i="13"/>
  <c r="O201" i="13"/>
  <c r="P48" i="13"/>
  <c r="K242" i="13"/>
  <c r="L263" i="13"/>
  <c r="G164" i="22" l="1"/>
  <c r="G263" i="22"/>
  <c r="G197" i="22"/>
  <c r="G131" i="22"/>
  <c r="G98" i="22"/>
  <c r="G90" i="22" s="1"/>
  <c r="G428" i="22"/>
  <c r="G123" i="22"/>
  <c r="G222" i="22"/>
  <c r="G26" i="22"/>
  <c r="D17" i="22" s="1"/>
  <c r="D97" i="9" s="1"/>
  <c r="D99" i="9" s="1"/>
  <c r="G156" i="22"/>
  <c r="G189" i="22"/>
  <c r="G356" i="22"/>
  <c r="G321" i="22"/>
  <c r="G55" i="22"/>
  <c r="G395" i="22"/>
  <c r="G255" i="22"/>
  <c r="G288" i="22"/>
  <c r="E57" i="9"/>
  <c r="E9" i="13"/>
  <c r="H16" i="12" s="1"/>
  <c r="E11" i="13"/>
  <c r="D8" i="11" s="1"/>
  <c r="F8" i="11" s="1"/>
  <c r="D47" i="23"/>
  <c r="D45" i="23"/>
  <c r="AK16" i="6"/>
  <c r="AL16" i="6" s="1"/>
  <c r="E174" i="13"/>
  <c r="E216" i="13"/>
  <c r="E127" i="13"/>
  <c r="E79" i="13"/>
  <c r="E81" i="13"/>
  <c r="Q44" i="3"/>
  <c r="N44" i="3"/>
  <c r="M21" i="3"/>
  <c r="M22" i="3"/>
  <c r="N22" i="3" s="1"/>
  <c r="M55" i="3"/>
  <c r="Q55" i="3" s="1"/>
  <c r="R55" i="3" s="1"/>
  <c r="R45" i="3"/>
  <c r="R33" i="3"/>
  <c r="R32" i="3"/>
  <c r="N259" i="13"/>
  <c r="N261" i="13"/>
  <c r="N251" i="13"/>
  <c r="N249" i="13"/>
  <c r="N253" i="13"/>
  <c r="N244" i="13"/>
  <c r="N241" i="13"/>
  <c r="N240" i="13"/>
  <c r="N242" i="13"/>
  <c r="N263" i="13"/>
  <c r="N239" i="13"/>
  <c r="N257" i="13"/>
  <c r="N254" i="13"/>
  <c r="N248" i="13"/>
  <c r="N260" i="13"/>
  <c r="N243" i="13"/>
  <c r="N252" i="13"/>
  <c r="N258" i="13"/>
  <c r="N264" i="13"/>
  <c r="N256" i="13"/>
  <c r="N262" i="13"/>
  <c r="N250" i="13"/>
  <c r="N247" i="13"/>
  <c r="N245" i="13"/>
  <c r="N255" i="13"/>
  <c r="N246" i="13"/>
  <c r="O60" i="13"/>
  <c r="P243" i="13"/>
  <c r="O54" i="13"/>
  <c r="O260" i="13"/>
  <c r="O259" i="13"/>
  <c r="P256" i="13"/>
  <c r="P241" i="13"/>
  <c r="P258" i="13"/>
  <c r="O55" i="13"/>
  <c r="O264" i="13"/>
  <c r="O255" i="13"/>
  <c r="O249" i="13"/>
  <c r="P260" i="13"/>
  <c r="P252" i="13"/>
  <c r="P245" i="13"/>
  <c r="O253" i="13"/>
  <c r="O240" i="13"/>
  <c r="O53" i="13"/>
  <c r="P240" i="13"/>
  <c r="O43" i="13"/>
  <c r="O251" i="13"/>
  <c r="P264" i="13"/>
  <c r="P255" i="13"/>
  <c r="O44" i="13"/>
  <c r="O37" i="13"/>
  <c r="O59" i="13"/>
  <c r="O242" i="13"/>
  <c r="O52" i="13"/>
  <c r="O250" i="13"/>
  <c r="O257" i="13"/>
  <c r="P248" i="13"/>
  <c r="O248" i="13"/>
  <c r="O258" i="13"/>
  <c r="P262" i="13"/>
  <c r="O47" i="13"/>
  <c r="O45" i="13"/>
  <c r="O262" i="13"/>
  <c r="P257" i="13"/>
  <c r="P244" i="13"/>
  <c r="P254" i="13"/>
  <c r="P251" i="13"/>
  <c r="O243" i="13"/>
  <c r="P246" i="13"/>
  <c r="O246" i="13"/>
  <c r="O39" i="13"/>
  <c r="O247" i="13"/>
  <c r="P263" i="13"/>
  <c r="P242" i="13"/>
  <c r="P249" i="13"/>
  <c r="O241" i="13"/>
  <c r="P253" i="13"/>
  <c r="P261" i="13"/>
  <c r="O254" i="13"/>
  <c r="P250" i="13"/>
  <c r="P247" i="13"/>
  <c r="P259" i="13"/>
  <c r="P239" i="13"/>
  <c r="O64" i="13"/>
  <c r="O252" i="13"/>
  <c r="O48" i="13"/>
  <c r="O46" i="13"/>
  <c r="O62" i="13"/>
  <c r="O38" i="13"/>
  <c r="O61" i="13"/>
  <c r="O245" i="13"/>
  <c r="O263" i="13"/>
  <c r="O261" i="13"/>
  <c r="O256" i="13"/>
  <c r="O244" i="13"/>
  <c r="D23" i="9" l="1"/>
  <c r="E23" i="9"/>
  <c r="E97" i="9"/>
  <c r="E99" i="9" s="1"/>
  <c r="E100" i="9" s="1"/>
  <c r="E101" i="9" s="1"/>
  <c r="E128" i="9"/>
  <c r="D128" i="9"/>
  <c r="E73" i="9"/>
  <c r="D73" i="9"/>
  <c r="E36" i="9"/>
  <c r="E284" i="13"/>
  <c r="E282" i="13"/>
  <c r="H24" i="12"/>
  <c r="H22" i="12"/>
  <c r="H15" i="12"/>
  <c r="H26" i="12"/>
  <c r="H8" i="12"/>
  <c r="H21" i="12"/>
  <c r="H23" i="12"/>
  <c r="H13" i="12"/>
  <c r="H11" i="12"/>
  <c r="H14" i="12"/>
  <c r="H25" i="12"/>
  <c r="H12" i="12"/>
  <c r="H17" i="12"/>
  <c r="H23" i="11" s="1"/>
  <c r="H10" i="12"/>
  <c r="H29" i="12"/>
  <c r="E10" i="13"/>
  <c r="D9" i="12" s="1"/>
  <c r="H9" i="12" s="1"/>
  <c r="D9" i="11"/>
  <c r="H11" i="11" s="1"/>
  <c r="H14" i="11" s="1"/>
  <c r="E8" i="11"/>
  <c r="D36" i="9"/>
  <c r="E80" i="13"/>
  <c r="R44" i="3"/>
  <c r="O21" i="3"/>
  <c r="N21" i="3"/>
  <c r="Q21" i="3"/>
  <c r="N55" i="3"/>
  <c r="O55" i="3"/>
  <c r="O22" i="3"/>
  <c r="Q22" i="3"/>
  <c r="O239" i="13"/>
  <c r="E102" i="9" l="1"/>
  <c r="E51" i="9"/>
  <c r="D106" i="9"/>
  <c r="E106" i="9"/>
  <c r="D100" i="9"/>
  <c r="D101" i="9" s="1"/>
  <c r="D51" i="9"/>
  <c r="E283" i="13"/>
  <c r="H15" i="11"/>
  <c r="Q14" i="3"/>
  <c r="D111" i="9" s="1"/>
  <c r="R21" i="3"/>
  <c r="R22" i="3"/>
  <c r="D56" i="9" l="1"/>
  <c r="E22" i="9"/>
  <c r="E25" i="9" s="1"/>
  <c r="E29" i="9" s="1"/>
  <c r="E30" i="9" s="1"/>
  <c r="E21" i="9"/>
  <c r="E24" i="9" s="1"/>
  <c r="D22" i="9"/>
  <c r="D25" i="9" s="1"/>
  <c r="D21" i="9"/>
  <c r="D24" i="9" s="1"/>
  <c r="R14" i="3"/>
  <c r="E56" i="9" l="1"/>
  <c r="E111" i="9"/>
  <c r="E31" i="9"/>
  <c r="E32" i="9" s="1"/>
  <c r="E34" i="9" s="1"/>
  <c r="E37" i="9" s="1"/>
  <c r="D29" i="9" l="1"/>
  <c r="D30" i="9" s="1"/>
  <c r="D31" i="9" s="1"/>
  <c r="I23" i="11" l="1"/>
  <c r="D18" i="12"/>
  <c r="H18" i="12" s="1"/>
  <c r="D32" i="9" l="1"/>
  <c r="D34" i="9" s="1"/>
  <c r="D37" i="9" s="1"/>
  <c r="F9" i="12"/>
  <c r="E9" i="12"/>
  <c r="D28" i="12"/>
  <c r="H28" i="12" s="1"/>
  <c r="E105" i="9" l="1"/>
  <c r="E107" i="9" s="1"/>
  <c r="D105" i="9"/>
  <c r="D107" i="9" s="1"/>
  <c r="D50" i="9"/>
  <c r="E50" i="9"/>
  <c r="H22" i="11"/>
  <c r="H16" i="11"/>
  <c r="H17" i="11" s="1"/>
  <c r="H21" i="11"/>
  <c r="D30" i="12"/>
  <c r="H30" i="12" s="1"/>
  <c r="D67" i="9" l="1"/>
  <c r="E122" i="9"/>
  <c r="D122" i="9"/>
  <c r="E67" i="9"/>
  <c r="D102" i="9"/>
  <c r="D52" i="9"/>
  <c r="E52" i="9"/>
  <c r="I22" i="11" l="1"/>
  <c r="I21" i="11"/>
  <c r="I16" i="11"/>
  <c r="I17" i="11" l="1"/>
  <c r="I11" i="11" l="1"/>
  <c r="I15" i="11"/>
  <c r="I14" i="11" l="1"/>
  <c r="H18" i="11"/>
  <c r="E58" i="9" l="1"/>
  <c r="E113" i="9"/>
  <c r="D113" i="9"/>
  <c r="I18" i="11"/>
  <c r="D58" i="9"/>
  <c r="H28" i="11"/>
  <c r="H24" i="11"/>
  <c r="I24" i="11" l="1"/>
  <c r="H25" i="11"/>
  <c r="I28" i="11"/>
  <c r="E115" i="9" l="1"/>
  <c r="D115" i="9"/>
  <c r="D60" i="9"/>
  <c r="E60" i="9"/>
  <c r="I25" i="11"/>
  <c r="H30" i="11"/>
  <c r="I30" i="11" s="1"/>
  <c r="H29" i="11"/>
  <c r="I29" i="11" s="1"/>
  <c r="H31" i="11" l="1"/>
  <c r="D117" i="9" l="1"/>
  <c r="D118" i="9" s="1"/>
  <c r="E117" i="9"/>
  <c r="E118" i="9" s="1"/>
  <c r="D62" i="9"/>
  <c r="E62" i="9"/>
  <c r="I31" i="11"/>
  <c r="E63" i="9" l="1"/>
  <c r="D63" i="9"/>
  <c r="E123" i="9" l="1"/>
  <c r="E124" i="9" s="1"/>
  <c r="E126" i="9" s="1"/>
  <c r="D123" i="9"/>
  <c r="D124" i="9" s="1"/>
  <c r="E68" i="9"/>
  <c r="E69" i="9" s="1"/>
  <c r="D68" i="9"/>
  <c r="D69" i="9" s="1"/>
  <c r="D126" i="9" l="1"/>
  <c r="D129" i="9" s="1"/>
  <c r="E129" i="9"/>
  <c r="E71" i="9"/>
  <c r="E74" i="9" s="1"/>
  <c r="D71" i="9"/>
  <c r="D74"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G36" authorId="0" shapeId="0" xr:uid="{00000000-0006-0000-0000-000001000000}">
      <text>
        <r>
          <rPr>
            <sz val="9"/>
            <color rgb="FF000000"/>
            <rFont val="Calibri"/>
            <family val="2"/>
          </rPr>
          <t>An input that accepts a text string or numeric value - if numeric, the units will be noted to the right side of the cell.</t>
        </r>
      </text>
    </comment>
    <comment ref="G37" authorId="0" shapeId="0" xr:uid="{97C0985D-F2A3-4F46-8066-A8A5B8A70463}">
      <text>
        <r>
          <rPr>
            <sz val="9"/>
            <color rgb="FF000000"/>
            <rFont val="Calibri"/>
            <family val="2"/>
          </rPr>
          <t>An input that accepts a text string or numeric value - if numeric, the units will be noted to the right side of the cell.</t>
        </r>
      </text>
    </comment>
    <comment ref="G39" authorId="0" shapeId="0" xr:uid="{00000000-0006-0000-0000-000003000000}">
      <text>
        <r>
          <rPr>
            <sz val="9"/>
            <color rgb="FF000000"/>
            <rFont val="Calibri"/>
            <family val="2"/>
          </rPr>
          <t>To use the drop-down cells, click on the cell and then use the drop-down icon that appears to the right of the cell to complete entry.</t>
        </r>
      </text>
    </comment>
    <comment ref="G40" authorId="0" shapeId="0" xr:uid="{00000000-0006-0000-0000-000004000000}">
      <text>
        <r>
          <rPr>
            <sz val="9"/>
            <color rgb="FF000000"/>
            <rFont val="Calibri"/>
            <family val="2"/>
          </rPr>
          <t>To use the drop-down cells, click on the cell and then use the drop-down icon that appears to the right of the cell to complete entry.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F9" authorId="0" shapeId="0" xr:uid="{0B04DB60-300F-2A46-8442-EF28C26F5D2F}">
      <text>
        <r>
          <rPr>
            <sz val="9"/>
            <color rgb="FF000000"/>
            <rFont val="Calibri"/>
            <family val="2"/>
          </rPr>
          <t>For scaling equipment, materials, and other purchase prices to a common time basis. The years 1984-2019 are allowed in v1.1.0. The user is cautioned against using the built-in cost indices for long time translations without spot checking.</t>
        </r>
      </text>
    </comment>
    <comment ref="F10" authorId="0" shapeId="0" xr:uid="{AB59FB6C-47A6-D745-A3F3-7371AE1436BB}">
      <text>
        <r>
          <rPr>
            <sz val="9"/>
            <color rgb="FF000000"/>
            <rFont val="Calibri"/>
            <family val="2"/>
          </rPr>
          <t>This cell is provided for forward compatibility. At present, CatCost uses only US Dollars.</t>
        </r>
      </text>
    </comment>
    <comment ref="F14" authorId="0" shapeId="0" xr:uid="{00000000-0006-0000-0100-000001000000}">
      <text>
        <r>
          <rPr>
            <sz val="9"/>
            <color rgb="FF000000"/>
            <rFont val="Calibri"/>
            <family val="2"/>
          </rPr>
          <t>The output mass unit is used throughout the model for consistency. It is best to set it before completing the rest of an estimate and to leave it unchanged thereafter. Changing this value after completing other model inputs will change the interpretation of your numerical entries on this sheet and in later modules, so please double-check when adjusting it.</t>
        </r>
      </text>
    </comment>
    <comment ref="P29" authorId="0" shapeId="0" xr:uid="{6CF90BF5-6A57-4C4A-A81C-2BDE5BC47CF5}">
      <text>
        <r>
          <rPr>
            <sz val="9"/>
            <color rgb="FF000000"/>
            <rFont val="Calibri"/>
            <family val="2"/>
          </rPr>
          <t xml:space="preserve">General and Administrative (G&amp;A) costs.
</t>
        </r>
        <r>
          <rPr>
            <sz val="9"/>
            <color rgb="FF000000"/>
            <rFont val="Calibri"/>
            <family val="2"/>
          </rPr>
          <t xml:space="preserve">
</t>
        </r>
        <r>
          <rPr>
            <sz val="9"/>
            <color rgb="FF000000"/>
            <rFont val="Calibri"/>
            <family val="2"/>
          </rPr>
          <t>Raw materials and synthesis step costs are first added together as a subtotal. Then G&amp;A costs are calculated as as X% of this subtotal.</t>
        </r>
      </text>
    </comment>
    <comment ref="P30" authorId="0" shapeId="0" xr:uid="{A0EB10D9-D472-4541-BE5A-4FF0E7A4FE1B}">
      <text>
        <r>
          <rPr>
            <sz val="9"/>
            <color rgb="FF000000"/>
            <rFont val="Calibri"/>
            <family val="2"/>
          </rPr>
          <t xml:space="preserve">Sales, Administrative, Research and Distribution (SARD) costs.
</t>
        </r>
        <r>
          <rPr>
            <sz val="9"/>
            <color rgb="FF000000"/>
            <rFont val="Calibri"/>
            <family val="2"/>
          </rPr>
          <t xml:space="preserve">
</t>
        </r>
        <r>
          <rPr>
            <sz val="9"/>
            <color rgb="FF000000"/>
            <rFont val="Calibri"/>
            <family val="2"/>
          </rPr>
          <t>Raw materials and synthesis step costs are first added together as a subtotal and G&amp;A is added. Then SARD costs are calculated as as X% of [subtotal + G&amp;A].</t>
        </r>
      </text>
    </comment>
    <comment ref="P31" authorId="0" shapeId="0" xr:uid="{0A51C708-806F-2242-B5AD-08FD26326A11}">
      <text>
        <r>
          <rPr>
            <sz val="9"/>
            <color rgb="FF000000"/>
            <rFont val="Calibri"/>
            <family val="2"/>
          </rPr>
          <t xml:space="preserve">Selling margin as a percentage of pre-margin costs via a formula from industry data. E.g. at the 2-ton scale, the margin value is 50%, which is 33% of selling price.
</t>
        </r>
        <r>
          <rPr>
            <sz val="9"/>
            <color rgb="FF000000"/>
            <rFont val="Calibri"/>
            <family val="2"/>
          </rPr>
          <t xml:space="preserve">
</t>
        </r>
        <r>
          <rPr>
            <sz val="9"/>
            <color rgb="FF000000"/>
            <rFont val="Calibri"/>
            <family val="2"/>
          </rPr>
          <t>Raw materials and synthesis step costs are first added together as a subtotal and G&amp;A and SARD are added. Then the selling margin is calculated as as X% of [subtotal + G&amp;A + SARD].</t>
        </r>
      </text>
    </comment>
    <comment ref="P37" authorId="0" shapeId="0" xr:uid="{00000000-0006-0000-0100-000002000000}">
      <text>
        <r>
          <rPr>
            <sz val="9"/>
            <color rgb="FF000000"/>
            <rFont val="Calibri"/>
            <family val="2"/>
          </rPr>
          <t>This is the annual production that will be used to determine capital investment.</t>
        </r>
      </text>
    </comment>
    <comment ref="P38" authorId="0" shapeId="0" xr:uid="{00000000-0006-0000-0100-000003000000}">
      <text>
        <r>
          <rPr>
            <sz val="9"/>
            <color rgb="FF000000"/>
            <rFont val="Calibri"/>
            <family val="2"/>
          </rPr>
          <t>This factor accounts for major production problems, weak product demand, higher-than-expected productivity, or other unexpected events that reduce (or increase) the actual production of the plant relative to the pre-construction plant design. Materials usage scales with this number, but capital expenditure does not. Ordinary maintenance, both planned and unplanned, is accounted for by the stream factor, below.</t>
        </r>
      </text>
    </comment>
    <comment ref="P39" authorId="0" shapeId="0" xr:uid="{00000000-0006-0000-0100-000004000000}">
      <text>
        <r>
          <rPr>
            <sz val="9"/>
            <color rgb="FF000000"/>
            <rFont val="Calibri"/>
            <family val="2"/>
          </rPr>
          <t>Production capacity reduced by capacity factor.</t>
        </r>
      </text>
    </comment>
    <comment ref="P42" authorId="0" shapeId="0" xr:uid="{00000000-0006-0000-0100-000005000000}">
      <text>
        <r>
          <rPr>
            <sz val="9"/>
            <color rgb="FF000000"/>
            <rFont val="Calibri"/>
            <family val="2"/>
          </rPr>
          <t>Reduce this from 8760 hours only if a less-than-24/7/365 workforce is expected (e.g. two-shift operation or a scheduled annual shutdown period with minimal staffing). To account for maintenance, use the stream factor.</t>
        </r>
      </text>
    </comment>
    <comment ref="P43" authorId="0" shapeId="0" xr:uid="{00000000-0006-0000-0100-000006000000}">
      <text>
        <r>
          <rPr>
            <sz val="9"/>
            <color rgb="FF000000"/>
            <rFont val="Calibri"/>
            <family val="2"/>
          </rPr>
          <t>This factor (also called a "stream factor") accounts for maintenance downtime as estimated in pre-construction design and is equal to the fraction of operating hours in which catalyst is actually produced. Labor is not curtailed during downtime because operators are assumed to participate in maintenance.</t>
        </r>
      </text>
    </comment>
    <comment ref="P44" authorId="0" shapeId="0" xr:uid="{00000000-0006-0000-0100-000007000000}">
      <text>
        <r>
          <rPr>
            <sz val="9"/>
            <color rgb="FF000000"/>
            <rFont val="Calibri"/>
            <family val="2"/>
          </rPr>
          <t xml:space="preserve">The number of hours in which catalyst is actually produced. </t>
        </r>
      </text>
    </comment>
    <comment ref="P45" authorId="0" shapeId="0" xr:uid="{00000000-0006-0000-0100-000008000000}">
      <text>
        <r>
          <rPr>
            <sz val="9"/>
            <color rgb="FF000000"/>
            <rFont val="Calibri"/>
            <family val="2"/>
          </rPr>
          <t>This rate, based upon "Operating Hours (Production) and "Design Production, Annual,"  is used to scale CatCost-supplied process templates and user-entered equipment.</t>
        </r>
      </text>
    </comment>
    <comment ref="P48" authorId="0" shapeId="0" xr:uid="{BB9C01AB-AA37-6B41-9E2B-73FD47FA334C}">
      <text>
        <r>
          <rPr>
            <sz val="9"/>
            <color rgb="FF000000"/>
            <rFont val="Calibri"/>
            <family val="2"/>
          </rPr>
          <t>Straight-line depreciation is assumed without detailed tax, profitability, or discounted cash-flow analysis, i.e. capital costs are divided over the total output of the plant (Actual Production, Annual X Plant Life) over this lifetime. This simplified approach is consistent with many preliminary estimation approaches published elsewhere.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I6" authorId="0" shapeId="0" xr:uid="{00000000-0006-0000-0200-000001000000}">
      <text>
        <r>
          <rPr>
            <sz val="9"/>
            <color rgb="FF000000"/>
            <rFont val="Calibri"/>
            <family val="2"/>
          </rPr>
          <t>For "% Yield" enter the yield to finished catalyst powder (AP+support) from the metal precursor(s) - generally this is equivalent to the % yield of AP production because supporting steps are commonly quantitative. For "AP Mass" enter the actual mass obtained of active phase. For "Catalyst Mass" enter the actual mass obtained of finished catalyst powder (AP+support).</t>
        </r>
      </text>
    </comment>
    <comment ref="I8" authorId="0" shapeId="0" xr:uid="{00000000-0006-0000-0200-000002000000}">
      <text>
        <r>
          <rPr>
            <sz val="9"/>
            <color rgb="FF000000"/>
            <rFont val="Calibri"/>
            <family val="2"/>
          </rPr>
          <t>How many moles of active phase (AP) are produced per mole of metal precursor(s)? For Ni2P produced from Ni(acac)2, for example, this ratio would be 0.5. Not used when "AP Mass" or "Catalyst Mass" is selected above.</t>
        </r>
      </text>
    </comment>
    <comment ref="I9" authorId="0" shapeId="0" xr:uid="{00000000-0006-0000-0200-000003000000}">
      <text>
        <r>
          <rPr>
            <sz val="9"/>
            <color rgb="FF000000"/>
            <rFont val="Calibri"/>
            <family val="2"/>
          </rPr>
          <t>Not used when "AP Mass" or "Catalyst Mass" is selected above.</t>
        </r>
      </text>
    </comment>
    <comment ref="I10" authorId="0" shapeId="0" xr:uid="{00000000-0006-0000-0200-000004000000}">
      <text>
        <r>
          <rPr>
            <sz val="9"/>
            <color rgb="FF000000"/>
            <rFont val="Calibri"/>
            <family val="2"/>
          </rPr>
          <t xml:space="preserve">Weight percent of active phase in finished catalyst powder.
</t>
        </r>
        <r>
          <rPr>
            <sz val="9"/>
            <color rgb="FF000000"/>
            <rFont val="Calibri"/>
            <family val="2"/>
          </rPr>
          <t>Note: many calculations in CatCost depend on AP Weight Percent, so if changing AP Weight Percent or running sensitivity analysis on it, it is wise to check calculations on this sheet, on 3b Equipment and 3c Utilities, if applicable, and on 4 Spent Catalyst.</t>
        </r>
      </text>
    </comment>
    <comment ref="I14" authorId="0" shapeId="0" xr:uid="{00000000-0006-0000-0200-000005000000}">
      <text>
        <r>
          <rPr>
            <sz val="9"/>
            <color rgb="FF000000"/>
            <rFont val="Calibri"/>
            <family val="2"/>
          </rPr>
          <t>In an industrial setting, inevitable losses during material handling mean that slightly more material must be purchased than actually is used in the process.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E29" authorId="0" shapeId="0" xr:uid="{332C314E-90DA-204C-ACD9-D3CB709970C7}">
      <text>
        <r>
          <rPr>
            <sz val="10"/>
            <color rgb="FF000000"/>
            <rFont val="Tahoma"/>
            <family val="2"/>
          </rPr>
          <t>All costs escalated from a mid-2017 basis to the current CatCost basis year entered on '1 Inputs'</t>
        </r>
      </text>
    </comment>
    <comment ref="E62" authorId="0" shapeId="0" xr:uid="{10990C70-DB4D-074E-A94D-7BB1AA6BEF6D}">
      <text>
        <r>
          <rPr>
            <sz val="10"/>
            <color rgb="FF000000"/>
            <rFont val="Tahoma"/>
            <family val="2"/>
          </rPr>
          <t>All costs escalated from a mid-2017 basis to the current CatCost basis year entered on '1 Inputs'</t>
        </r>
      </text>
    </comment>
    <comment ref="E97" authorId="0" shapeId="0" xr:uid="{3CA37E19-0272-5642-89D6-33EAA7478B34}">
      <text>
        <r>
          <rPr>
            <sz val="10"/>
            <color rgb="FF000000"/>
            <rFont val="Tahoma"/>
            <family val="2"/>
          </rPr>
          <t>All costs escalated from a mid-2017 basis to the current CatCost basis year entered on '1 Inputs'</t>
        </r>
      </text>
    </comment>
    <comment ref="E130" authorId="0" shapeId="0" xr:uid="{6533EEB1-51B2-194F-A74F-94E5A32346B6}">
      <text>
        <r>
          <rPr>
            <sz val="10"/>
            <color rgb="FF000000"/>
            <rFont val="Tahoma"/>
            <family val="2"/>
          </rPr>
          <t>All costs escalated from a mid-2017 basis to the current CatCost basis year entered on '1 Inputs'</t>
        </r>
      </text>
    </comment>
    <comment ref="E163" authorId="0" shapeId="0" xr:uid="{2A8A1BE4-5312-3648-A1C9-C597EAD7C562}">
      <text>
        <r>
          <rPr>
            <sz val="10"/>
            <color rgb="FF000000"/>
            <rFont val="Tahoma"/>
            <family val="2"/>
          </rPr>
          <t>All costs escalated from a mid-2017 basis to the current CatCost basis year entered on '1 Inputs'</t>
        </r>
      </text>
    </comment>
    <comment ref="E196" authorId="0" shapeId="0" xr:uid="{5FB8B9EB-1682-5B42-A6B2-DDA917DBE396}">
      <text>
        <r>
          <rPr>
            <sz val="10"/>
            <color rgb="FF000000"/>
            <rFont val="Tahoma"/>
            <family val="2"/>
          </rPr>
          <t>All costs escalated from a mid-2017 basis to the current CatCost basis year entered on '1 Inputs'</t>
        </r>
      </text>
    </comment>
    <comment ref="E229" authorId="0" shapeId="0" xr:uid="{87CEBDEC-A5F6-F043-8A54-921B9EFEB436}">
      <text>
        <r>
          <rPr>
            <sz val="10"/>
            <color rgb="FF000000"/>
            <rFont val="Tahoma"/>
            <family val="2"/>
          </rPr>
          <t>All costs escalated from a mid-2017 basis to the current CatCost basis year entered on '1 Inputs'</t>
        </r>
      </text>
    </comment>
    <comment ref="E262" authorId="0" shapeId="0" xr:uid="{109D6E70-1E33-0B4B-960C-6894A9F029FD}">
      <text>
        <r>
          <rPr>
            <sz val="10"/>
            <color rgb="FF000000"/>
            <rFont val="Tahoma"/>
            <family val="2"/>
          </rPr>
          <t>All costs escalated from a mid-2017 basis to the current CatCost basis year entered on '1 Inputs'</t>
        </r>
      </text>
    </comment>
    <comment ref="E295" authorId="0" shapeId="0" xr:uid="{227226BE-4313-394F-8AB3-04B345781633}">
      <text>
        <r>
          <rPr>
            <sz val="10"/>
            <color rgb="FF000000"/>
            <rFont val="Tahoma"/>
            <family val="2"/>
          </rPr>
          <t>All costs escalated from a mid-2017 basis to the current CatCost basis year entered on '1 Inputs'</t>
        </r>
      </text>
    </comment>
    <comment ref="E328" authorId="0" shapeId="0" xr:uid="{FBAC6C48-F515-8B43-8D1C-26AD94F995E6}">
      <text>
        <r>
          <rPr>
            <sz val="10"/>
            <color rgb="FF000000"/>
            <rFont val="Tahoma"/>
            <family val="2"/>
          </rPr>
          <t>All costs escalated from a mid-2017 basis to the current CatCost basis year entered on '1 Inputs'</t>
        </r>
      </text>
    </comment>
    <comment ref="E363" authorId="0" shapeId="0" xr:uid="{EAC3FDF7-24FC-5547-A66B-031484F5936F}">
      <text>
        <r>
          <rPr>
            <sz val="10"/>
            <color rgb="FF000000"/>
            <rFont val="Tahoma"/>
            <family val="2"/>
          </rPr>
          <t>All costs escalated from a mid-2017 basis to the current CatCost basis year entered on '1 Inputs'</t>
        </r>
      </text>
    </comment>
    <comment ref="E402" authorId="0" shapeId="0" xr:uid="{6DAE0797-F933-CA4C-BDDF-4248330CC712}">
      <text>
        <r>
          <rPr>
            <sz val="10"/>
            <color rgb="FF000000"/>
            <rFont val="Tahoma"/>
            <family val="2"/>
          </rPr>
          <t>All costs escalated from a mid-2017 basis to the current CatCost basis year entered on '1 Inputs'</t>
        </r>
      </text>
    </comment>
    <comment ref="E435" authorId="0" shapeId="0" xr:uid="{C9F2E621-CDCF-DF4F-AFED-7BBDF9920FC2}">
      <text>
        <r>
          <rPr>
            <sz val="10"/>
            <color rgb="FF000000"/>
            <rFont val="Tahoma"/>
            <family val="2"/>
          </rPr>
          <t>All costs escalated from a mid-2017 basis to the current CatCost basis year entered on '1 Inputs'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F24" authorId="0" shapeId="0" xr:uid="{00000000-0006-0000-0400-000001000000}">
      <text>
        <r>
          <rPr>
            <sz val="9"/>
            <color rgb="FF000000"/>
            <rFont val="Calibri"/>
            <family val="2"/>
          </rPr>
          <t xml:space="preserve">The production rate for this process / process template (i.e. this equipment list). In other words, this is the production scale [of catalyst or active phase] of the plant described by this equipment list.
</t>
        </r>
        <r>
          <rPr>
            <sz val="9"/>
            <color rgb="FF000000"/>
            <rFont val="Calibri"/>
            <family val="2"/>
          </rPr>
          <t xml:space="preserve">
</t>
        </r>
        <r>
          <rPr>
            <sz val="9"/>
            <color rgb="FF000000"/>
            <rFont val="Calibri"/>
            <family val="2"/>
          </rPr>
          <t>This cell must contain a hard-coded value to function correctly (not a formula), as it represents the catalyst production rate that was used to generate the hard-coded equipment list below (e.g. from an Aspen model).</t>
        </r>
      </text>
    </comment>
    <comment ref="F26" authorId="0" shapeId="0" xr:uid="{BDBB30A2-1FF5-3749-80B6-6B23EC7FB18C}">
      <text>
        <r>
          <rPr>
            <sz val="9"/>
            <color rgb="FF000000"/>
            <rFont val="Calibri"/>
            <family val="2"/>
          </rPr>
          <t>Selecting "active phase" requires an active phase weight percent be entered on "2 Materials"</t>
        </r>
      </text>
    </comment>
    <comment ref="F27" authorId="0" shapeId="0" xr:uid="{41F6224D-63B1-7547-801B-5DB1E51A2044}">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8" authorId="0" shapeId="0" xr:uid="{0B5AC971-FD1A-2F48-BD52-D1159781B368}">
      <text>
        <r>
          <rPr>
            <sz val="9"/>
            <color rgb="FF000000"/>
            <rFont val="Calibri"/>
            <family val="2"/>
          </rPr>
          <t>The design production rate for this process (i.e. this equipment list), now converted to the units of the catalyst estimate.</t>
        </r>
      </text>
    </comment>
    <comment ref="F31" authorId="0" shapeId="0" xr:uid="{00000000-0006-0000-0400-000002000000}">
      <text>
        <r>
          <rPr>
            <sz val="9"/>
            <color rgb="FF000000"/>
            <rFont val="Calibri"/>
            <family val="2"/>
          </rPr>
          <t>This value is calculated automatically on "1 Inputs" based on the user's input for "Design Production, Annual" and other parameters. The equipment list below will be scaled based on the ratio of this cell (ESTIMATE Design Production Rate) to the one just above it (THIS PROCESS Design Production Rate).</t>
        </r>
      </text>
    </comment>
    <comment ref="D35" authorId="0" shapeId="0" xr:uid="{00000000-0006-0000-0400-000003000000}">
      <text>
        <r>
          <rPr>
            <sz val="9"/>
            <color rgb="FF000000"/>
            <rFont val="Calibri"/>
            <family val="2"/>
          </rPr>
          <t>For user's convenience (e.g. comparison to AspenPlus model) only.</t>
        </r>
      </text>
    </comment>
    <comment ref="E35" authorId="1" shapeId="0" xr:uid="{8C59AEEC-B0C9-7D4C-8F21-A5F561D958B1}">
      <text>
        <r>
          <rPr>
            <sz val="10"/>
            <color rgb="FF000000"/>
            <rFont val="Tahoma"/>
            <family val="2"/>
          </rPr>
          <t>Set to default to the cheapest construction material but should be edited to reflect process requirements.</t>
        </r>
      </text>
    </comment>
    <comment ref="I35" authorId="1" shapeId="0" xr:uid="{88A721F6-19CE-3B44-A39D-8B67DCCB5984}">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91" authorId="0" shapeId="0" xr:uid="{2A6A05E6-F259-5F47-9891-3B4445C4097A}">
      <text>
        <r>
          <rPr>
            <sz val="9"/>
            <color rgb="FF000000"/>
            <rFont val="Calibri"/>
            <family val="2"/>
          </rPr>
          <t xml:space="preserve">The production rate for this process / process template (i.e. this equipment list). In other words, this is the production scale [of catalyst or active phase] of the plant described by this equipment list.
</t>
        </r>
        <r>
          <rPr>
            <sz val="9"/>
            <color rgb="FF000000"/>
            <rFont val="Calibri"/>
            <family val="2"/>
          </rPr>
          <t xml:space="preserve">
</t>
        </r>
        <r>
          <rPr>
            <sz val="9"/>
            <color rgb="FF000000"/>
            <rFont val="Calibri"/>
            <family val="2"/>
          </rPr>
          <t>This cell must contain a hard-coded value to function correctly (not a formula), as it represents the catalyst production rate that was used to generate the hard-coded equipment list below (e.g. from an Aspen model).</t>
        </r>
      </text>
    </comment>
    <comment ref="F93" authorId="0" shapeId="0" xr:uid="{5A333323-ED98-0B49-BD40-AFDDED358B7C}">
      <text>
        <r>
          <rPr>
            <sz val="9"/>
            <color rgb="FF000000"/>
            <rFont val="Calibri"/>
            <family val="2"/>
          </rPr>
          <t>Selecting "active phase" requires an active phase weight percent be entered on "2 Materials"</t>
        </r>
      </text>
    </comment>
    <comment ref="F94" authorId="0" shapeId="0" xr:uid="{E039B83E-214D-BF44-878A-52EF742EF7E1}">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95" authorId="0" shapeId="0" xr:uid="{8AD87CBE-FB94-634F-A16A-7020327C26AE}">
      <text>
        <r>
          <rPr>
            <sz val="9"/>
            <color rgb="FF000000"/>
            <rFont val="Calibri"/>
            <family val="2"/>
          </rPr>
          <t>The design production rate for this process (i.e. this equipment list), now converted to the units of the catalyst estimate.</t>
        </r>
      </text>
    </comment>
    <comment ref="F98" authorId="0" shapeId="0" xr:uid="{8ED71122-FA93-1A4C-B855-13D1A5FC9A4A}">
      <text>
        <r>
          <rPr>
            <sz val="9"/>
            <color rgb="FF000000"/>
            <rFont val="Calibri"/>
            <family val="2"/>
          </rPr>
          <t>This value is calculated automatically on "1 Inputs" based on the user's input for "Design Production, Annual" and other parameters. The equipment list below will be scaled based on the ratio of this cell (ESTIMATE Design Production Rate) to the one just above it (THIS PROCESS Design Production Rate).</t>
        </r>
      </text>
    </comment>
    <comment ref="D102" authorId="0" shapeId="0" xr:uid="{4F9C92BC-98CA-1D48-8F1B-D29FA8897106}">
      <text>
        <r>
          <rPr>
            <sz val="9"/>
            <color rgb="FF000000"/>
            <rFont val="Calibri"/>
            <family val="2"/>
          </rPr>
          <t>For user's convenience (e.g. comparison to AspenPlus model) only.</t>
        </r>
      </text>
    </comment>
    <comment ref="E102" authorId="1" shapeId="0" xr:uid="{C52D5E7D-D66E-AE46-880C-9FBDC436CB7D}">
      <text>
        <r>
          <rPr>
            <sz val="10"/>
            <color rgb="FF000000"/>
            <rFont val="Tahoma"/>
            <family val="2"/>
          </rPr>
          <t>Set to default to the cheapest construction material but should be edited to reflect process requirements.</t>
        </r>
      </text>
    </comment>
    <comment ref="I102" authorId="1" shapeId="0" xr:uid="{6E8AAA1B-3E11-4F4F-99DD-B2792E2F9C51}">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38" authorId="0" shapeId="0" xr:uid="{7C0190AF-B368-0145-94FF-6F17D1F3F295}">
      <text>
        <r>
          <rPr>
            <sz val="9"/>
            <color rgb="FF000000"/>
            <rFont val="Calibri"/>
            <family val="2"/>
          </rPr>
          <t xml:space="preserve">The production rate for this process / process template (i.e. this equipment list). In other words, this is the production scale [of catalyst or active phase] of the plant described by this equipment list.
</t>
        </r>
        <r>
          <rPr>
            <sz val="9"/>
            <color rgb="FF000000"/>
            <rFont val="Calibri"/>
            <family val="2"/>
          </rPr>
          <t xml:space="preserve">
</t>
        </r>
        <r>
          <rPr>
            <sz val="9"/>
            <color rgb="FF000000"/>
            <rFont val="Calibri"/>
            <family val="2"/>
          </rPr>
          <t>This cell must contain a hard-coded value to function correctly (not a formula), as it represents the catalyst production rate that was used to generate the hard-coded equipment list below (e.g. from an Aspen model).</t>
        </r>
      </text>
    </comment>
    <comment ref="F140" authorId="0" shapeId="0" xr:uid="{702B8B2E-C0D4-FC46-AF1D-3C9888E03465}">
      <text>
        <r>
          <rPr>
            <sz val="9"/>
            <color rgb="FF000000"/>
            <rFont val="Calibri"/>
            <family val="2"/>
          </rPr>
          <t>Selecting "active phase" requires an active phase weight percent be entered on "2 Materials"</t>
        </r>
      </text>
    </comment>
    <comment ref="F141" authorId="0" shapeId="0" xr:uid="{F0248425-C063-A041-B9CB-C1A6C75E7676}">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42" authorId="0" shapeId="0" xr:uid="{B306E9CC-1B0E-6B4C-BA0B-515A1CA95ECC}">
      <text>
        <r>
          <rPr>
            <sz val="9"/>
            <color rgb="FF000000"/>
            <rFont val="Calibri"/>
            <family val="2"/>
          </rPr>
          <t>The design production rate for this process (i.e. this equipment list), now converted to the units of the catalyst estimate.</t>
        </r>
      </text>
    </comment>
    <comment ref="F145" authorId="0" shapeId="0" xr:uid="{47FED506-3A1E-1348-A0E0-5E6390CE492D}">
      <text>
        <r>
          <rPr>
            <sz val="9"/>
            <color rgb="FF000000"/>
            <rFont val="Calibri"/>
            <family val="2"/>
          </rPr>
          <t>This value is calculated automatically on "1 Inputs" based on the user's input for "Design Production, Annual" and other parameters. The equipment list below will be scaled based on the ratio of this cell (ESTIMATE Design Production Rate) to the one just above it (THIS PROCESS Design Production Rate).</t>
        </r>
      </text>
    </comment>
    <comment ref="D149" authorId="0" shapeId="0" xr:uid="{F71BB5EB-ABA2-4549-BE45-6028B67DC5A8}">
      <text>
        <r>
          <rPr>
            <sz val="9"/>
            <color rgb="FF000000"/>
            <rFont val="Calibri"/>
            <family val="2"/>
          </rPr>
          <t>For user's convenience (e.g. comparison to AspenPlus model) only.</t>
        </r>
      </text>
    </comment>
    <comment ref="E149" authorId="1" shapeId="0" xr:uid="{88E309E9-553A-1B40-9227-4ED0AEA3052D}">
      <text>
        <r>
          <rPr>
            <sz val="10"/>
            <color rgb="FF000000"/>
            <rFont val="Tahoma"/>
            <family val="2"/>
          </rPr>
          <t>Set to default to the cheapest construction material but should be edited to reflect process requirements.</t>
        </r>
      </text>
    </comment>
    <comment ref="I149" authorId="1" shapeId="0" xr:uid="{9921D0F0-5C2E-0840-BF0A-E0EDD613E1F0}">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85" authorId="0" shapeId="0" xr:uid="{1158DD7B-587C-F444-9556-1F123811499C}">
      <text>
        <r>
          <rPr>
            <sz val="9"/>
            <color rgb="FF000000"/>
            <rFont val="Calibri"/>
            <family val="2"/>
          </rPr>
          <t xml:space="preserve">The production rate for this process / process template (i.e. this equipment list). In other words, this is the production scale [of catalyst or active phase] of the plant described by this equipment list.
</t>
        </r>
        <r>
          <rPr>
            <sz val="9"/>
            <color rgb="FF000000"/>
            <rFont val="Calibri"/>
            <family val="2"/>
          </rPr>
          <t xml:space="preserve">
</t>
        </r>
        <r>
          <rPr>
            <sz val="9"/>
            <color rgb="FF000000"/>
            <rFont val="Calibri"/>
            <family val="2"/>
          </rPr>
          <t>This cell must contain a hard-coded value to function correctly (not a formula), as it represents the catalyst production rate that was used to generate the hard-coded equipment list below (e.g. from an Aspen model).</t>
        </r>
      </text>
    </comment>
    <comment ref="F187" authorId="0" shapeId="0" xr:uid="{7ECAB6E1-45A2-5D47-9825-6B9BAAEB768E}">
      <text>
        <r>
          <rPr>
            <sz val="9"/>
            <color rgb="FF000000"/>
            <rFont val="Calibri"/>
            <family val="2"/>
          </rPr>
          <t>Selecting "active phase" requires an active phase weight percent be entered on "2 Materials"</t>
        </r>
      </text>
    </comment>
    <comment ref="F188" authorId="0" shapeId="0" xr:uid="{BFD38E9E-4F5A-DA42-9B91-1C603CFFB12D}">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89" authorId="0" shapeId="0" xr:uid="{3B049C8F-6C32-5344-B424-AD87739A8C65}">
      <text>
        <r>
          <rPr>
            <sz val="9"/>
            <color rgb="FF000000"/>
            <rFont val="Calibri"/>
            <family val="2"/>
          </rPr>
          <t>The design production rate for this process (i.e. this equipment list), now converted to the units of the catalyst estimate.</t>
        </r>
      </text>
    </comment>
    <comment ref="F192" authorId="0" shapeId="0" xr:uid="{26CE718C-30EA-5543-813C-19D5017DFCE1}">
      <text>
        <r>
          <rPr>
            <sz val="9"/>
            <color rgb="FF000000"/>
            <rFont val="Calibri"/>
            <family val="2"/>
          </rPr>
          <t>This value is calculated automatically on "1 Inputs" based on the user's input for "Design Production, Annual" and other parameters. The equipment list below will be scaled based on the ratio of this cell (ESTIMATE Design Production Rate) to the one just above it (THIS PROCESS Design Production Rate).</t>
        </r>
      </text>
    </comment>
    <comment ref="D196" authorId="0" shapeId="0" xr:uid="{393A18C9-462C-0B44-BB11-3C5F6D9C4B41}">
      <text>
        <r>
          <rPr>
            <sz val="9"/>
            <color rgb="FF000000"/>
            <rFont val="Calibri"/>
            <family val="2"/>
          </rPr>
          <t>For user's convenience (e.g. comparison to AspenPlus model) only.</t>
        </r>
      </text>
    </comment>
    <comment ref="E196" authorId="1" shapeId="0" xr:uid="{FE81F2DD-12D9-8743-97DD-998B09AFCCB5}">
      <text>
        <r>
          <rPr>
            <sz val="10"/>
            <color rgb="FF000000"/>
            <rFont val="Tahoma"/>
            <family val="2"/>
          </rPr>
          <t>Set to default to the cheapest construction material but should be edited to reflect process requirements.</t>
        </r>
      </text>
    </comment>
    <comment ref="I196" authorId="1" shapeId="0" xr:uid="{320EB327-B1A8-7046-AAE8-C8AA4032A2FF}">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227" authorId="0" shapeId="0" xr:uid="{41FF665E-8C62-B149-919D-3DF09EE40EE4}">
      <text>
        <r>
          <rPr>
            <sz val="9"/>
            <color rgb="FF000000"/>
            <rFont val="Calibri"/>
            <family val="2"/>
          </rPr>
          <t xml:space="preserve">The production rate for this process / process template (i.e. this equipment list). In other words, this is the production scale [of catalyst or active phase] of the plant described by this equipment list.
</t>
        </r>
        <r>
          <rPr>
            <sz val="9"/>
            <color rgb="FF000000"/>
            <rFont val="Calibri"/>
            <family val="2"/>
          </rPr>
          <t xml:space="preserve">
</t>
        </r>
        <r>
          <rPr>
            <sz val="9"/>
            <color rgb="FF000000"/>
            <rFont val="Calibri"/>
            <family val="2"/>
          </rPr>
          <t>This cell must contain a hard-coded value to function correctly (not a formula), as it represents the catalyst production rate that was used to generate the hard-coded equipment list below (e.g. from an Aspen model).</t>
        </r>
      </text>
    </comment>
    <comment ref="F229" authorId="0" shapeId="0" xr:uid="{8B898D75-27FE-2D44-9654-391C4BF499D1}">
      <text>
        <r>
          <rPr>
            <sz val="9"/>
            <color rgb="FF000000"/>
            <rFont val="Calibri"/>
            <family val="2"/>
          </rPr>
          <t>Selecting "active phase" requires an active phase weight percent be entered on "2 Materials"</t>
        </r>
      </text>
    </comment>
    <comment ref="F230" authorId="0" shapeId="0" xr:uid="{789AB251-4A73-F742-B268-4C83A92B828B}">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31" authorId="0" shapeId="0" xr:uid="{136EBDF5-19A8-1441-A59A-48987DA856B7}">
      <text>
        <r>
          <rPr>
            <sz val="9"/>
            <color rgb="FF000000"/>
            <rFont val="Calibri"/>
            <family val="2"/>
          </rPr>
          <t>The design production rate for this process (i.e. this equipment list), now converted to the units of the catalyst estimate.</t>
        </r>
      </text>
    </comment>
    <comment ref="F234" authorId="0" shapeId="0" xr:uid="{35D5C178-C7D8-C34D-8CB2-EE5FDBB3260F}">
      <text>
        <r>
          <rPr>
            <sz val="9"/>
            <color rgb="FF000000"/>
            <rFont val="Calibri"/>
            <family val="2"/>
          </rPr>
          <t>This value is calculated automatically on "1 Inputs" based on the user's input for "Design Production, Annual" and other parameters. The equipment list below will be scaled based on the ratio of this cell (ESTIMATE Design Production Rate) to the one just above it (THIS PROCESS Design Production Rate).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P12" authorId="0" shapeId="0" xr:uid="{183ED8CA-FCD8-2F41-BF06-50A00EE77CAF}">
      <text>
        <r>
          <rPr>
            <sz val="10"/>
            <color rgb="FF000000"/>
            <rFont val="Calibri"/>
            <family val="2"/>
          </rPr>
          <t xml:space="preserve">Assuming cooling water comes into plant at 90 </t>
        </r>
        <r>
          <rPr>
            <sz val="10"/>
            <color rgb="FF000000"/>
            <rFont val="Calibri"/>
            <family val="2"/>
          </rPr>
          <t>°</t>
        </r>
        <r>
          <rPr>
            <sz val="10"/>
            <color rgb="FF000000"/>
            <rFont val="Calibri"/>
            <family val="2"/>
          </rPr>
          <t xml:space="preserve">F and comes out at 110 </t>
        </r>
        <r>
          <rPr>
            <sz val="10"/>
            <color rgb="FF000000"/>
            <rFont val="Calibri"/>
            <family val="2"/>
          </rPr>
          <t>°</t>
        </r>
        <r>
          <rPr>
            <sz val="10"/>
            <color rgb="FF000000"/>
            <rFont val="Calibri"/>
            <family val="2"/>
          </rPr>
          <t>F</t>
        </r>
      </text>
    </comment>
    <comment ref="C19" authorId="0" shapeId="0" xr:uid="{00000000-0006-0000-0500-000001000000}">
      <text>
        <r>
          <rPr>
            <sz val="9"/>
            <color rgb="FF000000"/>
            <rFont val="Calibri"/>
            <family val="2"/>
          </rPr>
          <t>The consumption values entered below have been converted from whatever units were entered below (e.g kgal/ton catalyst) to the output mass units selected for this estimate (e.g. kgal/kg catalyst).</t>
        </r>
      </text>
    </comment>
    <comment ref="H28" authorId="0" shapeId="0" xr:uid="{8C5F3AFC-34F9-1541-9193-D56E78B7D70D}">
      <text>
        <r>
          <rPr>
            <sz val="10"/>
            <color rgb="FF000000"/>
            <rFont val="Calibri"/>
            <family val="2"/>
          </rPr>
          <t>Tell CatCost what units it should use in interpreting the consumption values. Do these consumption values produce 1 ton of catalyst / active phase? Or 1 kg? 1 lb?</t>
        </r>
      </text>
    </comment>
    <comment ref="H29" authorId="0" shapeId="0" xr:uid="{5F7C6E48-8EC7-A847-AAA1-86B1752B4141}">
      <text>
        <r>
          <rPr>
            <sz val="10"/>
            <color rgb="FF000000"/>
            <rFont val="Calibri"/>
            <family val="2"/>
          </rPr>
          <t xml:space="preserve">This allows utilities consumptions to be entered in terms of the production of active phase, which makes sense for syntheses (such as flow synthesis of nanoparticles) for which the utilities requirements track with the mass of active phase produced, rather than the mass of  finished catalyst produced.
</t>
        </r>
        <r>
          <rPr>
            <sz val="10"/>
            <color rgb="FF000000"/>
            <rFont val="Calibri"/>
            <family val="2"/>
          </rPr>
          <t xml:space="preserve">
</t>
        </r>
        <r>
          <rPr>
            <sz val="10"/>
            <color rgb="FF000000"/>
            <rFont val="Calibri"/>
            <family val="2"/>
          </rPr>
          <t>If "active phase" is selected, a mass loading of active phase must be entered on "2 Materials."</t>
        </r>
      </text>
    </comment>
    <comment ref="H44" authorId="0" shapeId="0" xr:uid="{C24B3DDB-5330-A341-9E45-E9BF48E7DFB8}">
      <text>
        <r>
          <rPr>
            <sz val="10"/>
            <color rgb="FF000000"/>
            <rFont val="Calibri"/>
            <family val="2"/>
          </rPr>
          <t>Tell CatCost what units it should use in interpreting the consumption values. Do these consumption values produce 1 ton of catalyst / active phase? Or 1 kg? 1 lb?</t>
        </r>
      </text>
    </comment>
    <comment ref="H45" authorId="0" shapeId="0" xr:uid="{248C464B-E932-5046-AC88-FF04D23BB67C}">
      <text>
        <r>
          <rPr>
            <sz val="10"/>
            <color rgb="FF000000"/>
            <rFont val="Calibri"/>
            <family val="2"/>
          </rPr>
          <t xml:space="preserve">This allows utilities consumptions to be entered in terms of the production of active phase, which makes sense for syntheses (such as flow synthesis of nanoparticles) for which the utilities requirements track with the mass of active phase produced, rather than the mass of  finished catalyst produced.
</t>
        </r>
        <r>
          <rPr>
            <sz val="10"/>
            <color rgb="FF000000"/>
            <rFont val="Calibri"/>
            <family val="2"/>
          </rPr>
          <t xml:space="preserve">
</t>
        </r>
        <r>
          <rPr>
            <sz val="10"/>
            <color rgb="FF000000"/>
            <rFont val="Calibri"/>
            <family val="2"/>
          </rPr>
          <t>If "active phase" is selected, a mass loading of active phase must be entered on "2 Materials."</t>
        </r>
      </text>
    </comment>
    <comment ref="H60" authorId="0" shapeId="0" xr:uid="{9F82DF38-2F14-EA4F-8619-0480EEAA68C0}">
      <text>
        <r>
          <rPr>
            <sz val="10"/>
            <color rgb="FF000000"/>
            <rFont val="Calibri"/>
            <family val="2"/>
          </rPr>
          <t>Tell CatCost what units it should use in interpreting the consumption values. Do these consumption values produce 1 ton of catalyst / active phase? Or 1 kg? 1 lb?</t>
        </r>
      </text>
    </comment>
    <comment ref="H61" authorId="0" shapeId="0" xr:uid="{969C3ED9-4529-8042-A805-8E8E803DABD4}">
      <text>
        <r>
          <rPr>
            <sz val="10"/>
            <color rgb="FF000000"/>
            <rFont val="Calibri"/>
            <family val="2"/>
          </rPr>
          <t xml:space="preserve">This allows utilities consumptions to be entered in terms of the production of active phase, which makes sense for syntheses (such as flow synthesis of nanoparticles) for which the utilities requirements track with the mass of active phase produced, rather than the mass of  finished catalyst produced.
</t>
        </r>
        <r>
          <rPr>
            <sz val="10"/>
            <color rgb="FF000000"/>
            <rFont val="Calibri"/>
            <family val="2"/>
          </rPr>
          <t xml:space="preserve">
</t>
        </r>
        <r>
          <rPr>
            <sz val="10"/>
            <color rgb="FF000000"/>
            <rFont val="Calibri"/>
            <family val="2"/>
          </rPr>
          <t>If "active phase" is selected, a mass loading of active phase must be entered on "2 Materials."</t>
        </r>
      </text>
    </comment>
    <comment ref="H76" authorId="0" shapeId="0" xr:uid="{F29740E9-F778-0C4F-B26B-8F969280A319}">
      <text>
        <r>
          <rPr>
            <sz val="10"/>
            <color rgb="FF000000"/>
            <rFont val="Calibri"/>
            <family val="2"/>
          </rPr>
          <t>Tell CatCost what units it should use in interpreting the consumption values. Do these consumption values produce 1 ton of catalyst / active phase? Or 1 kg? 1 lb?</t>
        </r>
      </text>
    </comment>
    <comment ref="H77" authorId="0" shapeId="0" xr:uid="{E382DC9E-4166-3942-B6CF-2A0EFA21D613}">
      <text>
        <r>
          <rPr>
            <sz val="10"/>
            <color rgb="FF000000"/>
            <rFont val="Calibri"/>
            <family val="2"/>
          </rPr>
          <t xml:space="preserve">This allows utilities consumptions to be entered in terms of the production of active phase, which makes sense for syntheses (such as flow synthesis of nanoparticles) for which the utilities requirements track with the mass of active phase produced, rather than the mass of  finished catalyst produced.
</t>
        </r>
        <r>
          <rPr>
            <sz val="10"/>
            <color rgb="FF000000"/>
            <rFont val="Calibri"/>
            <family val="2"/>
          </rPr>
          <t xml:space="preserve">
</t>
        </r>
        <r>
          <rPr>
            <sz val="10"/>
            <color rgb="FF000000"/>
            <rFont val="Calibri"/>
            <family val="2"/>
          </rPr>
          <t>If "active phase" is selected, a mass loading of active phase must be entered on "2 Materials."</t>
        </r>
      </text>
    </comment>
    <comment ref="H92" authorId="0" shapeId="0" xr:uid="{00D81ECD-1CE4-5547-9964-B29899FBC734}">
      <text>
        <r>
          <rPr>
            <sz val="10"/>
            <color rgb="FF000000"/>
            <rFont val="Calibri"/>
            <family val="2"/>
          </rPr>
          <t>Tell CatCost what units it should use in interpreting the consumption values. Do these consumption values produce 1 ton of catalyst / active phase? Or 1 kg? 1 lb?</t>
        </r>
      </text>
    </comment>
    <comment ref="H93" authorId="0" shapeId="0" xr:uid="{26F991F3-2AC2-3247-968E-C4D067305898}">
      <text>
        <r>
          <rPr>
            <sz val="10"/>
            <color rgb="FF000000"/>
            <rFont val="Calibri"/>
            <family val="2"/>
          </rPr>
          <t xml:space="preserve">This allows utilities consumptions to be entered in terms of the production of active phase, which makes sense for syntheses (such as flow synthesis of nanoparticles) for which the utilities requirements track with the mass of active phase produced, rather than the mass of  finished catalyst produced.
</t>
        </r>
        <r>
          <rPr>
            <sz val="10"/>
            <color rgb="FF000000"/>
            <rFont val="Calibri"/>
            <family val="2"/>
          </rPr>
          <t xml:space="preserve">
</t>
        </r>
        <r>
          <rPr>
            <sz val="10"/>
            <color rgb="FF000000"/>
            <rFont val="Calibri"/>
            <family val="2"/>
          </rPr>
          <t>If "active phase" is selected, a mass loading of active phase must be entered on "2 Materials."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J29" authorId="0" shapeId="0" xr:uid="{8FB06698-4A31-7F4A-9487-1455573CABBE}">
      <text>
        <r>
          <rPr>
            <sz val="9"/>
            <color rgb="FF000000"/>
            <rFont val="Calibri"/>
            <family val="2"/>
          </rPr>
          <t>Working capital can also be calculated as 15% of FCI or TCI.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K29" authorId="0" shapeId="0" xr:uid="{7F4F05F8-64B2-574B-BF91-8555243F6EB0}">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 ref="K30" authorId="0" shapeId="0" xr:uid="{28C6A467-7A83-6545-9263-DCFA4C156557}">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Q5" authorId="0" shapeId="0" xr:uid="{00000000-0006-0000-0900-000001000000}">
      <text>
        <r>
          <rPr>
            <sz val="9"/>
            <color rgb="FF000000"/>
            <rFont val="Calibri"/>
            <family val="2"/>
          </rPr>
          <t>Representative catalyst densities provided to aid input in the spent catalyst inputs to the left. The  bulk density will also depend on the method used to fill the reactor.</t>
        </r>
      </text>
    </comment>
    <comment ref="I7" authorId="1" shapeId="0" xr:uid="{E639DDA4-026E-0D48-8E48-AB2DC6A64579}">
      <text>
        <r>
          <rPr>
            <sz val="10"/>
            <color rgb="FF000000"/>
            <rFont val="Tahoma"/>
            <family val="2"/>
          </rPr>
          <t>When "Sponge of metal (no support)" is selected, the Active Phase Weight Percent on '2 Materials' should be 100%.</t>
        </r>
      </text>
    </comment>
    <comment ref="I8" authorId="1" shapeId="0" xr:uid="{00000000-0006-0000-0900-000002000000}">
      <text>
        <r>
          <rPr>
            <sz val="10"/>
            <color rgb="FF000000"/>
            <rFont val="Tahoma"/>
            <family val="2"/>
          </rPr>
          <t>Fraction of metal to be recovered in the active phase (AP). For example, in Rh2P, the metal wt. % in AP is 86.92%.</t>
        </r>
      </text>
    </comment>
    <comment ref="I9" authorId="1" shapeId="0" xr:uid="{00000000-0006-0000-0900-000003000000}">
      <text>
        <r>
          <rPr>
            <sz val="10"/>
            <color rgb="FF000000"/>
            <rFont val="Tahoma"/>
            <family val="2"/>
          </rPr>
          <t>Please double-check that the value you have entered in column D is consistent with the units you have selected in column G (lb/ft3 or kg/m3).</t>
        </r>
      </text>
    </comment>
    <comment ref="I10" authorId="1" shapeId="0" xr:uid="{F690E20C-C1A4-D547-97E8-B9386F916431}">
      <text>
        <r>
          <rPr>
            <sz val="10"/>
            <color rgb="FF000000"/>
            <rFont val="Tahoma"/>
            <family val="2"/>
          </rPr>
          <t>Attrition losses depend on the intended use of the catalyst.</t>
        </r>
      </text>
    </comment>
    <comment ref="I11" authorId="1" shapeId="0" xr:uid="{00000000-0006-0000-0900-000004000000}">
      <text>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I12" authorId="1" shapeId="0" xr:uid="{00000000-0006-0000-0900-000005000000}">
      <text>
        <r>
          <rPr>
            <sz val="10"/>
            <color rgb="FF000000"/>
            <rFont val="Tahoma"/>
            <family val="2"/>
          </rPr>
          <t xml:space="preserve">Please consider whether your catalyst would be classified as hazardous waste or as one of the other types, including platinum group metals, etc.
</t>
        </r>
        <r>
          <rPr>
            <sz val="10"/>
            <color rgb="FF000000"/>
            <rFont val="Tahoma"/>
            <family val="2"/>
          </rPr>
          <t xml:space="preserve">
</t>
        </r>
        <r>
          <rPr>
            <sz val="10"/>
            <color rgb="FF000000"/>
            <rFont val="Tahoma"/>
            <family val="2"/>
          </rPr>
          <t>Hazardous metals: The catalyst will be classified as hazardous under US EPA RCRA rules if its leachable content of As, Ba, Cd, Cr, Pb, Hg, Se, or Ag exceeds the Toxicity Characteristic Leaching Procedure limits. See Table 5 in the Salvage Library for details on these limits as well as typical catalyst concentrations that would result in a "hazardous" classification through the TCLP.</t>
        </r>
      </text>
    </comment>
    <comment ref="I16" authorId="1" shapeId="0" xr:uid="{6E9F0BB6-05EE-5E4B-B621-773A6013FFA9}">
      <text>
        <r>
          <rPr>
            <sz val="10"/>
            <color rgb="FF000000"/>
            <rFont val="Tahoma"/>
            <family val="2"/>
          </rPr>
          <t>If an active phase weight percent is not specified on "2 Materials," this field will fail to calculate.</t>
        </r>
      </text>
    </comment>
    <comment ref="I17" authorId="1" shapeId="0" xr:uid="{00000000-0006-0000-0900-000007000000}">
      <text>
        <r>
          <rPr>
            <sz val="10"/>
            <color rgb="FF000000"/>
            <rFont val="Tahoma"/>
            <family val="34"/>
          </rPr>
          <t xml:space="preserve">Accounts for the metal portion of attrition losses to total catalyst charge that reduce the mass of solids reaching the refiner relative to the original fresh catalyst quantity. Because </t>
        </r>
        <r>
          <rPr>
            <sz val="10"/>
            <color rgb="FF000000"/>
            <rFont val="Tahoma"/>
            <family val="2"/>
          </rPr>
          <t>metal content is often concentrated on the surface of catalyst bodies and thus subject to greater attrition losses, as well as leaching, metals losses are generally larger than support losses.</t>
        </r>
      </text>
    </comment>
    <comment ref="I21" authorId="1" shapeId="0" xr:uid="{C6400085-F224-AF49-8C50-3279D8759A9B}">
      <text>
        <r>
          <rPr>
            <sz val="10"/>
            <color rgb="FF000000"/>
            <rFont val="Tahoma"/>
            <family val="2"/>
          </rPr>
          <t>Accounts for the support portion of attrition losses to total catalyst charge that reduce the mass of solids reaching the refiner relative to the original fresh catalyst quantity.</t>
        </r>
      </text>
    </comment>
    <comment ref="I32" authorId="1" shapeId="0" xr:uid="{00000000-0006-0000-0900-000008000000}">
      <text>
        <r>
          <rPr>
            <sz val="10"/>
            <color rgb="FF000000"/>
            <rFont val="Tahoma"/>
            <family val="2"/>
          </rPr>
          <t>The accuracy of the estimate depends on appropriate metals prices in the Spent Catalyst Library. Please check them and ensure that they meet your requirements. The prices in the Spent Catalyst Library are automatically escalated to the CatCost basis year entered on 1 Inputs.</t>
        </r>
      </text>
    </comment>
    <comment ref="I34" authorId="1" shapeId="0" xr:uid="{84EA4F8F-3B1C-A04C-BF6F-651F8F5EDC25}">
      <text>
        <r>
          <rPr>
            <sz val="10"/>
            <color rgb="FF000000"/>
            <rFont val="Tahoma"/>
            <family val="2"/>
          </rPr>
          <t>All costs escalated from a mid-2016 basis to the current CatCost basis year entered on '1 Inputs'</t>
        </r>
      </text>
    </comment>
    <comment ref="I35" authorId="1" shapeId="0" xr:uid="{00000000-0006-0000-0900-000009000000}">
      <text>
        <r>
          <rPr>
            <sz val="10"/>
            <color rgb="FF000000"/>
            <rFont val="Tahoma"/>
            <family val="2"/>
          </rPr>
          <t>The incoming fee covers materials processing, dissolution, and hydrometallurgy to recover the target metal. See documentation for more details on the processes used by metal recyclers.</t>
        </r>
      </text>
    </comment>
    <comment ref="I36" authorId="1" shapeId="0" xr:uid="{00000000-0006-0000-0900-00000A000000}">
      <text>
        <r>
          <rPr>
            <sz val="10"/>
            <color rgb="FF000000"/>
            <rFont val="Tahoma"/>
            <family val="2"/>
          </rPr>
          <t>To remove organics.</t>
        </r>
      </text>
    </comment>
    <comment ref="I37" authorId="1" shapeId="0" xr:uid="{00000000-0006-0000-0900-00000B000000}">
      <text>
        <r>
          <rPr>
            <sz val="10"/>
            <color rgb="FF000000"/>
            <rFont val="Tahoma"/>
            <family val="2"/>
          </rPr>
          <t>Only for platinum group and noble metals.</t>
        </r>
      </text>
    </comment>
    <comment ref="I38" authorId="1" shapeId="0" xr:uid="{00000000-0006-0000-0900-00000C000000}">
      <text>
        <r>
          <rPr>
            <sz val="10"/>
            <color rgb="FF000000"/>
            <rFont val="Tahoma"/>
            <family val="2"/>
          </rPr>
          <t>See note above at "Has trace Sn, Cu, Fe &gt; 2% of AP?". This fee is an addition to the "incoming" fee.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A11" authorId="0" shapeId="0" xr:uid="{C9742B17-3108-3C45-822F-021D2991DB3B}">
      <text>
        <r>
          <rPr>
            <sz val="10"/>
            <color rgb="FF000000"/>
            <rFont val="Calibri"/>
            <family val="2"/>
          </rPr>
          <t>When using the Lab-Scale Log Fit pricing approach, the lab-scale price points are extrapolated to an industrial-scale order size. The Purchase Basis defines that order size.</t>
        </r>
      </text>
    </comment>
    <comment ref="S15" authorId="0" shapeId="0" xr:uid="{9858B3B2-945D-9E42-A70F-9CF171B03F43}">
      <text>
        <r>
          <rPr>
            <sz val="10"/>
            <color rgb="FF000000"/>
            <rFont val="Tahoma"/>
            <family val="2"/>
          </rPr>
          <t>Must be a year that is included in ChemPPI. You may need to update ChemPPI in order to use recent cost data.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AK1" authorId="0" shapeId="0" xr:uid="{00000000-0006-0000-1000-000001000000}">
      <text>
        <r>
          <rPr>
            <b/>
            <i/>
            <sz val="12"/>
            <color theme="3"/>
            <rFont val="Calibri"/>
            <family val="2"/>
            <scheme val="minor"/>
          </rPr>
          <t>Kurt Van Allsburg:</t>
        </r>
        <r>
          <rPr>
            <b/>
            <sz val="12"/>
            <color theme="5"/>
            <rFont val="Calibri"/>
            <family val="2"/>
            <scheme val="minor"/>
          </rPr>
          <t xml:space="preserve">
</t>
        </r>
        <r>
          <rPr>
            <b/>
            <sz val="12"/>
            <color theme="5"/>
            <rFont val="Calibri"/>
            <family val="2"/>
            <scheme val="minor"/>
          </rPr>
          <t>For Sinnott, taken from Guthrie factors found in Seider, Seader, Lewin 2009, except where noted.</t>
        </r>
      </text>
    </comment>
    <comment ref="AL1" authorId="1" shapeId="0" xr:uid="{00000000-0006-0000-1000-000002000000}">
      <text>
        <r>
          <rPr>
            <b/>
            <sz val="10"/>
            <color rgb="FF000000"/>
            <rFont val="Tahoma"/>
            <family val="2"/>
          </rPr>
          <t>Van Allsburg, Kurt:</t>
        </r>
        <r>
          <rPr>
            <sz val="10"/>
            <color rgb="FF000000"/>
            <rFont val="Tahoma"/>
            <family val="2"/>
          </rPr>
          <t xml:space="preserve">
</t>
        </r>
        <r>
          <rPr>
            <sz val="10"/>
            <color rgb="FF000000"/>
            <rFont val="Tahoma"/>
            <family val="2"/>
          </rPr>
          <t>See documentation for details of implementation from Garrett 1989.</t>
        </r>
      </text>
    </comment>
    <comment ref="AM1" authorId="1" shapeId="0" xr:uid="{00000000-0006-0000-1000-000003000000}">
      <text>
        <r>
          <rPr>
            <b/>
            <sz val="10"/>
            <color rgb="FF000000"/>
            <rFont val="Tahoma"/>
            <family val="2"/>
          </rPr>
          <t>Van Allsburg, Kurt:</t>
        </r>
        <r>
          <rPr>
            <sz val="10"/>
            <color rgb="FF000000"/>
            <rFont val="Tahoma"/>
            <family val="2"/>
          </rPr>
          <t xml:space="preserve">
</t>
        </r>
        <r>
          <rPr>
            <sz val="10"/>
            <color rgb="FF000000"/>
            <rFont val="Tahoma"/>
            <family val="2"/>
          </rPr>
          <t>Workers/unit/shift. Labor factors from Ulrich 2004 except where noted. Where a range has been given in a source; the midpoint was used (e.g. 0.2–0.4 workers/shift -&gt; 0.3 workers/shift)</t>
        </r>
      </text>
    </comment>
    <comment ref="D20" authorId="0" shapeId="0" xr:uid="{00000000-0006-0000-1000-00000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20" authorId="0" shapeId="0" xr:uid="{00000000-0006-0000-1000-00000E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1" authorId="0" shapeId="0" xr:uid="{00000000-0006-0000-1000-00000F000000}">
      <text>
        <r>
          <rPr>
            <b/>
            <sz val="9"/>
            <color indexed="81"/>
            <rFont val="Calibri"/>
            <family val="2"/>
          </rPr>
          <t>Kurt Van Allsburg:</t>
        </r>
        <r>
          <rPr>
            <sz val="9"/>
            <color indexed="81"/>
            <rFont val="Calibri"/>
            <family val="2"/>
          </rPr>
          <t xml:space="preserve">
No limits given in text</t>
        </r>
      </text>
    </comment>
    <comment ref="E21" authorId="0" shapeId="0" xr:uid="{00000000-0006-0000-1000-00001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2" authorId="0" shapeId="0" xr:uid="{00000000-0006-0000-1000-000011000000}">
      <text>
        <r>
          <rPr>
            <b/>
            <sz val="9"/>
            <color indexed="81"/>
            <rFont val="Calibri"/>
            <family val="2"/>
          </rPr>
          <t>Kurt Van Allsburg:</t>
        </r>
        <r>
          <rPr>
            <sz val="9"/>
            <color indexed="81"/>
            <rFont val="Calibri"/>
            <family val="2"/>
          </rPr>
          <t xml:space="preserve">
No limits given in text</t>
        </r>
      </text>
    </comment>
    <comment ref="E22" authorId="0" shapeId="0" xr:uid="{00000000-0006-0000-1000-000012000000}">
      <text>
        <r>
          <rPr>
            <b/>
            <sz val="9"/>
            <color indexed="81"/>
            <rFont val="Calibri"/>
            <family val="2"/>
          </rPr>
          <t>Kurt Van Allsburg:</t>
        </r>
        <r>
          <rPr>
            <sz val="9"/>
            <color indexed="81"/>
            <rFont val="Calibri"/>
            <family val="2"/>
          </rPr>
          <t xml:space="preserve">
No limits given in text</t>
        </r>
      </text>
    </comment>
    <comment ref="D23" authorId="0" shapeId="0" xr:uid="{00000000-0006-0000-1000-000013000000}">
      <text>
        <r>
          <rPr>
            <b/>
            <sz val="9"/>
            <color indexed="81"/>
            <rFont val="Calibri"/>
            <family val="2"/>
          </rPr>
          <t>Kurt Van Allsburg:</t>
        </r>
        <r>
          <rPr>
            <sz val="9"/>
            <color indexed="81"/>
            <rFont val="Calibri"/>
            <family val="2"/>
          </rPr>
          <t xml:space="preserve">
No limits given in text</t>
        </r>
      </text>
    </comment>
    <comment ref="E23" authorId="0" shapeId="0" xr:uid="{00000000-0006-0000-1000-000014000000}">
      <text>
        <r>
          <rPr>
            <b/>
            <sz val="9"/>
            <color indexed="81"/>
            <rFont val="Calibri"/>
            <family val="2"/>
          </rPr>
          <t>Kurt Van Allsburg:</t>
        </r>
        <r>
          <rPr>
            <sz val="9"/>
            <color indexed="81"/>
            <rFont val="Calibri"/>
            <family val="2"/>
          </rPr>
          <t xml:space="preserve">
No limits given in text</t>
        </r>
      </text>
    </comment>
    <comment ref="D24" authorId="0" shapeId="0" xr:uid="{00000000-0006-0000-1000-000015000000}">
      <text>
        <r>
          <rPr>
            <b/>
            <sz val="9"/>
            <color indexed="81"/>
            <rFont val="Calibri"/>
            <family val="2"/>
          </rPr>
          <t>Kurt Van Allsburg:</t>
        </r>
        <r>
          <rPr>
            <sz val="9"/>
            <color indexed="81"/>
            <rFont val="Calibri"/>
            <family val="2"/>
          </rPr>
          <t xml:space="preserve">
No limits given in text</t>
        </r>
      </text>
    </comment>
    <comment ref="E24" authorId="0" shapeId="0" xr:uid="{00000000-0006-0000-1000-000016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30" authorId="1" shapeId="0" xr:uid="{00000000-0006-0000-1000-00001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1" authorId="1" shapeId="0" xr:uid="{00000000-0006-0000-1000-00001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2" authorId="1" shapeId="0" xr:uid="{00000000-0006-0000-1000-00001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3" authorId="1" shapeId="0" xr:uid="{00000000-0006-0000-1000-00001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6" authorId="1" shapeId="0" xr:uid="{00000000-0006-0000-1000-00001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39" authorId="1" shapeId="0" xr:uid="{00000000-0006-0000-1000-00001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Using pumps and drivers category from Guthrie</t>
        </r>
      </text>
    </comment>
    <comment ref="AL39" authorId="1" shapeId="0" xr:uid="{00000000-0006-0000-1000-00001D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0" authorId="1" shapeId="0" xr:uid="{00000000-0006-0000-1000-00001E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0" authorId="1" shapeId="0" xr:uid="{00000000-0006-0000-1000-00001F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1" authorId="1" shapeId="0" xr:uid="{00000000-0006-0000-1000-000020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1" authorId="1" shapeId="0" xr:uid="{00000000-0006-0000-1000-00002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2" authorId="1" shapeId="0" xr:uid="{00000000-0006-0000-1000-000022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2" authorId="1" shapeId="0" xr:uid="{00000000-0006-0000-1000-00002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M45" authorId="1" shapeId="0" xr:uid="{00000000-0006-0000-1000-00002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6" authorId="1" shapeId="0" xr:uid="{00000000-0006-0000-1000-000025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7" authorId="1" shapeId="0" xr:uid="{00000000-0006-0000-1000-000026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8" authorId="1" shapeId="0" xr:uid="{00000000-0006-0000-1000-00002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9" authorId="1" shapeId="0" xr:uid="{00000000-0006-0000-1000-00002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0" authorId="1" shapeId="0" xr:uid="{266ABBF9-A93D-1D4A-A26E-F0A184FC98DF}">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1" authorId="1" shapeId="0" xr:uid="{E16C2732-13D2-0649-99CD-EC618544B65D}">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2" authorId="1" shapeId="0" xr:uid="{F4125CDF-E112-3247-8071-2338DB87229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3" authorId="1" shapeId="0" xr:uid="{69D5662B-4BE4-CA44-A8D7-6F91CFEAE6CB}">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4" authorId="1" shapeId="0" xr:uid="{00000000-0006-0000-1000-00002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5" authorId="1" shapeId="0" xr:uid="{00000000-0006-0000-1000-00002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6" authorId="1" shapeId="0" xr:uid="{00000000-0006-0000-1000-00002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2" authorId="1" shapeId="0" xr:uid="{00000000-0006-0000-1000-00002C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65" authorId="1" shapeId="0" xr:uid="{00000000-0006-0000-1000-00002D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6" authorId="1" shapeId="0" xr:uid="{00000000-0006-0000-1000-00002E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7" authorId="1" shapeId="0" xr:uid="{00000000-0006-0000-1000-00002F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8" authorId="1" shapeId="0" xr:uid="{00000000-0006-0000-1000-000030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1" authorId="1" shapeId="0" xr:uid="{00000000-0006-0000-1000-000031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2" authorId="1" shapeId="0" xr:uid="{00000000-0006-0000-1000-000032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3" authorId="1" shapeId="0" xr:uid="{00000000-0006-0000-1000-000033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80" authorId="1" shapeId="0" xr:uid="{00000000-0006-0000-1000-00003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81" authorId="1" shapeId="0" xr:uid="{00000000-0006-0000-1000-00003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0" authorId="1" shapeId="0" xr:uid="{00000000-0006-0000-1000-000036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3" authorId="1" shapeId="0" xr:uid="{00000000-0006-0000-1000-00003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4" authorId="1" shapeId="0" xr:uid="{00000000-0006-0000-1000-000038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5" authorId="0" shapeId="0" xr:uid="{00000000-0006-0000-1000-000039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5" authorId="0" shapeId="0" xr:uid="{00000000-0006-0000-1000-00003A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5" authorId="1" shapeId="0" xr:uid="{00000000-0006-0000-1000-00003B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6" authorId="0" shapeId="0" xr:uid="{00000000-0006-0000-1000-00003C000000}">
      <text>
        <r>
          <rPr>
            <b/>
            <sz val="9"/>
            <color indexed="81"/>
            <rFont val="Calibri"/>
            <family val="2"/>
          </rPr>
          <t>Kurt Van Allsburg:</t>
        </r>
        <r>
          <rPr>
            <sz val="9"/>
            <color indexed="81"/>
            <rFont val="Calibri"/>
            <family val="2"/>
          </rPr>
          <t xml:space="preserve">
No limits given in text</t>
        </r>
      </text>
    </comment>
    <comment ref="E116" authorId="0" shapeId="0" xr:uid="{00000000-0006-0000-1000-00003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6" authorId="1" shapeId="0" xr:uid="{00000000-0006-0000-1000-00003E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7" authorId="0" shapeId="0" xr:uid="{00000000-0006-0000-1000-00003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7" authorId="0" shapeId="0" xr:uid="{00000000-0006-0000-1000-000040000000}">
      <text>
        <r>
          <rPr>
            <b/>
            <sz val="9"/>
            <color indexed="81"/>
            <rFont val="Calibri"/>
            <family val="2"/>
          </rPr>
          <t>Kurt Van Allsburg:</t>
        </r>
        <r>
          <rPr>
            <sz val="9"/>
            <color indexed="81"/>
            <rFont val="Calibri"/>
            <family val="2"/>
          </rPr>
          <t xml:space="preserve">
No limits given in text</t>
        </r>
      </text>
    </comment>
    <comment ref="AM117" authorId="1" shapeId="0" xr:uid="{00000000-0006-0000-1000-000041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8" authorId="0" shapeId="0" xr:uid="{00000000-0006-0000-1000-000042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8" authorId="0" shapeId="0" xr:uid="{00000000-0006-0000-1000-000043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8" authorId="1" shapeId="0" xr:uid="{00000000-0006-0000-1000-00004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9" authorId="0" shapeId="0" xr:uid="{00000000-0006-0000-1000-000045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9" authorId="0" shapeId="0" xr:uid="{00000000-0006-0000-1000-000046000000}">
      <text>
        <r>
          <rPr>
            <b/>
            <sz val="9"/>
            <color indexed="81"/>
            <rFont val="Calibri"/>
            <family val="2"/>
          </rPr>
          <t>Kurt Van Allsburg:</t>
        </r>
        <r>
          <rPr>
            <sz val="9"/>
            <color indexed="81"/>
            <rFont val="Calibri"/>
            <family val="2"/>
          </rPr>
          <t xml:space="preserve">
No limits given in text</t>
        </r>
      </text>
    </comment>
    <comment ref="AM119" authorId="1" shapeId="0" xr:uid="{00000000-0006-0000-1000-00004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122" authorId="1" shapeId="0" xr:uid="{00000000-0006-0000-1000-000048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3" authorId="1" shapeId="0" xr:uid="{00000000-0006-0000-1000-000049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4" authorId="1" shapeId="0" xr:uid="{00000000-0006-0000-1000-00004A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5" authorId="1" shapeId="0" xr:uid="{00000000-0006-0000-1000-00004B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6" authorId="1" shapeId="0" xr:uid="{00000000-0006-0000-1000-00004C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7" authorId="1" shapeId="0" xr:uid="{00000000-0006-0000-1000-00004D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0" authorId="1" shapeId="0" xr:uid="{00000000-0006-0000-1000-00004E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1" authorId="1" shapeId="0" xr:uid="{00000000-0006-0000-1000-00004F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2" authorId="1" shapeId="0" xr:uid="{00000000-0006-0000-1000-000050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D139" authorId="0" shapeId="0" xr:uid="{00000000-0006-0000-1000-00005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39" authorId="0" shapeId="0" xr:uid="{00000000-0006-0000-1000-00005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0" authorId="0" shapeId="0" xr:uid="{00000000-0006-0000-1000-00005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0" authorId="0" shapeId="0" xr:uid="{00000000-0006-0000-1000-00005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1" authorId="0" shapeId="0" xr:uid="{00000000-0006-0000-1000-00005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1" authorId="0" shapeId="0" xr:uid="{00000000-0006-0000-1000-00005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2" authorId="0" shapeId="0" xr:uid="{00000000-0006-0000-1000-00005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2" authorId="0" shapeId="0" xr:uid="{00000000-0006-0000-1000-00005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3" authorId="0" shapeId="0" xr:uid="{00000000-0006-0000-1000-00005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3" authorId="0" shapeId="0" xr:uid="{00000000-0006-0000-1000-00005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4" authorId="0" shapeId="0" xr:uid="{00000000-0006-0000-1000-00005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4" authorId="0" shapeId="0" xr:uid="{00000000-0006-0000-1000-00005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5" authorId="0" shapeId="0" xr:uid="{00000000-0006-0000-1000-00005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5" authorId="0" shapeId="0" xr:uid="{00000000-0006-0000-1000-00005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6" authorId="0" shapeId="0" xr:uid="{00000000-0006-0000-1000-00005F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6" authorId="0" shapeId="0" xr:uid="{00000000-0006-0000-1000-000060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7" authorId="0" shapeId="0" xr:uid="{00000000-0006-0000-1000-00006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7" authorId="0" shapeId="0" xr:uid="{00000000-0006-0000-1000-00006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8" authorId="0" shapeId="0" xr:uid="{00000000-0006-0000-1000-00006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8" authorId="0" shapeId="0" xr:uid="{00000000-0006-0000-1000-00006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9" authorId="0" shapeId="0" xr:uid="{00000000-0006-0000-1000-00006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9" authorId="0" shapeId="0" xr:uid="{00000000-0006-0000-1000-00006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0" authorId="0" shapeId="0" xr:uid="{00000000-0006-0000-1000-00006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0" authorId="0" shapeId="0" xr:uid="{00000000-0006-0000-1000-00006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1" authorId="0" shapeId="0" xr:uid="{00000000-0006-0000-1000-00006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1" authorId="0" shapeId="0" xr:uid="{00000000-0006-0000-1000-00006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2" authorId="0" shapeId="0" xr:uid="{00000000-0006-0000-1000-00006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2" authorId="0" shapeId="0" xr:uid="{00000000-0006-0000-1000-00006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3" authorId="0" shapeId="0" xr:uid="{00000000-0006-0000-1000-00006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3" authorId="0" shapeId="0" xr:uid="{00000000-0006-0000-1000-00006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4" authorId="0" shapeId="0" xr:uid="{00000000-0006-0000-1000-00006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54" authorId="0" shapeId="0" xr:uid="{00000000-0006-0000-1000-00007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L157" authorId="1" shapeId="0" xr:uid="{00000000-0006-0000-1000-00007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8" authorId="1" shapeId="0" xr:uid="{00000000-0006-0000-1000-000072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9" authorId="1" shapeId="0" xr:uid="{00000000-0006-0000-1000-00007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62" authorId="1" shapeId="0" xr:uid="{00000000-0006-0000-1000-000074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3" authorId="1" shapeId="0" xr:uid="{00000000-0006-0000-1000-000075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4" authorId="1" shapeId="0" xr:uid="{00000000-0006-0000-1000-000076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5" authorId="1" shapeId="0" xr:uid="{00000000-0006-0000-1000-000077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6" authorId="1" shapeId="0" xr:uid="{00000000-0006-0000-1000-000078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166" authorId="1" shapeId="0" xr:uid="{00000000-0006-0000-1000-000079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AL166" authorId="1" shapeId="0" xr:uid="{00000000-0006-0000-1000-00007A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7" authorId="1" shapeId="0" xr:uid="{00000000-0006-0000-1000-00007B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167" authorId="1" shapeId="0" xr:uid="{00000000-0006-0000-1000-00007C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AL167" authorId="1" shapeId="0" xr:uid="{00000000-0006-0000-1000-00007D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0" authorId="1" shapeId="0" xr:uid="{00000000-0006-0000-1000-00007E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1" authorId="1" shapeId="0" xr:uid="{00000000-0006-0000-1000-00007F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2" authorId="1" shapeId="0" xr:uid="{00000000-0006-0000-1000-000080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3" authorId="1" shapeId="0" xr:uid="{00000000-0006-0000-1000-000081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82" authorId="1" shapeId="0" xr:uid="{00000000-0006-0000-1000-000082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183" authorId="1" shapeId="0" xr:uid="{00000000-0006-0000-1000-000083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Z220" authorId="1" shapeId="0" xr:uid="{15FF4191-6EF0-5B49-86A4-91DF346A30BB}">
      <text>
        <r>
          <rPr>
            <b/>
            <sz val="10"/>
            <color rgb="FF000000"/>
            <rFont val="Tahoma"/>
            <family val="2"/>
          </rPr>
          <t>Van Allsburg, Kurt:</t>
        </r>
        <r>
          <rPr>
            <sz val="10"/>
            <color rgb="FF000000"/>
            <rFont val="Tahoma"/>
            <family val="2"/>
          </rPr>
          <t xml:space="preserve">
</t>
        </r>
        <r>
          <rPr>
            <sz val="10"/>
            <color rgb="FF000000"/>
            <rFont val="Tahoma"/>
            <family val="2"/>
          </rPr>
          <t>Ulrich</t>
        </r>
      </text>
    </comment>
    <comment ref="AJ220" authorId="1" shapeId="0" xr:uid="{F2BB5FE6-51CB-8445-A50F-0B59F0DC2062}">
      <text>
        <r>
          <rPr>
            <b/>
            <sz val="10"/>
            <color rgb="FF000000"/>
            <rFont val="Tahoma"/>
            <family val="2"/>
          </rPr>
          <t>Van Allsburg, Kurt:</t>
        </r>
        <r>
          <rPr>
            <sz val="10"/>
            <color rgb="FF000000"/>
            <rFont val="Tahoma"/>
            <family val="2"/>
          </rPr>
          <t xml:space="preserve">
</t>
        </r>
        <r>
          <rPr>
            <sz val="10"/>
            <color rgb="FF000000"/>
            <rFont val="Tahoma"/>
            <family val="2"/>
          </rPr>
          <t>1.3 relative to C/S</t>
        </r>
      </text>
    </comment>
    <comment ref="X260" authorId="1" shapeId="0" xr:uid="{1092DFB5-A624-FB4C-9067-AACF8430F6B2}">
      <text>
        <r>
          <rPr>
            <b/>
            <sz val="10"/>
            <color rgb="FF000000"/>
            <rFont val="Tahoma"/>
            <family val="2"/>
          </rPr>
          <t>Van Allsburg, Kurt:</t>
        </r>
        <r>
          <rPr>
            <sz val="10"/>
            <color rgb="FF000000"/>
            <rFont val="Tahoma"/>
            <family val="2"/>
          </rPr>
          <t xml:space="preserve">
</t>
        </r>
        <r>
          <rPr>
            <sz val="10"/>
            <color rgb="FF000000"/>
            <rFont val="Tahoma"/>
            <family val="2"/>
          </rPr>
          <t>From Ulrich</t>
        </r>
      </text>
    </comment>
    <comment ref="AM260" authorId="1" shapeId="0" xr:uid="{00000000-0006-0000-1000-00008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62" authorId="1" shapeId="0" xr:uid="{00000000-0006-0000-1000-00008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263" authorId="1" shapeId="0" xr:uid="{00000000-0006-0000-1000-000086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M263" authorId="1" shapeId="0" xr:uid="{00000000-0006-0000-1000-00008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272" authorId="1" shapeId="0" xr:uid="{00000000-0006-0000-1000-00008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77" authorId="1" shapeId="0" xr:uid="{00000000-0006-0000-1000-00008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281" authorId="1" shapeId="0" xr:uid="{00000000-0006-0000-1000-00008A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2" authorId="1" shapeId="0" xr:uid="{00000000-0006-0000-1000-00008B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3" authorId="1" shapeId="0" xr:uid="{00000000-0006-0000-1000-00008C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C284" authorId="1" shapeId="0" xr:uid="{00000000-0006-0000-1000-00008D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4" authorId="1" shapeId="0" xr:uid="{00000000-0006-0000-1000-00008E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284" authorId="1" shapeId="0" xr:uid="{00000000-0006-0000-1000-00008F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5" authorId="1" shapeId="0" xr:uid="{00000000-0006-0000-1000-000090000000}">
      <text>
        <r>
          <rPr>
            <b/>
            <sz val="10"/>
            <color rgb="FF000000"/>
            <rFont val="Tahoma"/>
            <family val="2"/>
          </rPr>
          <t>Van Allsburg, Kurt:</t>
        </r>
        <r>
          <rPr>
            <sz val="10"/>
            <color rgb="FF000000"/>
            <rFont val="Tahoma"/>
            <family val="2"/>
          </rPr>
          <t xml:space="preserve">
</t>
        </r>
        <r>
          <rPr>
            <sz val="10"/>
            <color rgb="FF000000"/>
            <rFont val="Tahoma"/>
            <family val="2"/>
          </rPr>
          <t>Rearranged as power law from original Seider 2017 reference</t>
        </r>
      </text>
    </comment>
    <comment ref="D285" authorId="1" shapeId="0" xr:uid="{00000000-0006-0000-1000-000091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5" authorId="1" shapeId="0" xr:uid="{00000000-0006-0000-1000-000092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6" authorId="1" shapeId="0" xr:uid="{00000000-0006-0000-1000-000093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6" authorId="1" shapeId="0" xr:uid="{00000000-0006-0000-1000-000094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6" authorId="1" shapeId="0" xr:uid="{00000000-0006-0000-1000-000095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7" authorId="1" shapeId="0" xr:uid="{00000000-0006-0000-1000-000096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7" authorId="1" shapeId="0" xr:uid="{00000000-0006-0000-1000-000097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7" authorId="1" shapeId="0" xr:uid="{00000000-0006-0000-1000-000098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8" authorId="1" shapeId="0" xr:uid="{00000000-0006-0000-1000-000099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8" authorId="1" shapeId="0" xr:uid="{00000000-0006-0000-1000-00009A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8" authorId="1" shapeId="0" xr:uid="{00000000-0006-0000-1000-00009B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See notes for limits; these are computed based on those limits.</t>
        </r>
      </text>
    </comment>
    <comment ref="AK288" authorId="1" shapeId="0" xr:uid="{00000000-0006-0000-1000-00009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Assumed from bucket conveyor</t>
        </r>
      </text>
    </comment>
    <comment ref="AL318" authorId="1" shapeId="0" xr:uid="{00000000-0006-0000-1000-00009D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19" authorId="1" shapeId="0" xr:uid="{00000000-0006-0000-1000-00009E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0" authorId="1" shapeId="0" xr:uid="{00000000-0006-0000-1000-00009F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T5" authorId="0" shapeId="0" xr:uid="{00000000-0006-0000-0E00-000001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U5" authorId="0" shapeId="0" xr:uid="{00000000-0006-0000-0E00-000002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V5" authorId="0" shapeId="0" xr:uid="{00000000-0006-0000-0E00-000003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E53" authorId="0" shapeId="0" xr:uid="{ED167B90-6708-B74F-A8F6-6B48C37E36F1}">
      <text>
        <r>
          <rPr>
            <sz val="11"/>
            <color indexed="8"/>
            <rFont val="Calibri"/>
            <family val="2"/>
            <scheme val="minor"/>
          </rPr>
          <t xml:space="preserve">*  Preliminary. All indexes are subject to revision four months after original publication.
</t>
        </r>
      </text>
    </comment>
    <comment ref="F53" authorId="0" shapeId="0" xr:uid="{FCCF0311-1E83-BC4B-987E-9219F458E339}">
      <text>
        <r>
          <rPr>
            <sz val="11"/>
            <color indexed="8"/>
            <rFont val="Calibri"/>
            <family val="2"/>
            <scheme val="minor"/>
          </rPr>
          <t xml:space="preserve">*  Preliminary. All indexes are subject to revision four months after original publication.
</t>
        </r>
      </text>
    </comment>
    <comment ref="G53" authorId="0" shapeId="0" xr:uid="{8CFB3E6A-4F1B-3C48-91EE-3D992677B6B5}">
      <text>
        <r>
          <rPr>
            <sz val="11"/>
            <color indexed="8"/>
            <rFont val="Calibri"/>
            <family val="2"/>
            <scheme val="minor"/>
          </rPr>
          <t xml:space="preserve">*  Preliminary. All indexes are subject to revision four months after original publication.
</t>
        </r>
      </text>
    </comment>
    <comment ref="H53" authorId="0" shapeId="0" xr:uid="{F57FED21-DDFC-3D4D-B5C2-79B104E785CE}">
      <text>
        <r>
          <rPr>
            <sz val="11"/>
            <color indexed="8"/>
            <rFont val="Calibri"/>
            <family val="2"/>
            <scheme val="minor"/>
          </rPr>
          <t xml:space="preserve">*  Preliminary. All indexes are subject to revision four months after original publication.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B5" authorId="0" shapeId="0" xr:uid="{00000000-0006-0000-1300-000001000000}">
      <text>
        <r>
          <rPr>
            <b/>
            <sz val="9"/>
            <color rgb="FF000000"/>
            <rFont val="Calibri"/>
            <family val="2"/>
          </rPr>
          <t>Kurt Van Allsburg:</t>
        </r>
        <r>
          <rPr>
            <sz val="9"/>
            <color rgb="FF000000"/>
            <rFont val="Calibri"/>
            <family val="2"/>
          </rPr>
          <t xml:space="preserve">
</t>
        </r>
        <r>
          <rPr>
            <sz val="9"/>
            <color rgb="FF000000"/>
            <rFont val="Calibri"/>
            <family val="2"/>
          </rPr>
          <t>Chemical Engineering Plant Cost Index. Years 1957-1959 = 100</t>
        </r>
      </text>
    </comment>
    <comment ref="C5" authorId="0" shapeId="0" xr:uid="{00000000-0006-0000-1300-000002000000}">
      <text>
        <r>
          <rPr>
            <b/>
            <sz val="9"/>
            <color rgb="FF000000"/>
            <rFont val="Calibri"/>
            <family val="2"/>
          </rPr>
          <t>Kurt Van Allsburg:</t>
        </r>
        <r>
          <rPr>
            <sz val="9"/>
            <color rgb="FF000000"/>
            <rFont val="Calibri"/>
            <family val="2"/>
          </rPr>
          <t xml:space="preserve">
</t>
        </r>
        <r>
          <rPr>
            <sz val="9"/>
            <color rgb="FF000000"/>
            <rFont val="Calibri"/>
            <family val="2"/>
          </rPr>
          <t>Marshall-Swift Process Industry Index Year 1926 = 100</t>
        </r>
      </text>
    </comment>
    <comment ref="D5" authorId="0" shapeId="0" xr:uid="{00000000-0006-0000-1300-000003000000}">
      <text>
        <r>
          <rPr>
            <b/>
            <sz val="9"/>
            <color rgb="FF000000"/>
            <rFont val="Calibri"/>
            <family val="2"/>
          </rPr>
          <t>Kurt Van Allsburg:</t>
        </r>
        <r>
          <rPr>
            <sz val="9"/>
            <color rgb="FF000000"/>
            <rFont val="Calibri"/>
            <family val="2"/>
          </rPr>
          <t xml:space="preserve">
</t>
        </r>
        <r>
          <rPr>
            <sz val="9"/>
            <color rgb="FF000000"/>
            <rFont val="Calibri"/>
            <family val="2"/>
          </rPr>
          <t>Nelson-Farrar Refinery Construction Index Year 1946 = 100</t>
        </r>
      </text>
    </comment>
    <comment ref="E5" authorId="0" shapeId="0" xr:uid="{00000000-0006-0000-1300-000004000000}">
      <text>
        <r>
          <rPr>
            <b/>
            <sz val="9"/>
            <color rgb="FF000000"/>
            <rFont val="Calibri"/>
            <family val="2"/>
          </rPr>
          <t>Kurt Van Allsburg:</t>
        </r>
        <r>
          <rPr>
            <sz val="9"/>
            <color rgb="FF000000"/>
            <rFont val="Calibri"/>
            <family val="2"/>
          </rPr>
          <t xml:space="preserve">
</t>
        </r>
        <r>
          <rPr>
            <sz val="9"/>
            <color rgb="FF000000"/>
            <rFont val="Calibri"/>
            <family val="2"/>
          </rPr>
          <t>Engineering News-Record Construction Index Year 1967 = 100</t>
        </r>
      </text>
    </comment>
    <comment ref="F5" authorId="0" shapeId="0" xr:uid="{00000000-0006-0000-1300-000005000000}">
      <text>
        <r>
          <rPr>
            <b/>
            <sz val="9"/>
            <color rgb="FF000000"/>
            <rFont val="Calibri"/>
            <family val="2"/>
          </rPr>
          <t>Kurt Van Allsburg:</t>
        </r>
        <r>
          <rPr>
            <sz val="9"/>
            <color rgb="FF000000"/>
            <rFont val="Calibri"/>
            <family val="2"/>
          </rPr>
          <t xml:space="preserve">
</t>
        </r>
        <r>
          <rPr>
            <sz val="9"/>
            <color rgb="FF000000"/>
            <rFont val="Calibri"/>
            <family val="2"/>
          </rPr>
          <t>Direct from Chem. Eng. all years</t>
        </r>
      </text>
    </comment>
    <comment ref="C37" authorId="1" shapeId="0" xr:uid="{00000000-0006-0000-1300-000006000000}">
      <text>
        <r>
          <rPr>
            <b/>
            <sz val="10"/>
            <color rgb="FF000000"/>
            <rFont val="Tahoma"/>
            <family val="2"/>
          </rPr>
          <t>Van Allsburg, Kurt:</t>
        </r>
        <r>
          <rPr>
            <sz val="10"/>
            <color rgb="FF000000"/>
            <rFont val="Tahoma"/>
            <family val="2"/>
          </rPr>
          <t xml:space="preserve">
</t>
        </r>
        <r>
          <rPr>
            <sz val="10"/>
            <color rgb="FF000000"/>
            <rFont val="Calibri"/>
            <family val="2"/>
          </rPr>
          <t>Data from </t>
        </r>
        <r>
          <rPr>
            <i/>
            <sz val="10"/>
            <color rgb="FF000000"/>
            <rFont val="Calibri"/>
            <family val="2"/>
          </rPr>
          <t>Chemical Engineering</t>
        </r>
        <r>
          <rPr>
            <sz val="10"/>
            <color rgb="FF000000"/>
            <rFont val="Calibri"/>
            <family val="2"/>
          </rPr>
          <t> until April 2012</t>
        </r>
      </text>
    </comment>
    <comment ref="B46" authorId="1" shapeId="0" xr:uid="{286763F8-372D-B349-84AE-0A94CEDA3F38}">
      <text>
        <r>
          <rPr>
            <b/>
            <sz val="10"/>
            <color rgb="FF000000"/>
            <rFont val="Tahoma"/>
            <family val="2"/>
          </rPr>
          <t>Van Allsburg, Kurt:</t>
        </r>
        <r>
          <rPr>
            <sz val="10"/>
            <color rgb="FF000000"/>
            <rFont val="Tahoma"/>
            <family val="2"/>
          </rPr>
          <t xml:space="preserve">
</t>
        </r>
        <r>
          <rPr>
            <sz val="10"/>
            <color rgb="FF000000"/>
            <rFont val="Tahoma"/>
            <family val="2"/>
          </rPr>
          <t>May '20 Final data.</t>
        </r>
      </text>
    </comment>
    <comment ref="F46" authorId="1" shapeId="0" xr:uid="{BD91B716-C94D-6E46-85A0-CDDBB5345EAD}">
      <text>
        <r>
          <rPr>
            <b/>
            <sz val="10"/>
            <color rgb="FF000000"/>
            <rFont val="Tahoma"/>
            <family val="2"/>
          </rPr>
          <t>Van Allsburg, Kurt:</t>
        </r>
        <r>
          <rPr>
            <sz val="10"/>
            <color rgb="FF000000"/>
            <rFont val="Tahoma"/>
            <family val="2"/>
          </rPr>
          <t xml:space="preserve">
</t>
        </r>
        <r>
          <rPr>
            <sz val="10"/>
            <color rgb="FF000000"/>
            <rFont val="Tahoma"/>
            <family val="2"/>
          </rPr>
          <t>May '20 Final data.</t>
        </r>
      </text>
    </comment>
  </commentList>
</comments>
</file>

<file path=xl/sharedStrings.xml><?xml version="1.0" encoding="utf-8"?>
<sst xmlns="http://schemas.openxmlformats.org/spreadsheetml/2006/main" count="7426" uniqueCount="1856">
  <si>
    <t>Economics</t>
  </si>
  <si>
    <t>Currency</t>
  </si>
  <si>
    <t>Mass Unit</t>
  </si>
  <si>
    <t>Metals Purchase Basis</t>
  </si>
  <si>
    <t>Organics Purchase Basis</t>
  </si>
  <si>
    <t>Output Units</t>
  </si>
  <si>
    <t>Capacity Factor</t>
  </si>
  <si>
    <t>hours</t>
  </si>
  <si>
    <t>years</t>
  </si>
  <si>
    <t>%</t>
  </si>
  <si>
    <t>USD ($)</t>
  </si>
  <si>
    <t>Operating Hours (Labor)</t>
  </si>
  <si>
    <t>Design Production, Annual</t>
  </si>
  <si>
    <t>Operating Hours (Production)</t>
  </si>
  <si>
    <t>Actual Production, Annual</t>
  </si>
  <si>
    <t>Production Capacity - Operating Hours</t>
  </si>
  <si>
    <t>Design Production Rate</t>
  </si>
  <si>
    <t>Material Name</t>
  </si>
  <si>
    <t>Unit</t>
  </si>
  <si>
    <t>…in selected output units</t>
  </si>
  <si>
    <t>lb</t>
  </si>
  <si>
    <t>User Input</t>
  </si>
  <si>
    <t>Quantity (Q)</t>
  </si>
  <si>
    <t>Pricing Calculations</t>
  </si>
  <si>
    <t>Stoichiometric Calculations</t>
  </si>
  <si>
    <t>Active Phase Weight Percent</t>
  </si>
  <si>
    <t>Active Phase Molecular Weight</t>
  </si>
  <si>
    <t>Yield Type: % Yield or Mass?</t>
  </si>
  <si>
    <t>Constants</t>
  </si>
  <si>
    <t>Molar Volume of Gas</t>
  </si>
  <si>
    <t>at STP (25 °C, 100 kPa)</t>
  </si>
  <si>
    <t>mL/mol</t>
  </si>
  <si>
    <t>R, mL*kPa/(K*mol)</t>
  </si>
  <si>
    <t>Active Phase Mass at Prep Scale</t>
  </si>
  <si>
    <t>Catalyst Mass at Prep Scale</t>
  </si>
  <si>
    <t>Stoichiometric Ratio AP/metal</t>
  </si>
  <si>
    <t>Q in mol</t>
  </si>
  <si>
    <t>Q low</t>
  </si>
  <si>
    <t>Q high</t>
  </si>
  <si>
    <t>Base</t>
  </si>
  <si>
    <t>Low</t>
  </si>
  <si>
    <t>High</t>
  </si>
  <si>
    <t>Currency Symbol</t>
  </si>
  <si>
    <t>Estimate Name</t>
  </si>
  <si>
    <t>Show/Hide Sensitivity Inputs Using +/- above</t>
  </si>
  <si>
    <t>Price low</t>
  </si>
  <si>
    <t>Price high</t>
  </si>
  <si>
    <t>This sheet provides standard unit conversions to minimize the length of formulas and eliminate hardcoded conversion values on other sheets.</t>
  </si>
  <si>
    <t>Full name</t>
  </si>
  <si>
    <t>Definition</t>
  </si>
  <si>
    <t>Unit of mass/weight</t>
  </si>
  <si>
    <t>Size in kg</t>
  </si>
  <si>
    <t>Unit of volume</t>
  </si>
  <si>
    <t>Size in L</t>
  </si>
  <si>
    <t>pound (US)</t>
  </si>
  <si>
    <t>base (US)</t>
  </si>
  <si>
    <t>Yes</t>
  </si>
  <si>
    <t>No</t>
  </si>
  <si>
    <t>-</t>
  </si>
  <si>
    <t>oz</t>
  </si>
  <si>
    <t>ounce (US)</t>
  </si>
  <si>
    <t>1/16 lb</t>
  </si>
  <si>
    <t>oz t</t>
  </si>
  <si>
    <t>troy ounce</t>
  </si>
  <si>
    <t>31.1034768 g</t>
  </si>
  <si>
    <t>short ton (US)</t>
  </si>
  <si>
    <t>2000 lb</t>
  </si>
  <si>
    <t>long ton (imperial)</t>
  </si>
  <si>
    <t>2240 lb</t>
  </si>
  <si>
    <t>metric ton</t>
  </si>
  <si>
    <t>1000 kg</t>
  </si>
  <si>
    <t>kg</t>
  </si>
  <si>
    <t>kilogram</t>
  </si>
  <si>
    <t>1000 g</t>
  </si>
  <si>
    <t>g</t>
  </si>
  <si>
    <t>gram</t>
  </si>
  <si>
    <t>base (SI)</t>
  </si>
  <si>
    <t>L</t>
  </si>
  <si>
    <t>liter</t>
  </si>
  <si>
    <t>mL</t>
  </si>
  <si>
    <t>milliliter</t>
  </si>
  <si>
    <t>1e-3 L</t>
  </si>
  <si>
    <t>µL</t>
  </si>
  <si>
    <t>microliter</t>
  </si>
  <si>
    <t>1e-6 L</t>
  </si>
  <si>
    <t>gal</t>
  </si>
  <si>
    <t>gallon (US)</t>
  </si>
  <si>
    <t>imperial gal</t>
  </si>
  <si>
    <t>gallon (imperial)</t>
  </si>
  <si>
    <t>base (imp)</t>
  </si>
  <si>
    <t>dry gal</t>
  </si>
  <si>
    <t>dry gallon (US)</t>
  </si>
  <si>
    <t>fl oz</t>
  </si>
  <si>
    <t>fluid ounce (US)</t>
  </si>
  <si>
    <t>cu ft</t>
  </si>
  <si>
    <t>cubic foot</t>
  </si>
  <si>
    <t>This sheet allows time-value scaling of price quote information to a single basis year.</t>
  </si>
  <si>
    <t>The information comes from the US Bureau of Labor Statistics with series ID listed below.</t>
  </si>
  <si>
    <t>PPI Industry Data</t>
  </si>
  <si>
    <t>Original Data Value</t>
  </si>
  <si>
    <t>Series Id:</t>
  </si>
  <si>
    <t>PCU325---325---</t>
  </si>
  <si>
    <t>Industry:</t>
  </si>
  <si>
    <t>Chemical mfg</t>
  </si>
  <si>
    <t>Product:</t>
  </si>
  <si>
    <t>Base Date:</t>
  </si>
  <si>
    <t>198412</t>
  </si>
  <si>
    <t>Years:</t>
  </si>
  <si>
    <t>Year</t>
  </si>
  <si>
    <t>Jan</t>
  </si>
  <si>
    <t>Feb</t>
  </si>
  <si>
    <t>Mar</t>
  </si>
  <si>
    <t>Apr</t>
  </si>
  <si>
    <t>May</t>
  </si>
  <si>
    <t>Jun</t>
  </si>
  <si>
    <t>Jul</t>
  </si>
  <si>
    <t>Aug</t>
  </si>
  <si>
    <t>Sep</t>
  </si>
  <si>
    <t>Oct</t>
  </si>
  <si>
    <t>Nov</t>
  </si>
  <si>
    <t>Dec</t>
  </si>
  <si>
    <t>Annual</t>
  </si>
  <si>
    <t>g/mol</t>
  </si>
  <si>
    <t>Material Type</t>
  </si>
  <si>
    <t>MW (g/mol)</t>
  </si>
  <si>
    <t>Density (g/mL)</t>
  </si>
  <si>
    <t>Concentration (%)</t>
  </si>
  <si>
    <t>Lab-Scale Log Fit?</t>
  </si>
  <si>
    <t>Lab Quantity 1</t>
  </si>
  <si>
    <t>Lab Quantity 2</t>
  </si>
  <si>
    <t>Lab Quantity 3</t>
  </si>
  <si>
    <t>Lab Quantity 4</t>
  </si>
  <si>
    <t>Lab Units</t>
  </si>
  <si>
    <t>Lab Price 1</t>
  </si>
  <si>
    <t>Lab Price 2</t>
  </si>
  <si>
    <t>Lab Price 3</t>
  </si>
  <si>
    <t>Lab Price 4</t>
  </si>
  <si>
    <t>Lab Quote Count</t>
  </si>
  <si>
    <t>Lab Q Model Units 1</t>
  </si>
  <si>
    <t>Lab Q Model Units 2</t>
  </si>
  <si>
    <t>Lab Q Model Units 3</t>
  </si>
  <si>
    <t>Lab Q Model Units 4</t>
  </si>
  <si>
    <t>Lab Unit P 1</t>
  </si>
  <si>
    <t>Lab Unit P 2</t>
  </si>
  <si>
    <t>Lab Unit P 3</t>
  </si>
  <si>
    <t>Lab Unit P 4</t>
  </si>
  <si>
    <t>Lab Log-Log Slope</t>
  </si>
  <si>
    <t>Lab Log-Log Intercept</t>
  </si>
  <si>
    <t>Basis Cell</t>
  </si>
  <si>
    <t>Bulk Quote Price ($)</t>
  </si>
  <si>
    <t>Bulk Quote Quantity</t>
  </si>
  <si>
    <t>Bulk Quote Units</t>
  </si>
  <si>
    <t>Quote Year</t>
  </si>
  <si>
    <t>Quote Source</t>
  </si>
  <si>
    <t>Quote Access Date</t>
  </si>
  <si>
    <t>Unit price in quote year</t>
  </si>
  <si>
    <t>Unit price</t>
  </si>
  <si>
    <t>Unit price dimensions</t>
  </si>
  <si>
    <t>Notes</t>
  </si>
  <si>
    <t>Support</t>
  </si>
  <si>
    <t>?</t>
  </si>
  <si>
    <t>ICIS</t>
  </si>
  <si>
    <t>MassNames</t>
  </si>
  <si>
    <t>VolNames</t>
  </si>
  <si>
    <t>Lab Forecast Unit Price (Output Mass Units)</t>
  </si>
  <si>
    <t>Show/Hide Calculation Columns Using +/- above</t>
  </si>
  <si>
    <t>Show/Hide Lab-Scale Columns Using +/– Symbol Above</t>
  </si>
  <si>
    <t>For Lab-Scale Log Fit,  Show/Hide Lab-Scale Columns Using +/– Symbol Above</t>
  </si>
  <si>
    <t>at 70 °F, 101.35 kPa (SCF definition)</t>
  </si>
  <si>
    <t>Metal</t>
  </si>
  <si>
    <t>Spot Price ($)</t>
  </si>
  <si>
    <t>Source</t>
  </si>
  <si>
    <t>Price $ / Model Mass Unit</t>
  </si>
  <si>
    <t>Units</t>
  </si>
  <si>
    <t>Iron</t>
  </si>
  <si>
    <t>Cobalt</t>
  </si>
  <si>
    <t>InvestmentMine</t>
  </si>
  <si>
    <t>Nickel</t>
  </si>
  <si>
    <t>Copper</t>
  </si>
  <si>
    <t>Aluminum</t>
  </si>
  <si>
    <t>Molybdenum</t>
  </si>
  <si>
    <t>Ruthenium</t>
  </si>
  <si>
    <t>Rhodium</t>
  </si>
  <si>
    <t>Palladium</t>
  </si>
  <si>
    <t>Tungsten</t>
  </si>
  <si>
    <t>Iridium</t>
  </si>
  <si>
    <t>Platinum</t>
  </si>
  <si>
    <t>Silver</t>
  </si>
  <si>
    <t>Gold</t>
  </si>
  <si>
    <t>Purchased Equipment</t>
  </si>
  <si>
    <t>Installation</t>
  </si>
  <si>
    <t>Instrumentation and Controls</t>
  </si>
  <si>
    <t>Piping</t>
  </si>
  <si>
    <t>Electrical</t>
  </si>
  <si>
    <t>Buildings</t>
  </si>
  <si>
    <t>Yard Improvements</t>
  </si>
  <si>
    <t>Service Facilities</t>
  </si>
  <si>
    <t>Waste Treatment</t>
  </si>
  <si>
    <t>Land</t>
  </si>
  <si>
    <t>Engineering and Supervision</t>
  </si>
  <si>
    <t>Construction Expenses</t>
  </si>
  <si>
    <t>Legal Expenses</t>
  </si>
  <si>
    <t>Contractor's Fee</t>
  </si>
  <si>
    <t>Contingency</t>
  </si>
  <si>
    <t>Working Capital</t>
  </si>
  <si>
    <t>Note</t>
  </si>
  <si>
    <t>Direct Labor Operators (rounded up)</t>
  </si>
  <si>
    <t>Direct Labor Hours per Year</t>
  </si>
  <si>
    <t>Rent, % of value of rented land</t>
  </si>
  <si>
    <t>Plant Overhead, % of LSM</t>
  </si>
  <si>
    <t>http://data.bls.gov/cgi-bin/srgate</t>
  </si>
  <si>
    <t>Updated:</t>
  </si>
  <si>
    <t>Source:</t>
  </si>
  <si>
    <t>Excel output from BLS website follows:</t>
  </si>
  <si>
    <t>% of purchased equipment cost</t>
  </si>
  <si>
    <t>Outputs (considering waste/spoilage)</t>
  </si>
  <si>
    <t>Losses Due to Waste/Spoilage</t>
  </si>
  <si>
    <t>Units for Size, S</t>
  </si>
  <si>
    <t>S lower</t>
  </si>
  <si>
    <t>S upper</t>
  </si>
  <si>
    <t>a</t>
  </si>
  <si>
    <t>b</t>
  </si>
  <si>
    <t>Mixer, propeller</t>
  </si>
  <si>
    <t>driver power, kW</t>
  </si>
  <si>
    <t>Mixer, spiral ribbon</t>
  </si>
  <si>
    <t>Mixer, static</t>
  </si>
  <si>
    <t>L/s</t>
  </si>
  <si>
    <t>kg/h steam</t>
  </si>
  <si>
    <t>Centrifuge, high speed disk</t>
  </si>
  <si>
    <t>diameter, m</t>
  </si>
  <si>
    <t>Centrifuge, atmospheric suspended basket</t>
  </si>
  <si>
    <t>power, kW</t>
  </si>
  <si>
    <t>Compressor, blower</t>
  </si>
  <si>
    <t>m3/h</t>
  </si>
  <si>
    <t>Compressor, centrifugal</t>
  </si>
  <si>
    <t>Compressor, reciprocating</t>
  </si>
  <si>
    <t>Conveyor, belt, 0.5 m wide</t>
  </si>
  <si>
    <t>length, m</t>
  </si>
  <si>
    <t>Conveyor, belt, 1.0 m wide</t>
  </si>
  <si>
    <t>Conveyor, bucket elevator, 0.5 m bucket</t>
  </si>
  <si>
    <t>Crusher, reversible hammer mill</t>
  </si>
  <si>
    <t>ton/h</t>
  </si>
  <si>
    <t>Crusher, pulverizer</t>
  </si>
  <si>
    <t>kg/h</t>
  </si>
  <si>
    <t>Crusher, jaw</t>
  </si>
  <si>
    <t>Crusher, gyratory</t>
  </si>
  <si>
    <t>Crusher, ball mill</t>
  </si>
  <si>
    <t>Crystallizer, scraped surface</t>
  </si>
  <si>
    <t>m2</t>
  </si>
  <si>
    <t>area, m2</t>
  </si>
  <si>
    <t>evap rate kg/h</t>
  </si>
  <si>
    <t>Evaporator, vertical tube</t>
  </si>
  <si>
    <t>Evaporator, agitated falling film</t>
  </si>
  <si>
    <t>304 ss</t>
  </si>
  <si>
    <t>capacity, m3</t>
  </si>
  <si>
    <t>Furnace, cylindrical</t>
  </si>
  <si>
    <t>duty, MW</t>
  </si>
  <si>
    <t>Furnace, box</t>
  </si>
  <si>
    <t>Packing, 304 ss Raschig rings</t>
  </si>
  <si>
    <t>m3</t>
  </si>
  <si>
    <t>Packing, ceramic intalox saddles</t>
  </si>
  <si>
    <t>ceramic</t>
  </si>
  <si>
    <t>Packing, 304 ss Pall rings</t>
  </si>
  <si>
    <t>Packing, PVC structured packing</t>
  </si>
  <si>
    <t>PVC</t>
  </si>
  <si>
    <t>Packing, 304 ss structured packing, 350 m2/m3</t>
  </si>
  <si>
    <t>Pressure vessel, vertical</t>
  </si>
  <si>
    <t>shell mass, kg</t>
  </si>
  <si>
    <t>Not including heads, ports, brackets, internals, etc. (see Chapter 14 for how to calculate wall thickness).</t>
  </si>
  <si>
    <t>Pressure vessel, horizontal</t>
  </si>
  <si>
    <t>Pressure vessel, vertical, 304 ss</t>
  </si>
  <si>
    <t>Pressure vessel, horizontal, 304 ss</t>
  </si>
  <si>
    <t>Pump, single stage centrifugal</t>
  </si>
  <si>
    <t>flow, L/s</t>
  </si>
  <si>
    <t>Pump, explosion proof</t>
  </si>
  <si>
    <t>Pump, condensing steam turbine</t>
  </si>
  <si>
    <t>Reactor, jacketed, agitated</t>
  </si>
  <si>
    <t>volume, m3</t>
  </si>
  <si>
    <t>Reactor, jacketed, agitated, glass-lined</t>
  </si>
  <si>
    <t>Tray, sieve</t>
  </si>
  <si>
    <t>Cost per tray based on a stack of 30 trays</t>
  </si>
  <si>
    <t>Tray, valve</t>
  </si>
  <si>
    <t>Tray, bubble cap</t>
  </si>
  <si>
    <t>Cooling tower w/ pumps, field assembled</t>
  </si>
  <si>
    <t>Refrigerator evaporator, packaged mechanical</t>
  </si>
  <si>
    <t>duty, kW</t>
  </si>
  <si>
    <t>Water ion exchange plant</t>
  </si>
  <si>
    <t>flow, m3/h</t>
  </si>
  <si>
    <t>Name</t>
  </si>
  <si>
    <t>Dryers</t>
  </si>
  <si>
    <t>Column Packings</t>
  </si>
  <si>
    <t>Tanks</t>
  </si>
  <si>
    <t>CEPCI</t>
  </si>
  <si>
    <t>NF Refinery</t>
  </si>
  <si>
    <t>Function Type</t>
  </si>
  <si>
    <t>1 - Power Law</t>
  </si>
  <si>
    <t>This table covers capital-specific cost indices used to scale equipment quotes, etc.</t>
  </si>
  <si>
    <t>MS</t>
  </si>
  <si>
    <t>NF</t>
  </si>
  <si>
    <t>ENR</t>
  </si>
  <si>
    <t>CEPCI Equip</t>
  </si>
  <si>
    <t>Evaporator, short tube and horizontal spray tube</t>
  </si>
  <si>
    <t>Nominal filter area, A (m2)</t>
  </si>
  <si>
    <t>Heat transfer surface area, A (m2)</t>
  </si>
  <si>
    <t>Equipment Type</t>
  </si>
  <si>
    <t>Size Unit</t>
  </si>
  <si>
    <t>Within Size Limits?</t>
  </si>
  <si>
    <t>Quantity</t>
  </si>
  <si>
    <t>Purchase Cost</t>
  </si>
  <si>
    <t>Labor Factor</t>
  </si>
  <si>
    <t>User Label</t>
  </si>
  <si>
    <t>Material of Construction</t>
  </si>
  <si>
    <t>Size</t>
  </si>
  <si>
    <t>Boilers</t>
  </si>
  <si>
    <t>Utilities</t>
  </si>
  <si>
    <t>R-101</t>
  </si>
  <si>
    <t>R-102</t>
  </si>
  <si>
    <t>S-101</t>
  </si>
  <si>
    <t>S-102</t>
  </si>
  <si>
    <t>Material 1</t>
  </si>
  <si>
    <t>Material 2</t>
  </si>
  <si>
    <t>Material 3</t>
  </si>
  <si>
    <t>Material 4</t>
  </si>
  <si>
    <t>Material 5</t>
  </si>
  <si>
    <t>Material 6</t>
  </si>
  <si>
    <t>Material 7</t>
  </si>
  <si>
    <t>Factor 1</t>
  </si>
  <si>
    <t>Factor 2</t>
  </si>
  <si>
    <t>Factor 3</t>
  </si>
  <si>
    <t>Factor 4</t>
  </si>
  <si>
    <t>Factor 5</t>
  </si>
  <si>
    <t>Factor 6</t>
  </si>
  <si>
    <t>Factor 7</t>
  </si>
  <si>
    <t>Carbon steel</t>
  </si>
  <si>
    <t>Aluminum and bronze</t>
  </si>
  <si>
    <t>Cast steel</t>
  </si>
  <si>
    <t>304 stainless steel</t>
  </si>
  <si>
    <t>316 stainless steel</t>
  </si>
  <si>
    <t>321 stainless steel</t>
  </si>
  <si>
    <t>Hastelloy C</t>
  </si>
  <si>
    <t>Monel</t>
  </si>
  <si>
    <t>Nickel and Inconel</t>
  </si>
  <si>
    <t>Material 8</t>
  </si>
  <si>
    <t>Material 9</t>
  </si>
  <si>
    <t>Factor 8</t>
  </si>
  <si>
    <t>Factor 9</t>
  </si>
  <si>
    <t>Ceramic</t>
  </si>
  <si>
    <t>Pricing Basis Material</t>
  </si>
  <si>
    <t>Polypropylene</t>
  </si>
  <si>
    <t>Stainless steel</t>
  </si>
  <si>
    <t>Copper alloy</t>
  </si>
  <si>
    <t>Nickel alloy</t>
  </si>
  <si>
    <t>Titanium</t>
  </si>
  <si>
    <t>Installation Factor (Garrett)</t>
  </si>
  <si>
    <t>Installed Cost</t>
  </si>
  <si>
    <t>Totals</t>
  </si>
  <si>
    <t>Direct Labor Rate</t>
  </si>
  <si>
    <t>% of DL</t>
  </si>
  <si>
    <t>Supervisory and Clerical Labor</t>
  </si>
  <si>
    <t>Direct Labor Cost (DL)</t>
  </si>
  <si>
    <t>hr/yr</t>
  </si>
  <si>
    <t>Laboratory Charges</t>
  </si>
  <si>
    <t>% of FCI</t>
  </si>
  <si>
    <t>Operating Supplies</t>
  </si>
  <si>
    <t>% of M&amp;R</t>
  </si>
  <si>
    <t>Maintenance and Repair (M&amp;R)</t>
  </si>
  <si>
    <t>Local Taxes</t>
  </si>
  <si>
    <t>Insurance</t>
  </si>
  <si>
    <t>% of LSM</t>
  </si>
  <si>
    <t>% of land</t>
  </si>
  <si>
    <t>Total: Labor, Supplies, Maintenance, Lab (LSM)</t>
  </si>
  <si>
    <t>Total: Taxes, Insurance, Rent, Overhead</t>
  </si>
  <si>
    <t>Administration</t>
  </si>
  <si>
    <t>Research and Development</t>
  </si>
  <si>
    <t>Distribution and Marketing</t>
  </si>
  <si>
    <t>Total: Admin, Dist., Mkting., R&amp;D</t>
  </si>
  <si>
    <t>Utility</t>
  </si>
  <si>
    <t>Cooling Water</t>
  </si>
  <si>
    <t>Process Water</t>
  </si>
  <si>
    <t>Steam, 150 psig</t>
  </si>
  <si>
    <t>Steam, 600 psig</t>
  </si>
  <si>
    <t>Electricity</t>
  </si>
  <si>
    <t>Catalyst Mass</t>
  </si>
  <si>
    <t>Clay</t>
  </si>
  <si>
    <t>Production Capacity - Catalyst</t>
  </si>
  <si>
    <t>Cost Item</t>
  </si>
  <si>
    <t>Fixed Capital Investment</t>
  </si>
  <si>
    <t>Direct Capital</t>
  </si>
  <si>
    <t>Total Direct</t>
  </si>
  <si>
    <t>Indirect Capital</t>
  </si>
  <si>
    <t>Total Indirect</t>
  </si>
  <si>
    <t>Total Fixed Capital Investment (FCI)</t>
  </si>
  <si>
    <t>Direct Operating Costs</t>
  </si>
  <si>
    <t>Raw Materials</t>
  </si>
  <si>
    <t>Process Utilities</t>
  </si>
  <si>
    <t>Labor, Supplies, Maintenance, Lab</t>
  </si>
  <si>
    <t>Indirect Operating Costs</t>
  </si>
  <si>
    <t>Taxes, Insurance, Rent, Overhead</t>
  </si>
  <si>
    <t>General Expenses</t>
  </si>
  <si>
    <t>Admin, Dist., Mkting., R&amp;D</t>
  </si>
  <si>
    <t>kgal</t>
  </si>
  <si>
    <t>ton</t>
  </si>
  <si>
    <t>kWh</t>
  </si>
  <si>
    <t>MMBtu</t>
  </si>
  <si>
    <t>Dollars</t>
  </si>
  <si>
    <t>Return on Capital Investment</t>
  </si>
  <si>
    <t>Total Capital Investment</t>
  </si>
  <si>
    <t>Operating Costs</t>
  </si>
  <si>
    <t>Total Operating Costs</t>
  </si>
  <si>
    <t>Total Catalyst Cost</t>
  </si>
  <si>
    <t>Global Inputs</t>
  </si>
  <si>
    <t>Materials Calculation Inputs</t>
  </si>
  <si>
    <t>Materials Cost Totals</t>
  </si>
  <si>
    <t>Total Capital Investment (TCI)</t>
  </si>
  <si>
    <t>Direct Labor</t>
  </si>
  <si>
    <t>Fixed/Indirect Operating Costs</t>
  </si>
  <si>
    <t>operators</t>
  </si>
  <si>
    <t>Unit Cost</t>
  </si>
  <si>
    <t>Cost Estimate Outputs</t>
  </si>
  <si>
    <t>Input Formats</t>
  </si>
  <si>
    <t>Completed input</t>
  </si>
  <si>
    <t>Other Formats</t>
  </si>
  <si>
    <t>Required drop-down entry</t>
  </si>
  <si>
    <t>Optional drop-down entry</t>
  </si>
  <si>
    <t>Key output</t>
  </si>
  <si>
    <t>Sensitivities Key</t>
  </si>
  <si>
    <t>Inputs</t>
  </si>
  <si>
    <t>Input 1</t>
  </si>
  <si>
    <t>Input 2</t>
  </si>
  <si>
    <r>
      <rPr>
        <sz val="12"/>
        <color rgb="FF800000"/>
        <rFont val="Calibri"/>
        <family val="2"/>
        <scheme val="minor"/>
      </rPr>
      <t xml:space="preserve">   above</t>
    </r>
    <r>
      <rPr>
        <sz val="12"/>
        <color theme="1"/>
        <rFont val="Calibri"/>
        <family val="2"/>
        <scheme val="minor"/>
      </rPr>
      <t>" and associated +/- buttons will indicate the presence of sensitivity inputs.</t>
    </r>
  </si>
  <si>
    <t xml:space="preserve">   below:</t>
  </si>
  <si>
    <r>
      <t xml:space="preserve">&gt; The input cells for </t>
    </r>
    <r>
      <rPr>
        <b/>
        <sz val="12"/>
        <color theme="1"/>
        <rFont val="Calibri"/>
        <family val="2"/>
        <scheme val="minor"/>
      </rPr>
      <t>future sensitivity analysis</t>
    </r>
    <r>
      <rPr>
        <sz val="12"/>
        <color theme="1"/>
        <rFont val="Calibri"/>
        <family val="2"/>
        <scheme val="minor"/>
      </rPr>
      <t xml:space="preserve"> (evaluating the impact of changes to </t>
    </r>
  </si>
  <si>
    <t>&gt; Once expanded, the base, low, and high scenario input cells are indicated as shown</t>
  </si>
  <si>
    <r>
      <t xml:space="preserve">&gt; Cells with a </t>
    </r>
    <r>
      <rPr>
        <b/>
        <sz val="12"/>
        <color rgb="FF000000"/>
        <rFont val="Calibri"/>
        <family val="2"/>
        <scheme val="minor"/>
      </rPr>
      <t>red outline and question mark</t>
    </r>
    <r>
      <rPr>
        <sz val="12"/>
        <color rgb="FF000000"/>
        <rFont val="Calibri"/>
        <family val="2"/>
        <scheme val="minor"/>
      </rPr>
      <t xml:space="preserve"> contain notes on the input cell to their left.</t>
    </r>
  </si>
  <si>
    <t>Metal Sources</t>
  </si>
  <si>
    <t>Supports</t>
  </si>
  <si>
    <t>Seider 2017</t>
  </si>
  <si>
    <t>Sinnott 2013</t>
  </si>
  <si>
    <t>n / c</t>
  </si>
  <si>
    <t>Agitators</t>
  </si>
  <si>
    <t>Motor hp</t>
  </si>
  <si>
    <t>Includes motor and shaft, direct coupling to motor</t>
  </si>
  <si>
    <t>Includes motor and shaft, direct coupling to motor, pressures to 150 psig</t>
  </si>
  <si>
    <t>Includes motor and shaft, includes speed reducer</t>
  </si>
  <si>
    <t>Includes motor and shaft, includes speed reducer, pressures to 150 psig</t>
  </si>
  <si>
    <t>Autoclave, steel</t>
  </si>
  <si>
    <t>Autoclave, stainless steel</t>
  </si>
  <si>
    <t>Autoclave, glass lined</t>
  </si>
  <si>
    <t>Vessel volume, gal</t>
  </si>
  <si>
    <t>Includes turbine agitator and heat-transfer jacket, pressures to 300 psig</t>
  </si>
  <si>
    <t>Crystallizer, continuous cooling, jacketed scraped wall</t>
  </si>
  <si>
    <t>Length, ft</t>
  </si>
  <si>
    <t>Crystallizer, continuous evaporative, forced circulation</t>
  </si>
  <si>
    <t>Crystallizer, continuous evaporative, draft-tube baffled</t>
  </si>
  <si>
    <t>Crystallizer, batch evaporative</t>
  </si>
  <si>
    <t>Tons crystals / day</t>
  </si>
  <si>
    <t>Volume, ft3</t>
  </si>
  <si>
    <t>Steam turbine (noncondensing)</t>
  </si>
  <si>
    <t>Steam turbine (condensing)</t>
  </si>
  <si>
    <t>Gas turbine</t>
  </si>
  <si>
    <t>Internal combustion engine</t>
  </si>
  <si>
    <t>Shaft power, hp</t>
  </si>
  <si>
    <t>Ulrich 2004</t>
  </si>
  <si>
    <t>Tray area, ft2</t>
  </si>
  <si>
    <t>Drum peripheral area, ft2</t>
  </si>
  <si>
    <t>Heat-transfer area, ft2</t>
  </si>
  <si>
    <t>Evaporation rate, lb/hr</t>
  </si>
  <si>
    <t>Bag filter</t>
  </si>
  <si>
    <t>Cyclone</t>
  </si>
  <si>
    <t>Electrostatic precipitator</t>
  </si>
  <si>
    <t>Venturi scrubber</t>
  </si>
  <si>
    <t>Gas flow rate, actual ft3/min</t>
  </si>
  <si>
    <t>Evaporator, horizontal tube</t>
  </si>
  <si>
    <t>Evaporator, long-tube vertical (rising film)</t>
  </si>
  <si>
    <t>Evaporator, forced circulation</t>
  </si>
  <si>
    <t>Evaporator, falling film</t>
  </si>
  <si>
    <t>Heat transfer area, ft2</t>
  </si>
  <si>
    <t>Heater, reformer</t>
  </si>
  <si>
    <t>Heater, pyrolysis</t>
  </si>
  <si>
    <t>Heater, hot water</t>
  </si>
  <si>
    <t>Heater, molten salt, mineral and silicon oils</t>
  </si>
  <si>
    <t>Heater, Dowtherm A</t>
  </si>
  <si>
    <t>Heat absorbed, Btu/hr</t>
  </si>
  <si>
    <t>Carbon steel, pressure to 10 atm</t>
  </si>
  <si>
    <t>Carbon steel, pressure to 20 atm</t>
  </si>
  <si>
    <t>Dust Collectors</t>
  </si>
  <si>
    <t>Heat exchanger, air-cooled fin-fan</t>
  </si>
  <si>
    <t>Heat exchanger, compact plate and frame</t>
  </si>
  <si>
    <t>Heat exchanger, compact spiral tube</t>
  </si>
  <si>
    <t>Heat exchanger, compact spiral plate</t>
  </si>
  <si>
    <t>Bare-tube heat-transfer area, ft2</t>
  </si>
  <si>
    <t>Rotating-disk contactor</t>
  </si>
  <si>
    <t>S = (Height, ft)*(Diameter, ft)^1.5</t>
  </si>
  <si>
    <t>Stainless steel tubes, carbon steel shell</t>
  </si>
  <si>
    <t>Reverse osmosis, seawater</t>
  </si>
  <si>
    <t>Reverse osmosis, brackish water</t>
  </si>
  <si>
    <t>Gas permeation</t>
  </si>
  <si>
    <t>Pervaporation</t>
  </si>
  <si>
    <t>Non-Electric Drives</t>
  </si>
  <si>
    <t>Liquid-Liquid Extractors</t>
  </si>
  <si>
    <t>Membrane Separations</t>
  </si>
  <si>
    <t>Purified water, gal/day</t>
  </si>
  <si>
    <t>Membrane surface area, ft2</t>
  </si>
  <si>
    <t>Bare-module cost</t>
  </si>
  <si>
    <t>Membrane module</t>
  </si>
  <si>
    <t>Membrane cartridge</t>
  </si>
  <si>
    <t>Ultrafiltration, low cost scenario</t>
  </si>
  <si>
    <t>Ultrafiltration, average cost scenario</t>
  </si>
  <si>
    <t>Ultrafiltration, high cost scenario</t>
  </si>
  <si>
    <t>Kneader, tilting double arm</t>
  </si>
  <si>
    <t>Kneader, sigma double arm</t>
  </si>
  <si>
    <t>Muller mixer</t>
  </si>
  <si>
    <t>Ribbon mixer</t>
  </si>
  <si>
    <t>Tumbler, double cone</t>
  </si>
  <si>
    <t>Tumbler, twin shell</t>
  </si>
  <si>
    <t>Power-Recovery Turbines</t>
  </si>
  <si>
    <t>Gas expander turbine (pressure discharge)</t>
  </si>
  <si>
    <t>Gas expander turbine (vacuum discharge)</t>
  </si>
  <si>
    <t>Liquid expander turbine</t>
  </si>
  <si>
    <t>Power extracted, hp</t>
  </si>
  <si>
    <t>Screens</t>
  </si>
  <si>
    <t>Vibrating grizzlies</t>
  </si>
  <si>
    <t>Vibrating screens, 1 deck</t>
  </si>
  <si>
    <t>Vibrating screens, 2 decks</t>
  </si>
  <si>
    <t>Vibrating screens, 3 decks</t>
  </si>
  <si>
    <t>Surface area, ft2</t>
  </si>
  <si>
    <t>Disk agglomerator</t>
  </si>
  <si>
    <t>Drum agglomerator</t>
  </si>
  <si>
    <t>Pellet mill</t>
  </si>
  <si>
    <t>Pug mill extruder</t>
  </si>
  <si>
    <t>Screw extruder</t>
  </si>
  <si>
    <t>Roll-type press</t>
  </si>
  <si>
    <t>Tableting press</t>
  </si>
  <si>
    <t>Feed rate, lb/hr</t>
  </si>
  <si>
    <t>Gyratory crusher</t>
  </si>
  <si>
    <t>Feed rate, ton/hr</t>
  </si>
  <si>
    <t>Jaw crusher</t>
  </si>
  <si>
    <t>Cone crusher</t>
  </si>
  <si>
    <t>Hammer mill</t>
  </si>
  <si>
    <t>Ball mill</t>
  </si>
  <si>
    <t>Jet mill</t>
  </si>
  <si>
    <t>Thickener, steel</t>
  </si>
  <si>
    <t>Thickener, concrete</t>
  </si>
  <si>
    <t>Clarifier, steel</t>
  </si>
  <si>
    <t>Clarifier, concrete</t>
  </si>
  <si>
    <t>Filter, pressure leaf</t>
  </si>
  <si>
    <t>Filter, rotary-drum vacuum</t>
  </si>
  <si>
    <t>Filter, rotary pan</t>
  </si>
  <si>
    <t>Settling area, ft2</t>
  </si>
  <si>
    <t>Filtering area, ft2</t>
  </si>
  <si>
    <t>Concrete</t>
  </si>
  <si>
    <t>2 - Poly Exp</t>
  </si>
  <si>
    <t>Wet classifier</t>
  </si>
  <si>
    <t>Solids feed rate, lb/hr</t>
  </si>
  <si>
    <t>Hydroclone</t>
  </si>
  <si>
    <t>Liquid feed rate, gal/min</t>
  </si>
  <si>
    <t>Centrifuge, batch top-drive vertical basket</t>
  </si>
  <si>
    <t>Centrifuge, batch bottom-drive vertical basket</t>
  </si>
  <si>
    <t>Centrifuge, vertical auto-batch</t>
  </si>
  <si>
    <t>Centrifuge, horizontal auto-batch</t>
  </si>
  <si>
    <t>Centrifuge, continuous reciprocating pusher</t>
  </si>
  <si>
    <t>Centrifuge, continuous scroll solid bowl</t>
  </si>
  <si>
    <t>Bowl diameter, inches</t>
  </si>
  <si>
    <t>Tons solid / hr</t>
  </si>
  <si>
    <t>Expression</t>
  </si>
  <si>
    <t>Screw press</t>
  </si>
  <si>
    <t>Roll press</t>
  </si>
  <si>
    <t>Wet solids flow rate, lb/hr</t>
  </si>
  <si>
    <t>Bin</t>
  </si>
  <si>
    <t>Feeder, belt</t>
  </si>
  <si>
    <t>Feeder, screw</t>
  </si>
  <si>
    <t>Feeder, vibratory</t>
  </si>
  <si>
    <t>Volumetric flow rate, ft3/hr</t>
  </si>
  <si>
    <t>Carbon steel at atmospheric pressure</t>
  </si>
  <si>
    <t>Includes motor and drive belt</t>
  </si>
  <si>
    <t>Does not include motor or drive</t>
  </si>
  <si>
    <t>12–36 in., up to 100 ft; does not include motor or drive</t>
  </si>
  <si>
    <t>Tank, open</t>
  </si>
  <si>
    <t>Tank, spherical, 0–60 psig</t>
  </si>
  <si>
    <t>Tank, spherical, 30–200 psig</t>
  </si>
  <si>
    <t>Gas holders</t>
  </si>
  <si>
    <t>Volume, gal</t>
  </si>
  <si>
    <t>Fiberglass</t>
  </si>
  <si>
    <t>Carbon steel, pressure up to 3 psig</t>
  </si>
  <si>
    <t>Vacuum Systems</t>
  </si>
  <si>
    <t>Vacuum pump, one-stage jet ejector</t>
  </si>
  <si>
    <t>Vacuum pump, liquid-ring</t>
  </si>
  <si>
    <t>Vacuum pump, three-stage lobe</t>
  </si>
  <si>
    <t>Vacuum pump, three-stage claw</t>
  </si>
  <si>
    <t>Vacuum pump, screw compressor</t>
  </si>
  <si>
    <t>Flow at suction, ft3/min</t>
  </si>
  <si>
    <t>Wastewater treatment, primary</t>
  </si>
  <si>
    <t>Wastewater treatment, primary + secondary</t>
  </si>
  <si>
    <t>Wastewater treatment, primary + secondary + tertiary</t>
  </si>
  <si>
    <t>Wastewater Treatment</t>
  </si>
  <si>
    <t>Wastewater rate, gal/min</t>
  </si>
  <si>
    <t>See Seider 2017 Table 16.31 for multistage units and condensers</t>
  </si>
  <si>
    <t>Stainless steel with sealant recirculation</t>
  </si>
  <si>
    <t>Includes intercoolers</t>
  </si>
  <si>
    <t>With protective controls</t>
  </si>
  <si>
    <t>d</t>
  </si>
  <si>
    <t>e</t>
  </si>
  <si>
    <t>S = (Flow, lb/hr)/(Suction pressure, torr)</t>
  </si>
  <si>
    <t>S = (Flow rate, gal/min)*(Pump head, ft)^0.5</t>
  </si>
  <si>
    <t>Cast iron</t>
  </si>
  <si>
    <t>Ductile iron</t>
  </si>
  <si>
    <t>Bronze</t>
  </si>
  <si>
    <t>Includes drive but not motor; flow rate 50–900 gpm, pump head 50–400 ft, max motor power 75 hp</t>
  </si>
  <si>
    <t>Includes drive but not motor; flow rate 50–3500 gpm, pump head 50–200 ft, max motor power 200 hp</t>
  </si>
  <si>
    <t>Includes drive but not motor; flow rate 100–1500 gpm, pump head 100–450 ft, max motor power 150 hp</t>
  </si>
  <si>
    <t>Includes drive but not motor; flow rate 250–5000 gpm, pump head 50–500 ft, max motor power 250 hp</t>
  </si>
  <si>
    <t>Includes drive but not motor; flow rate 50–1100 gpm, pump head 300–1100 ft, max motor power 250 hp</t>
  </si>
  <si>
    <t>Includes drive but not motor; flow rate 100–1500 gpm, pump head 650–3200 ft, max motor power 1450 hp</t>
  </si>
  <si>
    <t>Open, drip-proof</t>
  </si>
  <si>
    <t>Totally enclosed, fan-cooled</t>
  </si>
  <si>
    <t>Explosion-proof</t>
  </si>
  <si>
    <t>Electric motor, 3600 rpm</t>
  </si>
  <si>
    <t>Electric motor, 1800 rpm</t>
  </si>
  <si>
    <t>Determine electric motor power requirement for pumps using P = (pump brake power)/(motor efficiency), where pump brake power = [(flow rate, gpm)*(pump head, ft)*(fluid density, lb/gal)]/[33,000*(pump efficiency)] and pump efficiency = [-0.316 + 0.24015*ln(flow rate, gpm) – 0.01199*(ln(flow rate, gpm))^2] for 50–5000 gpm and motor efficiency = [0.80 + 0.0319*ln(pump brake power) –0.00182*(ln(pump brake power))^2] for 1–1500 hp pump brake power.</t>
  </si>
  <si>
    <t>Power, hp (see note to calculate for pump)</t>
  </si>
  <si>
    <t>Flow capacity, gal/min</t>
  </si>
  <si>
    <t>Brake horsepower</t>
  </si>
  <si>
    <t>Includes V-belt drive but not motor</t>
  </si>
  <si>
    <t>Includes base plate and driver coupling but not motor</t>
  </si>
  <si>
    <t>Ni-Al-Bronze</t>
  </si>
  <si>
    <t>Fan, centrifugal backward-curved, 5–8 in H2O head</t>
  </si>
  <si>
    <t>Fan, centrifugal backward-curved, 9–15 in H2O head</t>
  </si>
  <si>
    <t>Fan, centrifugal backward-curved, 16–30 in H2O head</t>
  </si>
  <si>
    <t>Fan, centrifugal backward-curved, 31–40 in H2O head</t>
  </si>
  <si>
    <t>Fan, centrifugal straight-radial, 5–8 in H2O head</t>
  </si>
  <si>
    <t>Fan, centrifugal straight-radial, 9–15 in H2O head</t>
  </si>
  <si>
    <t>Fan, centrifugal straight-radial, 16–30 in H2O head</t>
  </si>
  <si>
    <t>Fan, vane-axial, 5–8 in H2O head</t>
  </si>
  <si>
    <t>Fan, vane-axial, 9–15 in H2O head</t>
  </si>
  <si>
    <t>Fan, centrifugal backward-curved, 0–4 in H2O head</t>
  </si>
  <si>
    <t>Fan, centrifugal straight-radial, 0–4 in H2O head</t>
  </si>
  <si>
    <t>Fan, vane-axial, 0–4 in H2O head</t>
  </si>
  <si>
    <t>Fan, propeller, 0–1 in H2O head</t>
  </si>
  <si>
    <t>Includes drive and electric motor; a "fan" applies to near-ambient suction pressures and less than 10% pressure increases</t>
  </si>
  <si>
    <t>Includes drive and electric motor; a "blower" may operate at any suction pressure and applies to compression ratios of up to 2</t>
  </si>
  <si>
    <t>Blower, centrifugal (turbo)</t>
  </si>
  <si>
    <t>Blower, rotary straight-lobe</t>
  </si>
  <si>
    <t>Actual cubic feet per minute (ACFM)</t>
  </si>
  <si>
    <t>S = (Width, in.)*(Length, ft)</t>
  </si>
  <si>
    <t>S = (Bucket width, in.)*(Height, ft)^1.14</t>
  </si>
  <si>
    <t>S = (Width, in.)*(Length, ft)^1.526</t>
  </si>
  <si>
    <t>S = (Diameter, in.)*(Length, ft)^0.59</t>
  </si>
  <si>
    <t>Conveyor, belt (see note)</t>
  </si>
  <si>
    <t>Conveyor, screw (see note)</t>
  </si>
  <si>
    <t>Conveyor, vibratory (see note)</t>
  </si>
  <si>
    <t>Bucket elevator (see note)</t>
  </si>
  <si>
    <t>Pneumatic conveyor (see note)</t>
  </si>
  <si>
    <t>S = (Solids flow rate, lb/s)*(Length, ft)^0.317</t>
  </si>
  <si>
    <t>Pump, centrifugal, 1 stage, 3600 rpm, VSC</t>
  </si>
  <si>
    <t>Pump, centrifugal, 1 stage, 1800 rpm, VSC</t>
  </si>
  <si>
    <t>Pump, centrifugal, 1 stage, 3600 rpm, HSC</t>
  </si>
  <si>
    <t>Pump, centrifugal, 1 stage, 1800 rpm, HSC</t>
  </si>
  <si>
    <t>Pump, centrifugal, 2 stage, 3600 rpm, HSC</t>
  </si>
  <si>
    <t>Pump, centrifugal, 2+ stage, 1800 rpm, HSC</t>
  </si>
  <si>
    <t>Pump, external gear</t>
  </si>
  <si>
    <t>Pump, reciprocating plunger</t>
  </si>
  <si>
    <t>Consumed power, hp</t>
  </si>
  <si>
    <t>Includes drive and electric motor</t>
  </si>
  <si>
    <t>Includes drive and electric motor; cast iron housing; a "blower" may operate at any suction pressure and applies to compression ratios of up to 2</t>
  </si>
  <si>
    <t>Includes drive and steam turbine</t>
  </si>
  <si>
    <t>Includes drive and gas turbine</t>
  </si>
  <si>
    <t>Compressor, reciprocating, electric motor (preferred)</t>
  </si>
  <si>
    <t>Compressor, reciprocating, steam turbine</t>
  </si>
  <si>
    <t>Compressor, reciprocating, gas turbine</t>
  </si>
  <si>
    <t>Compressor, centrifugal, electric motor (preferred)</t>
  </si>
  <si>
    <t>Compressor, centrifugal, steam turbine</t>
  </si>
  <si>
    <t>Compressor, centrifugal, gas turbine</t>
  </si>
  <si>
    <t>Compressor, rotary twin-screw, electric motor (preferred)</t>
  </si>
  <si>
    <t>Compressor, rotary twin-screw, steam turbine</t>
  </si>
  <si>
    <t>Compressor, rotary twin-screw, gas turbine</t>
  </si>
  <si>
    <t>Heater, general purpose (box furnace)</t>
  </si>
  <si>
    <t>Heat duty, Btu/hr</t>
  </si>
  <si>
    <t>Gas or fuel oil; up to 500 psig, for 500–3000 psig multiply purchase price by pressure factor = [0.986 – 0.0035*(P, psig) + 0.0175*(P, psig)^2]</t>
  </si>
  <si>
    <t>All data and index descriptions (comments) comes from Seider, Seader, and Lewin (2017) through 2013 and from Chem Eng thereafter</t>
  </si>
  <si>
    <t>Carbon steel tubes</t>
  </si>
  <si>
    <t>Cr-Mo tubes</t>
  </si>
  <si>
    <t>Stainless steel tubes</t>
  </si>
  <si>
    <t>Pressure vessel, horizontal (requires platforms)</t>
  </si>
  <si>
    <t>Pressure vessel, vertical (requires platforms)</t>
  </si>
  <si>
    <t>Platforms and ladders for horizontal pressure vessel</t>
  </si>
  <si>
    <t>Platforms and ladders for vertical pressure vessel</t>
  </si>
  <si>
    <t>Vessel ID, ft</t>
  </si>
  <si>
    <t>Weight of shell and two heads, lb</t>
  </si>
  <si>
    <t>Platforms and ladders for vertical tower</t>
  </si>
  <si>
    <t>Vertical tower (requires platforms)</t>
  </si>
  <si>
    <t>S = (Vessel ID, ft)^0.7396*(Length, ft)^0.70684</t>
  </si>
  <si>
    <t>S = (Vessel ID, ft)^0.63316*(Length, ft)^0.80161</t>
  </si>
  <si>
    <t>Refers to a largely empty vessel; includes nozzles, manholes, and supports; estimate weight of shell and two 2:1 elliptical heads = [pi*((inner diameter, inches) + (shell thickness, inches))*((tangent to tangent length / length of cylindrical section, inches) + 0.8*(inner diameter, inches))*(shell thickness, inches)*(0.284 lb/in^3 {steel density})]</t>
  </si>
  <si>
    <t>Refers to a vessel designed for plates and/or packing; includes nozzles, manholes, a skirt, and internals for multiple feed locations and management of bottoms but not plates or packing; estimate weight of shell and two 2:1 elliptical heads = [pi*((inner diameter, inches) + (shell thickness, inches))*((tangent to tangent length / length of cylindrical section, inches) + 0.8*(inner diameter, inches))*(shell thickness, inches)*(0.284 lb/in^3 {steel density})]</t>
  </si>
  <si>
    <t>Low-alloy steel</t>
  </si>
  <si>
    <t>Stainless 304</t>
  </si>
  <si>
    <t>Stainless 316</t>
  </si>
  <si>
    <t>Carpenter 20CB-3</t>
  </si>
  <si>
    <t>Nickel-200</t>
  </si>
  <si>
    <t>Monel-400</t>
  </si>
  <si>
    <t>Inconel-600</t>
  </si>
  <si>
    <t>Incoloy-825</t>
  </si>
  <si>
    <t>Use vessel inner diameter (ID), 3–21 ft, and tangent-to-tangent length (the length of the cylindrical section of the vessel), 12–40 ft</t>
  </si>
  <si>
    <t>Use vessel inner diameter (ID), 3–12 ft</t>
  </si>
  <si>
    <t>Use vessel inner diameter (ID), 3–24 ft and tangent-to-tangent length (the length of the cylindrical section of the vessel), 27–170 ft</t>
  </si>
  <si>
    <t>Material 10</t>
  </si>
  <si>
    <t>Factor 10</t>
  </si>
  <si>
    <t>Titanium clad</t>
  </si>
  <si>
    <t>SS tubes, CS shell</t>
  </si>
  <si>
    <t>Dust particles 0.1–50 microns in size</t>
  </si>
  <si>
    <t>Dust particles 10–1000 microns in size</t>
  </si>
  <si>
    <t>Dust particles 0.01–10 microns in size</t>
  </si>
  <si>
    <t>Dust particles 0.1–100 microns in size</t>
  </si>
  <si>
    <t>Includes motor and drive; feed size 200–2000 mm; product size 25–250 mm; size reduction ratio 8; power 135–940 hp</t>
  </si>
  <si>
    <t>Includes motor and drive; feed size 100–1000 mm; product size 25–100 mm; size reduction ratio 8; power 7–270 hp</t>
  </si>
  <si>
    <t>Includes motor and drive; feed size 50–300 mm; product size 5–50 mm; size reduction ratio 8; power 27–335 hp</t>
  </si>
  <si>
    <t>Includes motor and drive; feed size 5–30 mm; product size 0.01–0.1 mm; size reduction ratio 400; power 1.3–135 hp</t>
  </si>
  <si>
    <t>Includes motor and drive; feed size 1–10 mm; product size 0.01–0.1 mm; size reduction ratio 100; power 65–6700 hp</t>
  </si>
  <si>
    <t>Includes motor and drive; feed size 1–10 mm; product size 0.003–0.05 mm; size reduction ratio 300; power 2.7–135 hp</t>
  </si>
  <si>
    <t>14–60 in., up to 300 ft; does not include motor or drive; power required = 0.00058*(length, ft)*(solids flow rate, lb/s)^0.82</t>
  </si>
  <si>
    <t>6–20 in., up to 300 ft; does not include motor, drive, lid, or jacket; power required = 0.0146*(length, ft)*(solids flow rate, lb/s)^0.85</t>
  </si>
  <si>
    <t>6–20 in., 15–150 ft; does not include motor or drive; power required = 0.02*(solids flow rate, lb/s)*(length, ft)^0.63</t>
  </si>
  <si>
    <t>3–30 lb/s, 30–600 ft; includes blower, motor, piping, rotary valve, and cyclone; power required = 10*(solids flow rate, lb/s)^0.95</t>
  </si>
  <si>
    <t>use compressor?</t>
  </si>
  <si>
    <t>Crystallizers (Sinnott)</t>
  </si>
  <si>
    <t>Crystallizers (Seider)</t>
  </si>
  <si>
    <t>Evaporators (Seider)</t>
  </si>
  <si>
    <t>Evaporators (other sources)</t>
  </si>
  <si>
    <t>Furnaces (Sinnott)</t>
  </si>
  <si>
    <t>Heat exchanger, floating head shell and tube</t>
  </si>
  <si>
    <t>Heat exchanger, double pipe</t>
  </si>
  <si>
    <t>Heat exchanger, thermosiphon reboiler</t>
  </si>
  <si>
    <t>Heat exchanger, U-tube kettle reboiler</t>
  </si>
  <si>
    <t>Heat exchanger, U-tube shell and tube</t>
  </si>
  <si>
    <t>Heat exchanger, plate and frame</t>
  </si>
  <si>
    <t>Heat Exchangers (Sinnott)</t>
  </si>
  <si>
    <t>Mixers (Sinnott)</t>
  </si>
  <si>
    <t>Pumps and Compressors (Sinnott)</t>
  </si>
  <si>
    <t>Pressure Vessels (Sinnott)</t>
  </si>
  <si>
    <t>Pumps, Motors, Fans, Blowers, Compressors (Seider)</t>
  </si>
  <si>
    <t>Size Enlargement (Seider)</t>
  </si>
  <si>
    <t>Size Reduction (Seider)</t>
  </si>
  <si>
    <t>Solid-Liquid Separators (other sources)</t>
  </si>
  <si>
    <t>Solids Handling (Seider)</t>
  </si>
  <si>
    <t>Solids Handling (Sinnott)</t>
  </si>
  <si>
    <t>Propeller for open tank</t>
  </si>
  <si>
    <t>Propeller for closed vessel</t>
  </si>
  <si>
    <t>Turbine for open tank</t>
  </si>
  <si>
    <t>Turbine for closed vessel</t>
  </si>
  <si>
    <t>Glass-lined steel</t>
  </si>
  <si>
    <t>Dryer, batch tray (Seider)</t>
  </si>
  <si>
    <t>Dryer, direct-heat rotary (Seider)</t>
  </si>
  <si>
    <t>Dryer, indirect-heat steam-tube rotary (Seider)</t>
  </si>
  <si>
    <t>Dryer, drum (Seider)</t>
  </si>
  <si>
    <t>Dryer, spray (Seider)</t>
  </si>
  <si>
    <t>Dryer, spray (Sinnott)</t>
  </si>
  <si>
    <t>Dryer, direct contact rotary, direct heated (Sinnott)</t>
  </si>
  <si>
    <t>Dryer, atmospheric tray batch (Sinnott)</t>
  </si>
  <si>
    <t>Tank, floating roof (Sinnott)</t>
  </si>
  <si>
    <t>Tank, cone roof (Sinnott)</t>
  </si>
  <si>
    <t>Tank, cone roof (Seider)</t>
  </si>
  <si>
    <t>Tank, floating roof (Seider)</t>
  </si>
  <si>
    <t>Filter, plate and frame (Sinnott)</t>
  </si>
  <si>
    <t>Filter, plate and frame (Seider)</t>
  </si>
  <si>
    <t>Solid-Liquid Separators (Seider)</t>
  </si>
  <si>
    <t>Pressure Vessels (Seider)</t>
  </si>
  <si>
    <t>Reactors (also see autoclaves)</t>
  </si>
  <si>
    <t>Autoclaves (also see reactors)</t>
  </si>
  <si>
    <t>Drives Other than Electric Motors</t>
  </si>
  <si>
    <t>Heat Exchangers (Seider)</t>
  </si>
  <si>
    <t>Mixers for Powders, Pastes, Polymers, Doughs (Seider)</t>
  </si>
  <si>
    <t>END</t>
  </si>
  <si>
    <t>Category (not in use)</t>
  </si>
  <si>
    <t>Note: equipment list MUST end with "END" in column B, ideally after one blank line</t>
  </si>
  <si>
    <t>Flares</t>
  </si>
  <si>
    <t>Flare, ground mounted</t>
  </si>
  <si>
    <t>Waste gas flow rate, lb/hr</t>
  </si>
  <si>
    <t>Flare, elevated (40 ft)</t>
  </si>
  <si>
    <t>Garrett 1989</t>
  </si>
  <si>
    <t>Standard</t>
  </si>
  <si>
    <t>Below 60 Btu/ft3</t>
  </si>
  <si>
    <t>Above 1000 Btu/ft3</t>
  </si>
  <si>
    <t>Corrosive</t>
  </si>
  <si>
    <t>Standard cost for 60–1000 Btu/ft3, non-corrosive. Use material factors for other scenarios.</t>
  </si>
  <si>
    <t>Filter, vacuum drum (Sinnott)</t>
  </si>
  <si>
    <t>Vacuum drum filter, single compartment (Ulrich)</t>
  </si>
  <si>
    <t>Belt filter (Ulrich)</t>
  </si>
  <si>
    <t>Size Reduction (Sinnott)</t>
  </si>
  <si>
    <t>Steam boiler (Seider)</t>
  </si>
  <si>
    <t>Boiler, packaged, 14 to 40 bar (Sinnott)</t>
  </si>
  <si>
    <t>Boiler, field erected, 10 to 70 bar (Sinnott)</t>
  </si>
  <si>
    <t>Fired Heaters / Furnaces (Seider)</t>
  </si>
  <si>
    <t>Nanoparticle Flow Synthesis</t>
  </si>
  <si>
    <t>One-way valve</t>
  </si>
  <si>
    <t>Needle valve</t>
  </si>
  <si>
    <t>Pressure regulator 40 psi.</t>
  </si>
  <si>
    <t>Pressure regulator 75 psi.</t>
  </si>
  <si>
    <t>Metal luer lock adaptor</t>
  </si>
  <si>
    <t>Temperature controller 1</t>
  </si>
  <si>
    <t>Temperature controller 2</t>
  </si>
  <si>
    <t>Type J/K thermocouple</t>
  </si>
  <si>
    <t>Type J/K connecting cable</t>
  </si>
  <si>
    <t>Heating mantle 1</t>
  </si>
  <si>
    <t>Heating mantle 2</t>
  </si>
  <si>
    <t>Sand</t>
  </si>
  <si>
    <t>Glass reactor tube</t>
  </si>
  <si>
    <t>Malmstadt</t>
  </si>
  <si>
    <t>each</t>
  </si>
  <si>
    <t>Peristaltic pump</t>
  </si>
  <si>
    <t>Serves 16 channels</t>
  </si>
  <si>
    <t>Millifluidic mixer</t>
  </si>
  <si>
    <t>Millifluidic droplet forming mixer</t>
  </si>
  <si>
    <t>BM Factor (not in use)</t>
  </si>
  <si>
    <t>Metal to recover</t>
  </si>
  <si>
    <t>Metal wt. % of AP</t>
  </si>
  <si>
    <t>Catalyst bulk density</t>
  </si>
  <si>
    <t>Recoverable metal</t>
  </si>
  <si>
    <t>Recoverable metal value</t>
  </si>
  <si>
    <t>Incoming fee</t>
  </si>
  <si>
    <t>Thermal oxidation fee</t>
  </si>
  <si>
    <t>Refining fee</t>
  </si>
  <si>
    <t>Metal contaminant fee (Sn, Cu, Fe)</t>
  </si>
  <si>
    <t>Landfill Fees and Sale Value</t>
  </si>
  <si>
    <t>Landfill cost</t>
  </si>
  <si>
    <t>Sale value, if any</t>
  </si>
  <si>
    <t>Metal losses during use (typical)</t>
  </si>
  <si>
    <t>Metal losses during refining (typical)</t>
  </si>
  <si>
    <t>Table 1 - Support-specific data</t>
  </si>
  <si>
    <t>Thermal ox. fee, low, $/lb</t>
  </si>
  <si>
    <t>Thermal ox. fee, high, $/lb</t>
  </si>
  <si>
    <t>Thermal ox. fee, ave, $/lb</t>
  </si>
  <si>
    <t>Incoming fee, low, $/ft3</t>
  </si>
  <si>
    <t>Incoming fee, high, $/ft3</t>
  </si>
  <si>
    <t>Incoming fee, ave, $/ft3</t>
  </si>
  <si>
    <t>Metal contaminant fee, low, $/ft3</t>
  </si>
  <si>
    <t>Metal contaminant fee, high, $/ft3</t>
  </si>
  <si>
    <t>Metal contaminant fee, ave, $/ft3</t>
  </si>
  <si>
    <t>Al2O3</t>
  </si>
  <si>
    <t>Carbon</t>
  </si>
  <si>
    <t>Carbonate</t>
  </si>
  <si>
    <t>SiO2</t>
  </si>
  <si>
    <t>Sponge of metal (no support)</t>
  </si>
  <si>
    <t>TiO2</t>
  </si>
  <si>
    <t>ZrO2</t>
  </si>
  <si>
    <t>Table 2 - Metal-specific data</t>
  </si>
  <si>
    <t>Refining charge, $/troy oz recovered</t>
  </si>
  <si>
    <t>Claus, misc</t>
  </si>
  <si>
    <t>CuZn</t>
  </si>
  <si>
    <t>NiW</t>
  </si>
  <si>
    <t>Table 3 - Landfill Fees and Sale Values</t>
  </si>
  <si>
    <t>Catalyst Hazard Class</t>
  </si>
  <si>
    <t>Landfill fee, low, $/lb</t>
  </si>
  <si>
    <t>Landfill fee, high, $/lb</t>
  </si>
  <si>
    <t>Landfill fee, ave, $/lb</t>
  </si>
  <si>
    <t>Sale value, low, $/lb</t>
  </si>
  <si>
    <t>Sale value, high, $/lb</t>
  </si>
  <si>
    <t>Sale value, ave, $/lb</t>
  </si>
  <si>
    <t>Zeolite, Silica, Alumina</t>
  </si>
  <si>
    <t>e.g. for cement</t>
  </si>
  <si>
    <t>Ni/Mo, Co/Mo, Ni/W</t>
  </si>
  <si>
    <t>PGM/Noble metal</t>
  </si>
  <si>
    <t>e.g. to smelter or refiner, typically &lt;0.2% PGM</t>
  </si>
  <si>
    <t>Hazardous (e.g. RCRA metals)</t>
  </si>
  <si>
    <t>Table 4 - Catalyst Bulk Densities (or specified by user)</t>
  </si>
  <si>
    <t>Catalyst</t>
  </si>
  <si>
    <t>ρ (lb/ft3)</t>
  </si>
  <si>
    <t>Activated C powder</t>
  </si>
  <si>
    <t>Activated C granules</t>
  </si>
  <si>
    <t>Metal on Al2O3</t>
  </si>
  <si>
    <t>dry extrudate</t>
  </si>
  <si>
    <t>Metal on TiO2</t>
  </si>
  <si>
    <t>Metal on ZrO2</t>
  </si>
  <si>
    <t>Al2O3/SiO2, 44%/51%</t>
  </si>
  <si>
    <t>SiO2, 3/16"</t>
  </si>
  <si>
    <t>dry spheres</t>
  </si>
  <si>
    <t>Sponge Ni, Co, or Cu</t>
  </si>
  <si>
    <t>TCLP Limit, mg/L</t>
  </si>
  <si>
    <t>As</t>
  </si>
  <si>
    <t>Ba</t>
  </si>
  <si>
    <t>Cd</t>
  </si>
  <si>
    <t>Cr</t>
  </si>
  <si>
    <t>Pb</t>
  </si>
  <si>
    <t>Hg</t>
  </si>
  <si>
    <t>Se</t>
  </si>
  <si>
    <t>Ag</t>
  </si>
  <si>
    <t>containing 50% moisture</t>
  </si>
  <si>
    <t>dry basis; average of 67.5-75 lb/ft3</t>
  </si>
  <si>
    <t>Bulk Density Lookup Tool</t>
  </si>
  <si>
    <t>lb/ft3</t>
  </si>
  <si>
    <t>Catalyst/material type</t>
  </si>
  <si>
    <t>Typical bulk density (SI)</t>
  </si>
  <si>
    <t>Typical bulk density (US)</t>
  </si>
  <si>
    <t>Has trace Sn, Cu, Fe &gt; 2% of AP?</t>
  </si>
  <si>
    <t>ρ (kg/m3)</t>
  </si>
  <si>
    <t>cubic meter</t>
  </si>
  <si>
    <t>dry pellet/extrudate</t>
  </si>
  <si>
    <t>SiO2, high surface area 160 m2/g</t>
  </si>
  <si>
    <t>SiO2, high surface area 250 m2/g</t>
  </si>
  <si>
    <t>TiO2, anatase, high surface area</t>
  </si>
  <si>
    <t>150 m2/g, dry pellet/extrudate</t>
  </si>
  <si>
    <t>kg/m3</t>
  </si>
  <si>
    <t>PGM/Noble (Refining charge yes/no)</t>
  </si>
  <si>
    <t>Recoverable metal, troy ounces</t>
  </si>
  <si>
    <t>On-Stream Factor</t>
  </si>
  <si>
    <t>Processing Cost Estimation Inputs</t>
  </si>
  <si>
    <t>Order size (1-1000 tons)</t>
  </si>
  <si>
    <t>Equipment size</t>
  </si>
  <si>
    <t>Synthesis time</t>
  </si>
  <si>
    <t>Cleaning time</t>
  </si>
  <si>
    <t>Selling Margin</t>
  </si>
  <si>
    <t>Calculate using (select):</t>
  </si>
  <si>
    <t>Flat margin (% of costs)</t>
  </si>
  <si>
    <t xml:space="preserve"> &lt; select mass unit</t>
  </si>
  <si>
    <t xml:space="preserve"> &lt; select time unit</t>
  </si>
  <si>
    <t xml:space="preserve"> &lt; select catalyst or AP</t>
  </si>
  <si>
    <t>catalyst</t>
  </si>
  <si>
    <t>Incipient wetness (impregnation)</t>
  </si>
  <si>
    <t>Crystallizer</t>
  </si>
  <si>
    <t>Flare</t>
  </si>
  <si>
    <t>Filter, rotary vacuum</t>
  </si>
  <si>
    <t>Filter, belt vacuum</t>
  </si>
  <si>
    <t>Filter, plate and frame</t>
  </si>
  <si>
    <t>Mill</t>
  </si>
  <si>
    <t>Dryer, batch vacuum tray</t>
  </si>
  <si>
    <t>Reactor, simple (mixing)</t>
  </si>
  <si>
    <t>Reactor, multistep</t>
  </si>
  <si>
    <t>Dryer, spray</t>
  </si>
  <si>
    <t>Small (1 ton/day)</t>
  </si>
  <si>
    <t>Medium (10 ton/day)</t>
  </si>
  <si>
    <t>Large (150 ton/day)</t>
  </si>
  <si>
    <t>Step Name</t>
  </si>
  <si>
    <t>Scrubber, NOx</t>
  </si>
  <si>
    <t>Mixer, dry blender</t>
  </si>
  <si>
    <t>Ball forming unit</t>
  </si>
  <si>
    <t>Muller</t>
  </si>
  <si>
    <t>Mixer, slurry</t>
  </si>
  <si>
    <t>Extruder, with feeder</t>
  </si>
  <si>
    <t>Bonnot</t>
  </si>
  <si>
    <t>Kiln, continuous indirect (300–1290 °C)</t>
  </si>
  <si>
    <t>Kiln, continuous direct (300–1290 °C)</t>
  </si>
  <si>
    <t>Kiln, batch (300–1290 °C)</t>
  </si>
  <si>
    <t>For higher temp use kiln</t>
  </si>
  <si>
    <t>Substitute with plate and frame at small scale</t>
  </si>
  <si>
    <t>Substitute with belt or rotary vacuum at M/L scale</t>
  </si>
  <si>
    <t>Substitute with rotary dryer at small scale</t>
  </si>
  <si>
    <t>Cost ($/hr)</t>
  </si>
  <si>
    <t>Cost ($/campaign)</t>
  </si>
  <si>
    <t>Synthesis campaign length</t>
  </si>
  <si>
    <t>days</t>
  </si>
  <si>
    <t>Order size in model units</t>
  </si>
  <si>
    <t>Order size in tons</t>
  </si>
  <si>
    <t>A.k.a. calciner. Sub with continuous kiln at M/L scale</t>
  </si>
  <si>
    <t>A.k.a. calciner. Sub with batch kiln at small scale</t>
  </si>
  <si>
    <t>Totals:</t>
  </si>
  <si>
    <t>mL*kPa/(K*mol)</t>
  </si>
  <si>
    <t>F-101</t>
  </si>
  <si>
    <t>F-102</t>
  </si>
  <si>
    <t>H-101</t>
  </si>
  <si>
    <t>C-101</t>
  </si>
  <si>
    <t>C-102</t>
  </si>
  <si>
    <t>S-103</t>
  </si>
  <si>
    <t>hour</t>
  </si>
  <si>
    <t>CapEx &amp; OpEx Factors Output Parameters</t>
  </si>
  <si>
    <t>General Output Parameters</t>
  </si>
  <si>
    <t>Campaign cost</t>
  </si>
  <si>
    <t>Processing Steps</t>
  </si>
  <si>
    <t>Basis Year</t>
  </si>
  <si>
    <r>
      <t xml:space="preserve">&gt; These sheets are </t>
    </r>
    <r>
      <rPr>
        <b/>
        <sz val="12"/>
        <color rgb="FF000000"/>
        <rFont val="Calibri"/>
        <family val="2"/>
        <scheme val="minor"/>
      </rPr>
      <t>numbered 1-5</t>
    </r>
    <r>
      <rPr>
        <sz val="12"/>
        <color rgb="FF000000"/>
        <rFont val="Calibri"/>
        <family val="2"/>
        <scheme val="minor"/>
      </rPr>
      <t xml:space="preserve"> and can be </t>
    </r>
    <r>
      <rPr>
        <b/>
        <sz val="12"/>
        <color rgb="FF000000"/>
        <rFont val="Calibri"/>
        <family val="2"/>
        <scheme val="minor"/>
      </rPr>
      <t>navigated using the tabs</t>
    </r>
    <r>
      <rPr>
        <sz val="12"/>
        <color rgb="FF000000"/>
        <rFont val="Calibri"/>
        <family val="2"/>
        <scheme val="minor"/>
      </rPr>
      <t xml:space="preserve"> at the bottom of the screen.</t>
    </r>
  </si>
  <si>
    <t>Required blank input</t>
  </si>
  <si>
    <t>Optional blank input</t>
  </si>
  <si>
    <t>Spent Catalyst Value (SCV)</t>
  </si>
  <si>
    <t>Total Catalyst Cost, Including SCV</t>
  </si>
  <si>
    <t>[Raw Materials excluding PGM]</t>
  </si>
  <si>
    <t>Price Scaled to Basis Year</t>
  </si>
  <si>
    <t>% of op. costs excluding PGM/noble metals content</t>
  </si>
  <si>
    <t>Estimated Concentration in Catalyst, wt%</t>
  </si>
  <si>
    <t>Size Enlarg. &amp; Extrusion (Seider)</t>
  </si>
  <si>
    <t>Pumps, Motors, Fans (Seider)</t>
  </si>
  <si>
    <t>Mixers (Seider)</t>
  </si>
  <si>
    <t>Loss during refining, low, %</t>
  </si>
  <si>
    <t>Loss during refining, high, %</t>
  </si>
  <si>
    <t>Loss during refining, ave, %</t>
  </si>
  <si>
    <t>This sheet contains information for calculating the value of a spent catalyst that has reached the end of its useful life. Information on hydrometallurgical metals reclamation and recycling as well as landfill disposal, etc. is included.</t>
  </si>
  <si>
    <r>
      <t>Table 5 - RCRA metals and Toxicity Characteristic Leaching Prodedure Limits.</t>
    </r>
    <r>
      <rPr>
        <sz val="12"/>
        <color theme="1"/>
        <rFont val="Calibri (Body)_x0000_"/>
      </rPr>
      <t xml:space="preserve"> Estimated minimum concentrations of RCRA metals as wt. % in catalyst that would pass the TCLP threshold are provided; no warranty is given as to the accuracy or usefulness of these estimates.</t>
    </r>
  </si>
  <si>
    <t>Spent Catalyst Value</t>
  </si>
  <si>
    <t>cwt</t>
  </si>
  <si>
    <t>centumweight</t>
  </si>
  <si>
    <t>100 lb</t>
  </si>
  <si>
    <t>Selected Process Template</t>
  </si>
  <si>
    <t>Note: ordinarily this is set by the entry on 3b Equip but can be overridden</t>
  </si>
  <si>
    <t>Process Utilities Consumption and Cost for Selected Template</t>
  </si>
  <si>
    <t>Utilities Process Templates</t>
  </si>
  <si>
    <t>Zeolite for FCC</t>
  </si>
  <si>
    <t>Metal Carbide on Metal Oxide</t>
  </si>
  <si>
    <t>Equipment Cost Totals for Selected Template</t>
  </si>
  <si>
    <t>Labor Factor (# of operators)</t>
  </si>
  <si>
    <t>Custom Process</t>
  </si>
  <si>
    <t>Notes for Selected Process Equipment</t>
  </si>
  <si>
    <t>Nanoparticles - Flow Synthesis</t>
  </si>
  <si>
    <t>Wet Impregnation - Metal on Metal Oxide</t>
  </si>
  <si>
    <t>H-102</t>
  </si>
  <si>
    <t>C-103</t>
  </si>
  <si>
    <t>C-104</t>
  </si>
  <si>
    <t>U-102</t>
  </si>
  <si>
    <t>U-103</t>
  </si>
  <si>
    <t>Three neck round bottom flask, 100 mL, Sigma Aldrich</t>
  </si>
  <si>
    <t>Glass</t>
  </si>
  <si>
    <t>Centrifuge (lab)</t>
  </si>
  <si>
    <t>Nanoparticle Batch Synthesis</t>
  </si>
  <si>
    <t>Nano Batch Synthesis</t>
  </si>
  <si>
    <t>Sigma (2017)</t>
  </si>
  <si>
    <t>active phase</t>
  </si>
  <si>
    <t>Show/Hide Individual Process Templates Using +/- at left (Show all using "2" at top left, hide all using "1" at top left)</t>
  </si>
  <si>
    <t>Unit Cost in Cents or Dollars (USD, $)</t>
  </si>
  <si>
    <t>Catalyst Attrition During Use</t>
  </si>
  <si>
    <t>Value of Metal Content</t>
  </si>
  <si>
    <t>Costs of Recovery</t>
  </si>
  <si>
    <t>Metals Losses</t>
  </si>
  <si>
    <t>Support Losses</t>
  </si>
  <si>
    <t>Support losses during use (typical)</t>
  </si>
  <si>
    <t>Total Catalyst Solids</t>
  </si>
  <si>
    <t>Metals Recovery Value and Fees</t>
  </si>
  <si>
    <t>Support mass after use</t>
  </si>
  <si>
    <t>Fixed bed: Loss of support in use, low, %</t>
  </si>
  <si>
    <t>Fixed bed: Loss of support in use, high, %</t>
  </si>
  <si>
    <t>Fixed bed: Loss of support in use, ave, %</t>
  </si>
  <si>
    <t>Fixed bed: Loss of metal in use, low, %</t>
  </si>
  <si>
    <t>Fixed bed: Loss of metal in use, high, %</t>
  </si>
  <si>
    <t>Slurry/fluidized bed: Loss of support in use, low, %</t>
  </si>
  <si>
    <t>Slurry/fluidized bed: Loss of support in use, high, %</t>
  </si>
  <si>
    <t>Slurry/fluidized bed: Loss of support in use, ave, %</t>
  </si>
  <si>
    <t>Fixed bed: Loss of metal in use, ave, %</t>
  </si>
  <si>
    <t>Slurry/fluidized bed: Loss of metal in use, low, %</t>
  </si>
  <si>
    <t>Slurry/fluidized bed: Loss of metal in use, high, %</t>
  </si>
  <si>
    <t>Slurry/fluidized bed: Loss of metal in use, ave, %</t>
  </si>
  <si>
    <t>Planned reactor configuration</t>
  </si>
  <si>
    <t>n/a</t>
  </si>
  <si>
    <t>Metal mass in fresh catalyst</t>
  </si>
  <si>
    <t>Support mass in fresh catalyst</t>
  </si>
  <si>
    <t>Metal mass after use</t>
  </si>
  <si>
    <t>Catalyst mass after use</t>
  </si>
  <si>
    <t>Catalyst volume after use</t>
  </si>
  <si>
    <t>Total recovery fees</t>
  </si>
  <si>
    <t>Total Spent Catalyst Value/(Cost)</t>
  </si>
  <si>
    <t>Step Method Procedures: Custom Process and Process Templates</t>
  </si>
  <si>
    <t>Step Method Template Name</t>
  </si>
  <si>
    <t>CapEx &amp; OpEx Factors: Equipment Costs</t>
  </si>
  <si>
    <t>CapEx &amp; OpEx Factors Equipment Lists: Custom Process and Process Templates</t>
  </si>
  <si>
    <t>CapEx &amp; OpEx Factors Template Name</t>
  </si>
  <si>
    <t>CapEx &amp; OpEx Factors: Utilities Costs</t>
  </si>
  <si>
    <t>CapEx &amp; OpEx Factors: Factored Capital Expenditures</t>
  </si>
  <si>
    <t>CapEx &amp; OpEx Factors: Factored Operating Expenditures</t>
  </si>
  <si>
    <t>Metal Carbide (Bulk)</t>
  </si>
  <si>
    <t>Step Method: Inputs and Total Processing Costs</t>
  </si>
  <si>
    <t>Custom Step Process</t>
  </si>
  <si>
    <t>Select a Process Template or Choose "Custom Step Process"</t>
  </si>
  <si>
    <t>Step Method Costs for Selected Process Template</t>
  </si>
  <si>
    <t>/hr</t>
  </si>
  <si>
    <t>/campaign</t>
  </si>
  <si>
    <t>Spot price escalated to basis year</t>
  </si>
  <si>
    <t>Notes for Template</t>
  </si>
  <si>
    <t>Based on Mo2C at 200-ton scale.</t>
  </si>
  <si>
    <t>m</t>
  </si>
  <si>
    <r>
      <t xml:space="preserve">Note that </t>
    </r>
    <r>
      <rPr>
        <sz val="12"/>
        <color theme="8" tint="-0.249977111117893"/>
        <rFont val="Calibri (Body)_x0000_"/>
      </rPr>
      <t>substitute steps</t>
    </r>
    <r>
      <rPr>
        <sz val="12"/>
        <color theme="1"/>
        <rFont val="Calibri"/>
        <family val="2"/>
        <scheme val="minor"/>
      </rPr>
      <t xml:space="preserve"> are included to accommodate Small, Medium, and Large scales using formulae in the Quantity column.</t>
    </r>
  </si>
  <si>
    <t>Based on 5% Mo2C/SiO2 at 200-ton scale.</t>
  </si>
  <si>
    <t>Dryer, rotary (100–300 °C)</t>
  </si>
  <si>
    <t>Dryer, rotary (40–100 °C)</t>
  </si>
  <si>
    <t>N/A at large scale</t>
  </si>
  <si>
    <t>Small scale only</t>
  </si>
  <si>
    <t>s</t>
  </si>
  <si>
    <t>--</t>
  </si>
  <si>
    <t>Based on 5% Pt/TiO2 at 100-ton scale.</t>
  </si>
  <si>
    <t>mol/mol</t>
  </si>
  <si>
    <t>CatCost Scaled Quantity</t>
  </si>
  <si>
    <t>CatCost Scaled Size</t>
  </si>
  <si>
    <t>Based on ZSM-5 at 200-ton scale.</t>
  </si>
  <si>
    <t>Based on 20% ZSM-5/Silica NH4+ at 200-ton scale.</t>
  </si>
  <si>
    <t>FCC Catalyst (USY w/ RE)</t>
  </si>
  <si>
    <t>Template names (do not edit):</t>
  </si>
  <si>
    <t>Zeolite ZSM-5 (Bulk)</t>
  </si>
  <si>
    <t>Zeolite ZSM-5 Diluted with Metal Oxide</t>
  </si>
  <si>
    <t>Zeolite Beta (Bulk)</t>
  </si>
  <si>
    <t>Based on Zeolite Beta at 200-ton scale.</t>
  </si>
  <si>
    <t>Zeolite Beta with Metal Active Site</t>
  </si>
  <si>
    <t>Based on 5% Cu on Zeolite Beta at 200-ton scale.</t>
  </si>
  <si>
    <t>Red Mud</t>
  </si>
  <si>
    <t>Reforming of red mud to active catalyst form at 300-ton scale.</t>
  </si>
  <si>
    <t>Magnesia/Alumina</t>
  </si>
  <si>
    <t>Magnesia/alumina catalyst (3MgO/Al2O3) based on 200-ton scale.</t>
  </si>
  <si>
    <t>Metal (PGM) on Metal Oxide</t>
  </si>
  <si>
    <t>Metal (PGM) on Carbon</t>
  </si>
  <si>
    <t>Based on 2% Pt/C at 2-ton scale.</t>
  </si>
  <si>
    <t>Metal (Earth Abundant) on Metal Oxide</t>
  </si>
  <si>
    <t>Based on 21% Ni/Al2O3 at 20-ton scale.</t>
  </si>
  <si>
    <t>infomine.com</t>
  </si>
  <si>
    <t>London Metals Exchange</t>
  </si>
  <si>
    <t>Dryer, steam-tube 1.0 m diameter, 21-58 m2 (Perry's)</t>
  </si>
  <si>
    <t>Free tube surface area, m2</t>
  </si>
  <si>
    <t>Perry's 8th</t>
  </si>
  <si>
    <t>Overall diameter 0.965 m, containing 14 tubes of 114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</si>
  <si>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1.4 m diameter, 58-135 m2  (Perry's)</t>
  </si>
  <si>
    <t>Overall diameter 1.372 m, containing 18 tubes of 114 mm diameter and 18 tubes of 63.5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</si>
  <si>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1.8 m diameter, 118-350 m2  (Perry's)</t>
  </si>
  <si>
    <t>Overall diameter 1.829 m, containing 27 tubes of 114 mm diameter and 27 tubes of 76.2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</si>
  <si>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2.4 m diameter, 350-1200 m2  (Perry's)</t>
  </si>
  <si>
    <t>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t>
  </si>
  <si>
    <t>Return on capital invested (pre-tax)</t>
  </si>
  <si>
    <t>Best Choice for this Spent Catalyst:</t>
  </si>
  <si>
    <t>Plant Life</t>
  </si>
  <si>
    <t>Plant Life (for depreciation)</t>
  </si>
  <si>
    <t>Purchase Basis for Lab-Scale Log Fit</t>
  </si>
  <si>
    <t>long ton</t>
  </si>
  <si>
    <t>tonne</t>
  </si>
  <si>
    <t>1-Hexanol, syn. tanks, f.o.b.</t>
  </si>
  <si>
    <t>1,4 Butanediol, dms., f.o.b., frt. equald.</t>
  </si>
  <si>
    <t>1,4 Butanediol, tanks, f.o.b., frt. equald.</t>
  </si>
  <si>
    <t>2-Ethylhexanol, tanks, dlvd.</t>
  </si>
  <si>
    <t>2-Ethylhexyl acrylate, straight or mixed tanks, frt. alld. E.</t>
  </si>
  <si>
    <t>a-Methylstyrene, f.o.b. shipping point</t>
  </si>
  <si>
    <t>Acetaldehyde, 99% bulk, frt.alld</t>
  </si>
  <si>
    <t>Acetic acid, US Golf, spot f.o.b export</t>
  </si>
  <si>
    <t>Acetic acid, US Gulf, contract list del.</t>
  </si>
  <si>
    <t>Acetic anhydride, tanks, dlvd. E.</t>
  </si>
  <si>
    <t>Acetone, US Golf, contract trucks</t>
  </si>
  <si>
    <t>Acetone, US Golf, spot f.o.b. export</t>
  </si>
  <si>
    <t>Acetone, US Gulf, contract barges (MMA)</t>
  </si>
  <si>
    <t>Acetonitrile, bulk, frt. equalized</t>
  </si>
  <si>
    <t>Acetylsalicyclic acid (Asprin), USP, cryst., powd. 250-lb. dms, c.l., f.o.b.</t>
  </si>
  <si>
    <t>Acetylsalicylcic acid (Asprin), 90% granulation, white 250-lb. dms., c.l., f.o.b.</t>
  </si>
  <si>
    <t>Acrylate esters, US Gulf, contract DF ethyl-A</t>
  </si>
  <si>
    <t>Acrylate esters, US Gulf, contract DF methyl-A</t>
  </si>
  <si>
    <t>Acrylate esters, US Gulf, contract FD 2EHA</t>
  </si>
  <si>
    <t>Acrylate esters, US Gulf, contract FD butyl-A</t>
  </si>
  <si>
    <t>Acrylate esters, US Gulf, export spot 2EHA</t>
  </si>
  <si>
    <t>Acrylate esters, US Gulf, export spot butyl-A</t>
  </si>
  <si>
    <t>Acrylic acid glacial, US Golf, spot export</t>
  </si>
  <si>
    <t>Acrylic acid glacial, US Gulf, contract FD</t>
  </si>
  <si>
    <t>Acrylonitrile-butadiene-styrene resin, US Gulf, ABS (ext. high) dom. bulk</t>
  </si>
  <si>
    <t>Acrylonitrile-butadiene-styrene resin, US Gulf, ABS (ext. high) dom. package</t>
  </si>
  <si>
    <t>Acrylonitrile-butadiene-styrene resin, US Gulf, ABS (ext. med) dom. package</t>
  </si>
  <si>
    <t>Acrylonitrile-butadiene-styrene resin, US Gulf, ABS (ext.med) dom.bulk</t>
  </si>
  <si>
    <t>Acrylonitrile-butadiene-styrene resin, US Gulf, ABS (inj. high) dom.bulk</t>
  </si>
  <si>
    <t>Acrylonitrile-butadiene-styrene resin, US Gulf, ABS (inj. high) dom.package</t>
  </si>
  <si>
    <t>Acrylonitrile-butadiene-styrene resin, US Gulf, ABS (inj. med) dom. package</t>
  </si>
  <si>
    <t>Acrylonitrile-butadiene-styrene resin, US Gulf, ABS (ink. med) dom. bulk</t>
  </si>
  <si>
    <t>Acrylonitrile, US Golf, contract dom. del.</t>
  </si>
  <si>
    <t>Acrylonitrile, US Gulf, contract export f.o.b.</t>
  </si>
  <si>
    <t>Acrylonitrile, US Gulf, spot f.o.b. export</t>
  </si>
  <si>
    <t>Adipic acid resin, bgs., tl., c.l, frt. equald</t>
  </si>
  <si>
    <t>Adipic acid resin, resin grade bulk, hopper cars, frt. equald.</t>
  </si>
  <si>
    <t>Aliuminum sulfate, coml. grd., 50-lb. bgs., c.l., works, frt. equald., 17% Al23, E. and Gulf Coasts</t>
  </si>
  <si>
    <t>Alumina, metalurgical grade, bulk, spot</t>
  </si>
  <si>
    <t>Aluminum chloride, anhydrous, anhyd, bulk, bins, 6 lb. drms, c.l., t.l., works, frt. equald.</t>
  </si>
  <si>
    <t>Aluminum sulphate, 5-lb. bgs., c.l., works, frt. equald., 17% Al203, W. Coast</t>
  </si>
  <si>
    <t>Aluminum sulphate, iron-free, dry 100-lb. bgs., c.l., works, frt. equald., 17% A1203</t>
  </si>
  <si>
    <t>Aluminum sulphate, iron-free, liq. tanks, works, frt. equald., 17% A1203</t>
  </si>
  <si>
    <t>Aluminum sulphate, liq. tanks, c.l., works, frt. equald,. 17% A1203, N.E.</t>
  </si>
  <si>
    <t>Aminoacetic acid, USP, dms., 20,000 lbs., f.o.b. works</t>
  </si>
  <si>
    <t>Aminosalicylic acid, USP 1,000 kilos or more</t>
  </si>
  <si>
    <t>Ammonia, US Gulf, spot c.f.r. Tampa</t>
  </si>
  <si>
    <t>Ammonia, US Gulf, spot f.o.b New Orleans</t>
  </si>
  <si>
    <t>Ammonium nitrate, dom., fertilizer grade, 33.5% N bulk, S.E. dlvd.</t>
  </si>
  <si>
    <t>Ammonium phosphate, (diammonium phosphate) fert. grade, min 18% N, 20% P, bulk, c.l., spot, f.o.b. Fla. works</t>
  </si>
  <si>
    <t>Ammonium phosphate, (monoammonium phospahte) fert. grade, min. 13% N. 52% P. bulk, c.l., f</t>
  </si>
  <si>
    <t>Ammonium sulfate, MidCorn Belt bulk, works</t>
  </si>
  <si>
    <t>Ammonium sulfate, Pacific Northwest, bulk, works</t>
  </si>
  <si>
    <t>Aniline, tanks, f.o.b</t>
  </si>
  <si>
    <t>Arabic gum, cleaned Kordofan tears bgs.</t>
  </si>
  <si>
    <t>Arabic gum, NF, powd. bbls</t>
  </si>
  <si>
    <t>Arabic gum, spray dried bgs.</t>
  </si>
  <si>
    <t>Benzene, US Gulf, contract f.o.b.</t>
  </si>
  <si>
    <t>Benzene, US Gulf, spot f.o.b. barges</t>
  </si>
  <si>
    <t>Biodiesel, US Gulf, dom. B100 f.o.b. Midwest</t>
  </si>
  <si>
    <t>Bisphenol-A, epoxy grade hopper cards, dlvd</t>
  </si>
  <si>
    <t>Bisphenol-A, polycarbonate grade hoppers cars, dlvd.</t>
  </si>
  <si>
    <t>Borax, gran., anhydrous bulk, c.l., f.o.b.</t>
  </si>
  <si>
    <t>Borax, gran., pentahydrate bulk, c.l., f.o.b</t>
  </si>
  <si>
    <t>Borax, granular bgs., c.l., f.o.b.</t>
  </si>
  <si>
    <t>Borax, pentahydrate 50-lb. bgs., t.l., f.o.b. works</t>
  </si>
  <si>
    <t>Boric acid, anhyd., tech., gran.bgs., c.l., f.o.b</t>
  </si>
  <si>
    <t>Boric acid, granular 50-lb.bgs., t.l., f.o.b. works</t>
  </si>
  <si>
    <t>Bromine, bulk, t.l., works [Dlvd. W. of Rockies, 1c/lb. higher. t.t. min 30,000 min add 1-2c.]</t>
  </si>
  <si>
    <t>Butadiene, US Gulf, contract f.o.b. USG</t>
  </si>
  <si>
    <t>Butadiene, US Gulf, sot f.o.b. USG dom.</t>
  </si>
  <si>
    <t>Butadiene, US Gulf, spot c.i.f.</t>
  </si>
  <si>
    <t>Butene-1, tanks. f.o.b. works</t>
  </si>
  <si>
    <t>Butyl acetate, US Gulf, dom. contract consumer</t>
  </si>
  <si>
    <t>Butyl acetate, US Gulf, spot USG export</t>
  </si>
  <si>
    <t>Butyraldehyde, tanks, dlvd.E.</t>
  </si>
  <si>
    <t>Calcium carbide, bulk, c.l., f.o.b.</t>
  </si>
  <si>
    <t>Calcium carbonate, (ground) dry, coarse (9-17 microns) bgs., bulk, t.l.</t>
  </si>
  <si>
    <t>Calcium carbonate, (ground) fine (0.5-microns) bgs., t.l., f.o.b. works</t>
  </si>
  <si>
    <t>Calcium carbonate, (ground) medium (4-9 microns) bgs., t.l.</t>
  </si>
  <si>
    <t>Calcium carbonate, precipitated, tech. (0.5 microns) 50-lb. bgs., t.l., f.o.b. Adams, MA</t>
  </si>
  <si>
    <t>Calcium carbonate, surface-treated, tech. 50-lb. bgs., f.o.b. Adams, MA</t>
  </si>
  <si>
    <t>Calcium carbonate, ultrafine (0.05-0.5 microns) 50-lb., bgs., f.o.b. works</t>
  </si>
  <si>
    <t>Calcium chloride, anhyd. 94-97%, flake or pellet, 50-lb. bgs., c.l., works</t>
  </si>
  <si>
    <t>Calcium chloride, anhyd. 94-97%, flake or pellet, 50-lb. bgs., works</t>
  </si>
  <si>
    <t>Calcium chloride, anhyd. 94-97%, flake or pellet, bulk, c.l., works</t>
  </si>
  <si>
    <t>Calcium chloride, conc. reg. 77-80%, flake 50-lb. bgs., paper, plastic, works</t>
  </si>
  <si>
    <t>Calcium chloride, conc. reg. 77-80%, flake, bulk, c.l., works</t>
  </si>
  <si>
    <t>Calcium chloride, liq. 35% basis t.c., t.t.</t>
  </si>
  <si>
    <t>Calcium chloride, liq. 45% basis, t.c., t.t.</t>
  </si>
  <si>
    <t>Calcium gluconate, USP, powd. f.o.b. warehouse</t>
  </si>
  <si>
    <t>Calcium hypochlorite, bulk, sacks t.l. delivered</t>
  </si>
  <si>
    <t>Calcium pantothenate, USP 100-500-kilo lots</t>
  </si>
  <si>
    <t>Calcium phosphate, dibasic, anhyd., USP bgs., c.l., t.l., works, frt. equald.</t>
  </si>
  <si>
    <t>Calcium phosphate, dibasic, dentrifice, dihydrate c.l., t.l., works, frt. equald.</t>
  </si>
  <si>
    <t>Calcium phosphate, dibasic, dihydrate, USP bgs., c.l., t.l., works, frt. equald.</t>
  </si>
  <si>
    <t>Calcium phosphate, dibasic, feed grade, 18.5% P. bulk, c.l., t.l., f.o.b. works</t>
  </si>
  <si>
    <t>Calcium phosphate, food grade, FCC bgs., c.l., t.l., frt. eqld.</t>
  </si>
  <si>
    <t>Calcium phosphate, monobasic monohydrate, food gr., bgs., c.l., t.l., works, frt. alld.</t>
  </si>
  <si>
    <t>Calcium phosphate, tribasic, NF precip. bgs., c.l., frt. eqld.</t>
  </si>
  <si>
    <t>Caprolactam, flake bgs., t.l.</t>
  </si>
  <si>
    <t>Caprolactam, monomer, molten tanks, f.o.b. shipping point</t>
  </si>
  <si>
    <t>Carbon black, fast extruding (N550), bulk, c.l., works</t>
  </si>
  <si>
    <t>Carbon black, thermal, medium bulk, c.l., works</t>
  </si>
  <si>
    <t>Caustic potash (potassium hydroxide), liq. West Coast, 45% basis tanks, ex terminal</t>
  </si>
  <si>
    <t>Caustic potash, flake, 88-92% 400-lb. dms., c.l., works</t>
  </si>
  <si>
    <t>Caustic soda (sodium hydroxide), liq., dst contract f.o.b.</t>
  </si>
  <si>
    <t>Caustic soda (sodium hydroxide), liq., dst spot barge f.o.b. USG</t>
  </si>
  <si>
    <t>Caustic soda (sodium hydroxide), liq., spot export f.o.b. USG</t>
  </si>
  <si>
    <t>Chlorinated paraffin, 40% chlorine, bgs., bulk</t>
  </si>
  <si>
    <t>Chlorinated paraffin, 50% chlorine bgs., bulk</t>
  </si>
  <si>
    <t>Chlorinated paraffin, 60% chlorine bgs., bulk</t>
  </si>
  <si>
    <t>Chlorinated paraffin, 70% chlorine, resinous bgs., bulk</t>
  </si>
  <si>
    <t>Chlorine, US Gulf, domestic, quarter contract</t>
  </si>
  <si>
    <t>Chloroform, US Gulf, spot ex-plant</t>
  </si>
  <si>
    <t>Chloroform, US Gulf, spot f.o.b. USG</t>
  </si>
  <si>
    <t>Choline chloride, 60% dry supplement bgs., 40,000 lbs. min.</t>
  </si>
  <si>
    <t>Choline chloride, 60% dry supplement bulk hopper cars</t>
  </si>
  <si>
    <t>Choline chloride, feed grade, 70% aqueous t.c., t.t., dlvd. E. of Rockies</t>
  </si>
  <si>
    <t>Choline chloride, pharmaceutical 50-kilo lots, f.o.b. Springfield, Mo.</t>
  </si>
  <si>
    <t>Choline dihydrogen citrate, 98% min., 50-kilo lots, f.o.b. Springfield, Mo.</t>
  </si>
  <si>
    <t>Citric acid, USP, anhyd., powd., pallet loads, pharmaceutical customers</t>
  </si>
  <si>
    <t>Citric acid, USP, anhyd., t.l. for customers buying 500,000-600,000</t>
  </si>
  <si>
    <t>Citric acid, USP, anhydrous, granular, 50-lb. bgs., t.l.</t>
  </si>
  <si>
    <t>Citric acid, USP, monohydrate, gran. 50-kilo dms., t.l., dlvd. E.</t>
  </si>
  <si>
    <t>Copper gluconate, FCC grade 25 kilo dms., f.o.b. warehouse</t>
  </si>
  <si>
    <t>Copper naphthenate, liq., 8% Cu. 450-lb. dms.</t>
  </si>
  <si>
    <t>Copper oxide, red, cuprous, 97% Cu. dms., t.l.</t>
  </si>
  <si>
    <t>Cumene, US Gulf, contract f.o.b.</t>
  </si>
  <si>
    <t>Cyclohexane, bulk, barges, works</t>
  </si>
  <si>
    <t>Dicyclopentadiene, high purity, 97-98% tanks, works</t>
  </si>
  <si>
    <t>Diethylene glycol monobutyl etheracetate, ms., c.l., dlvd. E.</t>
  </si>
  <si>
    <t>Diethylene glycol monobutyl etheracetate, tanks, dlvd. E</t>
  </si>
  <si>
    <t>Diethylene glycol, tanks, dlvd. E.</t>
  </si>
  <si>
    <t>Dipropylene glycol, tanks, f.o.b.</t>
  </si>
  <si>
    <t>dl-Calcium pantothenate, feed grade, f.o.b., frt. alld., 250 lbs or more</t>
  </si>
  <si>
    <t>dl-Leucine, dms., works</t>
  </si>
  <si>
    <t>dl-Phenylalanine, dms., 25-kilo lots</t>
  </si>
  <si>
    <t>Epichlorohydrin, tanks, dlvd.</t>
  </si>
  <si>
    <t>Epoxy resin, std. liq. dom. del. N. Am</t>
  </si>
  <si>
    <t>Epoxy resin, std. liq. spot del N. Am.</t>
  </si>
  <si>
    <t>Epoxy resin, std. solid, dom. del. N. Am.</t>
  </si>
  <si>
    <t>Erythorbic acid, powd., gran. 100-lb. dms t.l., mixed t.l., f.o.b. works</t>
  </si>
  <si>
    <t>Ethyl acetate, US Gulf, contract consumer</t>
  </si>
  <si>
    <t>Ethyl acetate, US Gulf, spot USG (exp)</t>
  </si>
  <si>
    <t>Ethyl acrylate, tanks, frt. alld.</t>
  </si>
  <si>
    <t>Ethyl alcohol, fuel, spot anhy. f.o.b. USG</t>
  </si>
  <si>
    <t>Ethyl alcohol, fuel, spot Chicago</t>
  </si>
  <si>
    <t>Ethyl alcohol, fuel, spot NY Harbour</t>
  </si>
  <si>
    <t>Ethyl alcohol, fuel, spot southern California</t>
  </si>
  <si>
    <t>Ethyl alcohol, industrial, contract 190 proof (del.)</t>
  </si>
  <si>
    <t>Ethyl alcohol, industrial, contract 200 proof (del.)</t>
  </si>
  <si>
    <t>Ethyl benzoate, dms.</t>
  </si>
  <si>
    <t>Ethyl vanillin, FCC, c.i.f.</t>
  </si>
  <si>
    <t>Ethylamine, anhyd. tanks, frt. prepaid, 100% basis</t>
  </si>
  <si>
    <t>Ethylamine, di, di dms., c.l., dlvd.</t>
  </si>
  <si>
    <t>Ethylamine, di, di tanks, dlvd. l</t>
  </si>
  <si>
    <t>Ethylamine, mono, 70% aqueous tanks, frt. prepaid, 100% basis</t>
  </si>
  <si>
    <t>Ethylamine, tri, tri dms., c.l., dlvd.</t>
  </si>
  <si>
    <t>Ethylamine, tri, tri tanks, dlvd.</t>
  </si>
  <si>
    <t>Ethylbenzene, spot f.o.b. USG</t>
  </si>
  <si>
    <t>Ethylene dichloride, spot f.o.b. USG</t>
  </si>
  <si>
    <t>Ethylene glycol, anti-freeze tanks, f.o.b.</t>
  </si>
  <si>
    <t>Ethylene glycol, industrial-grade, f.o.b.</t>
  </si>
  <si>
    <t>Ethylene glycol, monobutyl ether tanks, dlvd. E.</t>
  </si>
  <si>
    <t>Ethylene glycol, polyester, tanks, f.o.b.</t>
  </si>
  <si>
    <t>Ethylene oxide, contract f.o.b.</t>
  </si>
  <si>
    <t>Ethylene, US Gulf, contract del.</t>
  </si>
  <si>
    <t>Ethylene, US Gulf, spot del. (pipeline)</t>
  </si>
  <si>
    <t>Ethylenediamine tetraacetic acid, tetrasodium salt, soln. t.c., t.t., frt. equald.</t>
  </si>
  <si>
    <t>Ethylenediamine, 99% tanks, f.o.b. works</t>
  </si>
  <si>
    <t>Eugenol, FCC, USP, c.f.r.</t>
  </si>
  <si>
    <t>Expanded polystyrene, N. Am., dom. block</t>
  </si>
  <si>
    <t>Expanded polystyrene, N. Am., dom. bulk</t>
  </si>
  <si>
    <t>Expanded polystyrene, N. Am., dom. del. Mexico</t>
  </si>
  <si>
    <t>Expanded polystyrene, N. Am., dom. package</t>
  </si>
  <si>
    <t>Fatty alcohols, 42 deg. Be., photo grade, dms., c.l., 100 lb</t>
  </si>
  <si>
    <t>Fatty alcohols, US Gulf, dom., C12-C15 alcohol</t>
  </si>
  <si>
    <t>Fatty alcohols, US Gulf, dom., C16-C18 alcohol</t>
  </si>
  <si>
    <t>Fatty alcohols, US Gulf, dom., C8-C11 alcohol</t>
  </si>
  <si>
    <t>Ferric chloride, technical grade, 100% basis, tanks, f.o.b. works</t>
  </si>
  <si>
    <t>Ferrous gluconate, NF f.o.b warehouse, works. E.</t>
  </si>
  <si>
    <t>Ferrous sulfate heptahydrate, dry, t.l., f.o.b. Indianapolis</t>
  </si>
  <si>
    <t>Ferrous sulfate heptahydrate, moist, t.l., f.o.b. producing point</t>
  </si>
  <si>
    <t>Ferrous sulfate monohydrate, food grade, USP/FCC, f.o.b. Indianapolis</t>
  </si>
  <si>
    <t>Formaldehyde, 37% (inhibited 11-15% methanol) tanks, f.o.b. Gulf</t>
  </si>
  <si>
    <t>Formaldehyde, 37% (inhibited 7% methanol) tanks, f.o.b. Gulf</t>
  </si>
  <si>
    <t>Formaldehyde, 37% methanol-free (uninhibited) tanks, f.o.b. Gulf</t>
  </si>
  <si>
    <t>Fumaric acid, food grade bgs., t.l., frt. equald.</t>
  </si>
  <si>
    <t>Gelatin, 125 AOAC test dms., l.t.l., dlvd.</t>
  </si>
  <si>
    <t>Gelatin, 150 AOAC test dms., l.t.l., dlvd.</t>
  </si>
  <si>
    <t>Gelatin, 175 AOAC test dms., l.t.l., dlvd.</t>
  </si>
  <si>
    <t>Gelatin, 200 AOAC test dms., l.t.l., dlvd.</t>
  </si>
  <si>
    <t>Gelatin, 225 AOAC test dms., l.t.l., dlvd.</t>
  </si>
  <si>
    <t>Gelatin, 250 AOAC test dms., l.t.l., dlvd.</t>
  </si>
  <si>
    <t>Gelatin, 275 AOAC test dms., l.t.l., dlvd.</t>
  </si>
  <si>
    <t>Gelatin, 300 AOAC test dms., l.t.l., dlvd.</t>
  </si>
  <si>
    <t>Gluconic acid, 99.5% dms., 100-lb. lots, frt. alld.</t>
  </si>
  <si>
    <t>Gluconic acid, tanks, works, f.o.b. works</t>
  </si>
  <si>
    <t>Gluconic acid, tech., 50% dms., works, cl., t.l., f.o.b. works</t>
  </si>
  <si>
    <t>Glycerine, US Gulf, contract, pharma grade</t>
  </si>
  <si>
    <t>Glycerine, US Gulf, contract, tallow</t>
  </si>
  <si>
    <t>Glycerine, US Gulf, contract, vegetable &amp; syn</t>
  </si>
  <si>
    <t>Glycerine, US Gulf, spot, tallow</t>
  </si>
  <si>
    <t>Glycerine, US Gulf, spot, veg &amp; syn</t>
  </si>
  <si>
    <t>Grease, (spot cash basis) yellow, maximum 10% ffa., tanks</t>
  </si>
  <si>
    <t>Grease, (spot cash basis), white, choice, tanks, dlvd., Chicago</t>
  </si>
  <si>
    <t>Heptane, indust. tanks, f.o.b. Beaumont, Tex.</t>
  </si>
  <si>
    <t>Heptane, indust. tanks, works</t>
  </si>
  <si>
    <t>Hexane, 95% tanks, f.o.b. Houston, Tex.</t>
  </si>
  <si>
    <t>Hexane, indust. tanks, works</t>
  </si>
  <si>
    <t>Hydrochloric acid, 22 deg. Be, US Gulf dom. ex-works US NE</t>
  </si>
  <si>
    <t>Hydrochloric acid, 22 deg. Be, US Gulf dom. ex-works USG</t>
  </si>
  <si>
    <t>Hydrogen peroxide, 35%, tech., tankcars, works, frt. equald.</t>
  </si>
  <si>
    <t>Hydrogen peroxide, 50%, as is basis, 15-gal. dms., frt. equald.</t>
  </si>
  <si>
    <t>Hydrogen peroxide, 50%, as is basis, 55-gal dms., frt. equald.</t>
  </si>
  <si>
    <t>Hydrogen peroxide, 50%, as is basis, tankcars, frt. equald.</t>
  </si>
  <si>
    <t>Hydrogen peroxide, 70%, as is basis, tankcars, frt. equald.</t>
  </si>
  <si>
    <t>Ibuprofen, dms., t.l., f.o.b.</t>
  </si>
  <si>
    <t>Iodine, dms.</t>
  </si>
  <si>
    <t>Iron oxide, black, syn. bgs., t.l., f.o.b. whse.</t>
  </si>
  <si>
    <t>Iron oxide, buff, dark, nat., dom. bgs., t.l., f.o.b. whse.</t>
  </si>
  <si>
    <t>Iron oxide, buff, light, nat., dom. bgs., t.l., f.o.b. whse.</t>
  </si>
  <si>
    <t>Iron oxide, buff, nat., dom. bgs., t.l., f.o.b. whse.</t>
  </si>
  <si>
    <t>Iron oxide, yellow, syn. bgs., t.l., f.o.b. whse</t>
  </si>
  <si>
    <t>Isobutanol, bulk</t>
  </si>
  <si>
    <t>Isobutylene, 99% tanks, f.o.b. works</t>
  </si>
  <si>
    <t>Isopropyl alcohol, US Gulf, contract, del. consumer</t>
  </si>
  <si>
    <t>Isopropyl alcohol, US Gulf, spot f.o.b. export</t>
  </si>
  <si>
    <t>Isopropyl alcohol, US Gulf, spot f.o.b. tank</t>
  </si>
  <si>
    <t>Isopropyl ether, refd. tanks, dlvd.</t>
  </si>
  <si>
    <t>Kaolin, calcined, paper grade bgs., t.l.</t>
  </si>
  <si>
    <t>Kaolin, hydrous, paper grade bgs., t.l.</t>
  </si>
  <si>
    <t>Kaolin, NF powd., colloidal 20-lb. ctns.</t>
  </si>
  <si>
    <t>l-Lysine monohydrochloride, feed grade, 10,000lbs, dlvd.</t>
  </si>
  <si>
    <t>L-Threonine, feed grade</t>
  </si>
  <si>
    <t>L-Threonine, USP grade</t>
  </si>
  <si>
    <t>l-Tryptophan, feed grade dms., 25-kilo lots</t>
  </si>
  <si>
    <t>Lactic acid, food grade 50% dms., t.l., f.o.b.</t>
  </si>
  <si>
    <t>Lactic acid, food grade 88% t.l., f.o.b. works</t>
  </si>
  <si>
    <t>Lactic acid, tech., 88% t.c., frt. equald.</t>
  </si>
  <si>
    <t>Lactose, edible bgs., c.l., works</t>
  </si>
  <si>
    <t>Lactose, USP, reg. dms., c.l., t.l., frt. equald.</t>
  </si>
  <si>
    <t>Lactose, USP, spray dried bgs., t.l., frt. equald.</t>
  </si>
  <si>
    <t>Lauric acid, Asia, f.o.b./c.f.r., dlvd</t>
  </si>
  <si>
    <t>Lecithin, bleached, tech., bulk, drums, f.o.b. Decatur,IL</t>
  </si>
  <si>
    <t>Lecithin, unbleached, tech., drums, f.o.b. Decatur, IL</t>
  </si>
  <si>
    <t>Lime, chemical pebble (quicklime), hydrated bulk, c.l., f.o.b. works</t>
  </si>
  <si>
    <t>Lime, chemical, pebble (quicklime) bulk, f.o.b. plants</t>
  </si>
  <si>
    <t>Lime, hydrated, bulk, t.l., f.o.b. works</t>
  </si>
  <si>
    <t>Linear alkyl benzene (LAB), dlvd.</t>
  </si>
  <si>
    <t>Linear alkyl sulfonate (LAS), bulk</t>
  </si>
  <si>
    <t>Linseed oil, (spot cash basis), crude, Minneapolis</t>
  </si>
  <si>
    <t>Linseed oilmeal, (spot cash basis), extracted, 34% bulk Fargo</t>
  </si>
  <si>
    <t>Litsea cubeba oil, 84/86%, Chinese, f.o.b.</t>
  </si>
  <si>
    <t>m-Xylene, high-purity tanks, f.o.b. Texas City, Tex.</t>
  </si>
  <si>
    <t>Magnesium chloride, anhyd., 92% flake or pebble dms., c.l., works</t>
  </si>
  <si>
    <t>Magnesium chloride, hydrous, 99% flake bgs., c.l., works</t>
  </si>
  <si>
    <t>Magnesium gluconate, 100-lb. dms., f.o.b. works, E.</t>
  </si>
  <si>
    <t>Magnesium hydroxide, powder, technical dms., bags, t.l., f.o.b.</t>
  </si>
  <si>
    <t>Magnesium hydroxide, slurry, technical, dms, t.l., l.t.l., f.o.b.</t>
  </si>
  <si>
    <t>Magnesium oxide, deadburned bgs., c.l., t.l., works</t>
  </si>
  <si>
    <t>Magnesium oxide, hardburned,, 98% synth, tech. chemical, t.l. fob, works, bulk, cl</t>
  </si>
  <si>
    <t>Magnesium sulfate, 10% Mg., (epsom salts) tech. bgs., t.l., works</t>
  </si>
  <si>
    <t>Magnesium sulfate, bulk, works</t>
  </si>
  <si>
    <t>Magnesium sulfate, USP, cryst. 50-lb. bgs., t.l., works</t>
  </si>
  <si>
    <t>Magnesium sulfate, USP, cryst. bulk, t.l., works</t>
  </si>
  <si>
    <t>Magnesium sulfate, USP, cryst. semi-bulk bag, 2000 lbs., works</t>
  </si>
  <si>
    <t>Maleic anhydride, bgs., t.l., works, frt. equald.</t>
  </si>
  <si>
    <t>Maleic anhydride, tanks, works, frt. equald.</t>
  </si>
  <si>
    <t>Malic acid, purif., and food grades 50-lb. bgs., t.l., c.l., dlvd.</t>
  </si>
  <si>
    <t>Manganese gluconate, FCC grade 100-lb. dms., f.o.b. works</t>
  </si>
  <si>
    <t>Melamine fine, fine c.l., t.l., same basis</t>
  </si>
  <si>
    <t>Melamine-formaldehyde resin, g.p. t.l., frt. alld.</t>
  </si>
  <si>
    <t>Melamine-formaldehyde resin, molding compounds t.l., frt. alld.</t>
  </si>
  <si>
    <t>Melamine, US Gulf, dom. bulk</t>
  </si>
  <si>
    <t>Menhaden meal, 60% bulk, East Coast and Gulf</t>
  </si>
  <si>
    <t>Menhaden oil, bulk, East Coast and Gulf</t>
  </si>
  <si>
    <t>Menthol, BP/USP, Indian, dms., c.i.f.</t>
  </si>
  <si>
    <t>Menthol, BP/USP, nat., Chinese</t>
  </si>
  <si>
    <t>Methanol, US Gulf, contract barge</t>
  </si>
  <si>
    <t>Methanol, US Gulf, spot dom. barge</t>
  </si>
  <si>
    <t>Methanol, US Gulf, spot export</t>
  </si>
  <si>
    <t>Methionine hydroxyanalogue, Dry, 86% activity t.l., frt. alld.</t>
  </si>
  <si>
    <t>Methionine hydroxyanalogue, liquid 88% activity t.l., frt. alld.</t>
  </si>
  <si>
    <t>Methyl acrylate, tanks, dlvd</t>
  </si>
  <si>
    <t>Methyl chloride, indust. bulk, tanks, f.o.b. works</t>
  </si>
  <si>
    <t>Methyl cinnamate, FCC grade dms.</t>
  </si>
  <si>
    <t>Methyl diphenyl diisocyanate, polymeric MDI, bulk, list</t>
  </si>
  <si>
    <t>Methyl diphenyl diisocyanate, polymeric MDI, bulk, market range</t>
  </si>
  <si>
    <t>Methyl ethyl ketone, tanks, dlvd. E.</t>
  </si>
  <si>
    <t>Methyl heptenone, Pure, dms.</t>
  </si>
  <si>
    <t>Methyl isobutyl ketone, US Gulf, contract del. E Rockies</t>
  </si>
  <si>
    <t>Methyl isobutyl ketone, US Gulf, spot ex-tank</t>
  </si>
  <si>
    <t>Methyl methacrylate, US Gulf, contract, fd railcar</t>
  </si>
  <si>
    <t>Methyl methacrylate, US Gulf, contract, fd tanktruck</t>
  </si>
  <si>
    <t>Methylene chloride, US Gulf, spot ex-tank</t>
  </si>
  <si>
    <t>Methylene chloride, US Gulf, spot f.o.b. USG</t>
  </si>
  <si>
    <t>Microcrystalline wax, coating grades, FDA tanks, works</t>
  </si>
  <si>
    <t>Microcrystalline wax, laminating grades, FDA tanks, works</t>
  </si>
  <si>
    <t>Mineral oil, USP, 180-190 vis. tanks, refd.</t>
  </si>
  <si>
    <t>Mineral oil, USP, 200-210 vis. tanks, refd.</t>
  </si>
  <si>
    <t>Mineral oil, USP, 340-350 vis. tanks, refd.</t>
  </si>
  <si>
    <t>Mineral oil, white, 145-155 vis. tanks, refd.</t>
  </si>
  <si>
    <t>Mineral oil, white, 55-65 vis., NF light, tanks, refd.</t>
  </si>
  <si>
    <t>Mineral oil, white, 65-75 vis. tanks, refd.</t>
  </si>
  <si>
    <t>Mineral oil, white, 80-90 vis. tanks, refd.</t>
  </si>
  <si>
    <t>Monochlorobenzene, tanks, f.o.b.</t>
  </si>
  <si>
    <t>Monopotassium glutamate, dms., 990 lbs. or more, frt. alld.</t>
  </si>
  <si>
    <t>Monosodium glutamate, 100-lb. dms., c.l., t.l., dlvd.</t>
  </si>
  <si>
    <t>Monosodium glutamate, 50-lb. bgs., c.l., t.l., dlvd.</t>
  </si>
  <si>
    <t>MTBE, US Gulf, spot f.o.b. USG</t>
  </si>
  <si>
    <t>Myristic acid, Asia, f.o.b./c.f.r., bulk</t>
  </si>
  <si>
    <t>n-Butanol, bulk</t>
  </si>
  <si>
    <t>n-Butyl acetate, syn. tanks, dlvd. E.</t>
  </si>
  <si>
    <t>n-Butyl acrylate, tanks, frt. alld. E.</t>
  </si>
  <si>
    <t>n-Butyl alcohol, syn. tanks, frt. alld. E.</t>
  </si>
  <si>
    <t>N-Methyl 2-pyrrolidone, dms., c.l., t.l., f.o.b. plant</t>
  </si>
  <si>
    <t>N-Methyl 2-pyrrolidone, tanks, f.o.b. plant</t>
  </si>
  <si>
    <t>n-Propyl acetate, tanks, dlvd. E.</t>
  </si>
  <si>
    <t>n-Propyl alcohol, tanks, dlvd.</t>
  </si>
  <si>
    <t>Neopentyl glycol, powder, flake bgs., t.l., dlvd.</t>
  </si>
  <si>
    <t>Neopentyl glycol, slurry, 90% c.l., t.l., dlvd.</t>
  </si>
  <si>
    <t>Niacinamide, feed grade, 98-99.5% bgs., 5,000 kilos or more, dlvd.</t>
  </si>
  <si>
    <t>Niacinamide, USP dms., 5,000 kilos or more, dlvd.</t>
  </si>
  <si>
    <t>Niacinamide, USP t.l., dms.</t>
  </si>
  <si>
    <t>Nitric acid, 40 deg. Be, 42 deg. Be. tanks, c.l., works, 100% basis</t>
  </si>
  <si>
    <t>Nitrobenzene, tanks, f.o.b.</t>
  </si>
  <si>
    <t>o-Xylene, US Gulf, contract f.o.b.</t>
  </si>
  <si>
    <t>o-Xylene, US Gulf, spot f.o.b. export</t>
  </si>
  <si>
    <t>Oiticica oil, liq. dms shipment</t>
  </si>
  <si>
    <t>Oleic acid, Asia, drum, f.o.b./c.f.r.</t>
  </si>
  <si>
    <t>Oleic acid, drum shipment</t>
  </si>
  <si>
    <t>p-Xylene, US Gulf, contract del.</t>
  </si>
  <si>
    <t>p-Xylene, US Gulf, spot f.o.b. export</t>
  </si>
  <si>
    <t>Palm kernal oil, RBD, NY, c.i.f.</t>
  </si>
  <si>
    <t>Palm oil, (spot cash basis), ref., dlvd., NJ</t>
  </si>
  <si>
    <t>Paraffin wax, US Gulf, melting point 125F-140F, spot f.o.b. USG</t>
  </si>
  <si>
    <t>Paraffin wax, US Gulf, spot, slackwax bulk</t>
  </si>
  <si>
    <t>Peanut oil, (spot cash basis), crude, Southeast restricted</t>
  </si>
  <si>
    <t>Peanut oil, refined (spot cash basis) jumbo tanks, NY</t>
  </si>
  <si>
    <t>Peanut oilmeal, 48% protein, bulk, f.o.b. SE.</t>
  </si>
  <si>
    <t>Pectin, high methoxyl</t>
  </si>
  <si>
    <t>Pectin, low methoxyl</t>
  </si>
  <si>
    <t>Pentaerythritol triacrylate, dms., t.l., f.o.b.</t>
  </si>
  <si>
    <t>Pentaerythritol, tech. bgs., c.l., f.o.b., frt. alld.</t>
  </si>
  <si>
    <t>Perchloroethylene, US Gulf, spot ex-tank</t>
  </si>
  <si>
    <t>Perchloroethylene, US Gulf, spot f.o.b. USG</t>
  </si>
  <si>
    <t>Petrolatum, amber dms., c.l., refd.</t>
  </si>
  <si>
    <t>Petrolatum, amber tanks, refd.</t>
  </si>
  <si>
    <t>Petrolatum, cream dms., c.l. refd.</t>
  </si>
  <si>
    <t>Petrolatum, cream tanks, refd.</t>
  </si>
  <si>
    <t>Petrolatum, lily white dms., c.l., refd.</t>
  </si>
  <si>
    <t>Petrolatum, lily white tanks, refd.</t>
  </si>
  <si>
    <t>Petrolatum, soft white dms., c.l., refd.</t>
  </si>
  <si>
    <t>Petrolatum, soft white tanks, refd.</t>
  </si>
  <si>
    <t>Petrolatum, soft yellow dms., c.l., refd.</t>
  </si>
  <si>
    <t>Petrolatum, soft yellow tanks, refd.</t>
  </si>
  <si>
    <t>Petrolatum, USP snow white, tanks, refd.</t>
  </si>
  <si>
    <t>Petrolatum, USP, snow white dms., c.l., refd.</t>
  </si>
  <si>
    <t>Phenol, US Gulf, contract frt. equald</t>
  </si>
  <si>
    <t>Phenol, US Gulf, spot f.o.b. export</t>
  </si>
  <si>
    <t>Phosgene, bulk,(13-1 ton) ret. cyls, works</t>
  </si>
  <si>
    <t>Phosphoric acid, 80% tanks, frt. equald.</t>
  </si>
  <si>
    <t>Phosphoric acid, 85% tanks, frt. equald.</t>
  </si>
  <si>
    <t>Phosphoric acid, comÃªl and tech., 75% tanks, delivered</t>
  </si>
  <si>
    <t>Phosphoric acid, super tanks, f.o.b. southern states</t>
  </si>
  <si>
    <t>Phosphorus oxychloride, bulk tanks, f.o.b. works</t>
  </si>
  <si>
    <t>Phosphorus pentasulfide, powd. tote bins, sellers</t>
  </si>
  <si>
    <t>Phosphorus pentoxide, 50.-lb. dms., t.l., f.o.b. works</t>
  </si>
  <si>
    <t>Phosphorus trichloride, dms., f.o.b. works</t>
  </si>
  <si>
    <t>Phosphorus trichloride, tanks, f.o.b. works</t>
  </si>
  <si>
    <t>Phosphorus, white, solid tanks, f.o.b. works</t>
  </si>
  <si>
    <t>Phthalic anhydride, US gulf, contract del. flake</t>
  </si>
  <si>
    <t>Pine Oil, US Gulf, contract f.o.b. molten</t>
  </si>
  <si>
    <t>Polycarbonate, 80% min. alcohol content 55- gal. drums, f.o.b. Jacksonville</t>
  </si>
  <si>
    <t>Polycarbonate, US Gulf, ext., dom. package</t>
  </si>
  <si>
    <t>Polycarbonate, US Gulf, GP ext., dom. bulk</t>
  </si>
  <si>
    <t>Polycarbonate, US Gulf, GP ext., spot bulk</t>
  </si>
  <si>
    <t>Polycarbonate, US Gulf, GP ext., spot package</t>
  </si>
  <si>
    <t>Polycarbonate, US Gulf, GP molding, dom. bulk</t>
  </si>
  <si>
    <t>Polycarbonate, US Gulf, GP molding, dom. package</t>
  </si>
  <si>
    <t>Polycarbonate, US Gulf, GP molding, spot bulk</t>
  </si>
  <si>
    <t>Polyester resin, unsaturated, g.p., ortho-phthalic bulk, tankcars, frt. alld.</t>
  </si>
  <si>
    <t>Polyester resin, US Gulf, GP molding, spot package</t>
  </si>
  <si>
    <t>Polyethylene, unsaturated, isophthalic bulk, tankcars, frt. alld.</t>
  </si>
  <si>
    <t>Polyethylene, US Gulf, bagged, export, HDPE blmldg</t>
  </si>
  <si>
    <t>Polyethylene, US Gulf, bagged, export, HDPE injection</t>
  </si>
  <si>
    <t>Polyethylene, US Gulf, bagged, export, HMW HDPE bimodal</t>
  </si>
  <si>
    <t>Polyethylene, US Gulf, bagged, export, LDPE film</t>
  </si>
  <si>
    <t>Polyethylene, US Gulf, bagged, export, LLDPE butene</t>
  </si>
  <si>
    <t>Polyethylene, US Gulf, HDPE blmldg, dom. bulk</t>
  </si>
  <si>
    <t>Polyethylene, US Gulf, HDPE HWM film, dom. bulk</t>
  </si>
  <si>
    <t>Polyethylene, US Gulf, HDPE, injection, dom. bulk</t>
  </si>
  <si>
    <t>Polyethylene, US Gulf, LDPE, clarity grade, dom. bulk</t>
  </si>
  <si>
    <t>Polyethylene, US Gulf, LDPE, liner grade, dom. bulk</t>
  </si>
  <si>
    <t>Polyethylene, US Gulf, LLDPE, dom. film (butene)</t>
  </si>
  <si>
    <t>Polyethylene, US Gulf, LLDPE, dom. film (hexene)</t>
  </si>
  <si>
    <t>Polypropylene, US Gulf, homopolymer dom. bulk raffia</t>
  </si>
  <si>
    <t>Polypropylene, US Gulf, LLDPE, dom. injection</t>
  </si>
  <si>
    <t>Polypropylene, US Gulf, PP bagged, export, injection</t>
  </si>
  <si>
    <t>Polypropylene, US Gulf, PP bagged, export, raffia</t>
  </si>
  <si>
    <t>Polypropylene, US Gulf, PP copolymer, dom. bulk</t>
  </si>
  <si>
    <t>Polypropylene, US Gulf, PP copolymer, dom. GP film</t>
  </si>
  <si>
    <t>Polypropylene, US Gulf, PP homopolymer dom. bulk injection</t>
  </si>
  <si>
    <t>Polystyrene, US Gulf, GP dom. bulk</t>
  </si>
  <si>
    <t>Polystyrene, US Gulf, GP dom. package</t>
  </si>
  <si>
    <t>Polystyrene, US Gulf, HIPS dom. bulk</t>
  </si>
  <si>
    <t>Polystyrene, US Gulf, PP homopolymer dom. bulk film (BOPP)</t>
  </si>
  <si>
    <t>Polyvinyl chloride, US Gulf, dom. GP</t>
  </si>
  <si>
    <t>Polyvinyl chloride, US Gulf, dom. pipe</t>
  </si>
  <si>
    <t>Polyvinyl chloride, US Gulf, HIPS dom. package</t>
  </si>
  <si>
    <t>Potassium carbonate, anhydrous bgs., works</t>
  </si>
  <si>
    <t>Potassium carbonate, anhydrous bulk truck, bulk car, works</t>
  </si>
  <si>
    <t>Potassium carbonate, liq., 47% K2CO3, tank truck or tankcars, works</t>
  </si>
  <si>
    <t>Potassium carbonate, US Gulf, export f.o.b. USG</t>
  </si>
  <si>
    <t>Potassium chloride, anhydrous 400-lb. dms.</t>
  </si>
  <si>
    <t>Potassium chloride, chemical grade, 99.95% KCl bulk, c.l., f.o.b. works</t>
  </si>
  <si>
    <t>Potassium chloride, USP cryst. dms.</t>
  </si>
  <si>
    <t>Potassium chloride, USP gran. dms.</t>
  </si>
  <si>
    <t>Potassium fluoride, USP powd. dms.</t>
  </si>
  <si>
    <t>Potassium gluconate, anhyd. dms., t.l.</t>
  </si>
  <si>
    <t>Potassium pentaborate, dms., t.l., f.o.b. warehouse</t>
  </si>
  <si>
    <t>Potassium pentaborate, gran. bgs., c.l., t.l., works</t>
  </si>
  <si>
    <t>Potassium pentaborate, powder</t>
  </si>
  <si>
    <t>Potassium perchlorate, dms., c.l., t.l., works</t>
  </si>
  <si>
    <t>Potassium pyrophosphate, 50-lb. dms., f.o.b. works</t>
  </si>
  <si>
    <t>Potassium pyrophosphate, tetrabasic anhyd bulk, t.c., t.l., f.o.b. works</t>
  </si>
  <si>
    <t>Potassium sorbate, tetrabasic drums, t.l., f.o.b. works</t>
  </si>
  <si>
    <t>Potassium sulfate, 20,000-lb., dlvd.</t>
  </si>
  <si>
    <t>Potassium sulfate, agri. min. 50% K2O std. bulk, c.l., f.o.b. works</t>
  </si>
  <si>
    <t>Potassium tetraborate, gran. bgs., c.l., t.l., works, f.o.b.</t>
  </si>
  <si>
    <t>Potassium tetraborate, gran., purif. 300-lb. dms.</t>
  </si>
  <si>
    <t>Potassium tetraborate, powder</t>
  </si>
  <si>
    <t>Potassium-magnesium sulfate, dms., c.l., f.o.b., works</t>
  </si>
  <si>
    <t>PropionaldehydePropionic acid, std. bgs., works</t>
  </si>
  <si>
    <t>Propylene glycol, US Gulf, R grade, spot cars</t>
  </si>
  <si>
    <t>Propylene glycol, US Gulf, R grade, spot pipeline</t>
  </si>
  <si>
    <t>Propylene oxide, indust. tanks, f.o.b.</t>
  </si>
  <si>
    <t>Propylene, syn., pure, tanks, f.o.b. works</t>
  </si>
  <si>
    <t>Propylene, tanks, f.o.b.</t>
  </si>
  <si>
    <t>Propylene, US Gulf, C grade, spot cars</t>
  </si>
  <si>
    <t>Propylene, US Gulf, C grade, spot pipeline</t>
  </si>
  <si>
    <t>Propylene, US Gulf, contract C grade</t>
  </si>
  <si>
    <t>Propylene, US Gulf, contract P grade</t>
  </si>
  <si>
    <t>Propylene, US Gulf, contract R grade</t>
  </si>
  <si>
    <t>Propylene, US Gulf, P grade, spot cars</t>
  </si>
  <si>
    <t>Propylene, US Gulf, P grade, spot pipeline</t>
  </si>
  <si>
    <t>Pyridoxine hydrochloride, USP tanks, f.o.b. E.</t>
  </si>
  <si>
    <t>Rapeseed oil, over 45% erucic acid, dms.</t>
  </si>
  <si>
    <t>Safflower oil, edible drums</t>
  </si>
  <si>
    <t>Safflower oil, tanks, N.Y.</t>
  </si>
  <si>
    <t>Salicylic acid, tech. dms., c.l., t.l., f.o.b works</t>
  </si>
  <si>
    <t>Salicylic acid, USP, cryst. dms., 1,000 lbs. or more</t>
  </si>
  <si>
    <t>Salicylic acid, USP, powd. dms., 1,000 lbs. or more</t>
  </si>
  <si>
    <t>Sandalwood oil, E. Indian, f.o.b.</t>
  </si>
  <si>
    <t>Sandalwood oil, Indonesian</t>
  </si>
  <si>
    <t>Sebacic acid, purif. bgs., c.l., works</t>
  </si>
  <si>
    <t>Sebacic acid, purified drums, bulk, works</t>
  </si>
  <si>
    <t>sec-Butyl alcohol, syn. tanks, dlvd.</t>
  </si>
  <si>
    <t>Soda ash (sodium carbonate), dense, US Gulf, f.o.b. bulk</t>
  </si>
  <si>
    <t>Sodium alginate, NF, white powd., dom. 300 lbs. or more</t>
  </si>
  <si>
    <t>Sodium ascorbate, USP dms., 400 kilos</t>
  </si>
  <si>
    <t>Sodium benzoate, tech. bgs., c.l., t.l., frt. dlvd.</t>
  </si>
  <si>
    <t>Sodium benzoate, USP 100-lb. dms., c.l., t.l., frt. alld.</t>
  </si>
  <si>
    <t>Sodium benzoate, USP 50-lb. bgs., c.l., t.l., frt. alld</t>
  </si>
  <si>
    <t>Sodium bicarbonate, gran. bgs., c.l., t.l., works, frt. equald.</t>
  </si>
  <si>
    <t>Sodium bicarbonate, gran., fine bgs., c.l., t.l., works, frt. equald.</t>
  </si>
  <si>
    <t>Sodium bicarbonate, industrial grade 100-lb. bgs., t.l., works, frt. equald.</t>
  </si>
  <si>
    <t>Sodium bicarbonate, USP, coarse 100-lb. bgs., t.l., works, frt. equald.</t>
  </si>
  <si>
    <t>Sodium bicarbonate, USP, powd., reg. grade 100-lb. bgs., t.l., works, frt. equald.</t>
  </si>
  <si>
    <t>Sodium bisulfate, 2,000-lb. bulk bags, t.l., works</t>
  </si>
  <si>
    <t>Sodium bisulfate, 400-lb. dms., c.l., t.l., works</t>
  </si>
  <si>
    <t>Sodium bisulfite, anhyd., bgs., c.l., t.l., works, East</t>
  </si>
  <si>
    <t>Sodium bisulfite, photographic grade, 38% soln., works</t>
  </si>
  <si>
    <t>Sodium bisulfite, soln., 38%, bulk, 100% basis, works, East</t>
  </si>
  <si>
    <t>Sodium chlorate, 100-lb. dms., c.l., works</t>
  </si>
  <si>
    <t>Sodium chlorate, bulk, t.c., t.t., f.o.b. Canadian plant</t>
  </si>
  <si>
    <t>Sodium chlorate, crystal bulk, t.c., t.t., dlvd., US</t>
  </si>
  <si>
    <t>Sodium chlorite, cryst., 80% basis dms., c.l., t.l., works</t>
  </si>
  <si>
    <t>Sodium citrate, USP, gran., dihydrate, 100-lb. bgs., t.l., dlvd.</t>
  </si>
  <si>
    <t>Sodium cyanide, metal finishing grade, dms.,t.l., l.t.l., works</t>
  </si>
  <si>
    <t>Sodium erythorbate, powd., gran. t.l., or mixed t.l., f.o.b. distri. pt.</t>
  </si>
  <si>
    <t>Sodium fluoride, 50 lb., 100-lb. bgs., c.l, f.o.b. El Paso</t>
  </si>
  <si>
    <t>Sodium fluoride, white, 97% 50 lb., 100-lb. bgs. dms., c.l, f.o.b. Tampa</t>
  </si>
  <si>
    <t>Sodium gluconate, tech. 5000-lb. bgs., t.l.,, frt. alld.</t>
  </si>
  <si>
    <t>Sodium hydride, oil dispersion, 60% NaH 220-lb. dms., works</t>
  </si>
  <si>
    <t>Sodium hydrosulfide (sodium sulfhydrate), flake, 70-72%, as is basis bgs., c.l., frt. equald.</t>
  </si>
  <si>
    <t>Sodium hydrosulfide (sodium sulfhydrate), liq., 44-46%, 100% basis tanks, frt. equald.</t>
  </si>
  <si>
    <t>Sodium hydrosulfite, soln., t.c., t.t., 90% dry basis, f.o.b. works</t>
  </si>
  <si>
    <t>Sodium hypophosphite, monohydrate, 400-lb. dms., f.o.b. works</t>
  </si>
  <si>
    <t>Sodium phosphate, anhyd., dibasic dms, c.l., t.l., works, frt. equald</t>
  </si>
  <si>
    <t>Sodium phosphate, anhyd., dibasic, bulk, t.c., t.l., f.o.b. works</t>
  </si>
  <si>
    <t>Sodium phosphate, monobasic dms., c.l., t.l., works, frt. equald.</t>
  </si>
  <si>
    <t>Sodium phosphate, monobasic, food grade bgs, c.l., t.l., works, frt. equald.</t>
  </si>
  <si>
    <t>Sodium phosphate, tribasic, anhyd. dms., c.l., t.l., f.o.b. works</t>
  </si>
  <si>
    <t>Sodium phosphate, tribasic, cryst., food grade bgs, c.l., t.l., works, frt. equald.</t>
  </si>
  <si>
    <t>Sodium phosphate, tribasic, cryst., tech. bgs., c.l., t.l., works, frt. equald.</t>
  </si>
  <si>
    <t>Sodium phosphate, tribasic, food grade bgs., c.l., t.l., works, frt. equald.</t>
  </si>
  <si>
    <t>Sodium sesquicarbonate, bulk, c.l., t.l., works</t>
  </si>
  <si>
    <t>Sodium silicate, 41 deg. solid, 3.22-3.25 ratio bulk, c.l., t.l., frt. equald.</t>
  </si>
  <si>
    <t>Sodium silicate, solid or glass, 1.95-2.00 ratio bulk, c.l., t.l., works</t>
  </si>
  <si>
    <t>Sodium silicate, solid or glass, 3.22-3.25 ratio bulk, c.l., t.l., works</t>
  </si>
  <si>
    <t>Sodium sulfate, Gulf bulk, c.l., works, frt. equald.</t>
  </si>
  <si>
    <t>Sodium sulfide, bgs., c.l., t.l., f.o.b. works</t>
  </si>
  <si>
    <t>Sodium sulfide, flake, 60/62% dms., c.l., t.l., f.o.b. works</t>
  </si>
  <si>
    <t>Sodium sulfite, anhyd. tech.,95-100%, bags, works.</t>
  </si>
  <si>
    <t>Sodium thiosulfate, liquid, 30% bulk, t.t., dry basis</t>
  </si>
  <si>
    <t>Sodium thiosulfate, pentahydrate bags, t.l., f.o.b.</t>
  </si>
  <si>
    <t>Sodium tripolyphosphate (STPP), dms., c.l., t.l., f.o.b. works</t>
  </si>
  <si>
    <t>Sodium tripolyphosphate (STPP), food grade bgs., c.l., t.l., works, frt. equald.</t>
  </si>
  <si>
    <t>Sodium tripolyphosphate (STPP), tech. bgs., c.l., t.l., f.o.b. works</t>
  </si>
  <si>
    <t>Sorbic acid, t.l., 100-lb. dms, dlvd.</t>
  </si>
  <si>
    <t>Sorbitol, US Gulf, contract crystal uSG</t>
  </si>
  <si>
    <t>Sorbitol, US Gulf, contract liq. USP USG</t>
  </si>
  <si>
    <t>Sorbitol, US Gulf, spot crystal USG</t>
  </si>
  <si>
    <t>Sorbitol, US Gulf, spot liq. USP USG</t>
  </si>
  <si>
    <t>Soybean oil, (spot cash basis), crude, Decatur</t>
  </si>
  <si>
    <t>Spearmint oil, Chinese, 60%, c.i.f.</t>
  </si>
  <si>
    <t>Spearmint oil, Chinese, 80%, c.i.f.</t>
  </si>
  <si>
    <t>Spearmint oil, Far West, Scotch, f.o.b.</t>
  </si>
  <si>
    <t>Spearmint oil, Indian, 60%, c.i.f.</t>
  </si>
  <si>
    <t>Stearic acid, Asia, rubber grade, f.o.b./c.f.r.</t>
  </si>
  <si>
    <t>Stearic acid, rubber grade, bulk</t>
  </si>
  <si>
    <t>Stearic acid, triple-pressed, bulk</t>
  </si>
  <si>
    <t>Styrene monomer, US Gulf, contract f.o.b.</t>
  </si>
  <si>
    <t>Styrene monomer, US Gulf, spot f.o.b. export</t>
  </si>
  <si>
    <t>Styrene-acrylonitrile resin, clear bulk, f.o.b. plant</t>
  </si>
  <si>
    <t>Styrene-acrylonitrile resin, cryst. bulk, f.o.b. plant</t>
  </si>
  <si>
    <t>Styrene-acrylonitrile resin, nat. bulk, f.o.b. plant</t>
  </si>
  <si>
    <t>Styrene-Butadiene Rubber, Non-oil grade contract f.o.b. USG</t>
  </si>
  <si>
    <t>Styrene-Butadiene Rubber, Non-oil grade spot f.o.b. USG</t>
  </si>
  <si>
    <t>Styrene-Butadiene Rubber, Oil extended grade contract f.o.b. USG</t>
  </si>
  <si>
    <t>Styrene-Butadiene Rubber, Oil extended grade spot f.o.b. USG</t>
  </si>
  <si>
    <t>Sulfamic acid, bgs., c.l., t.l., f.o.b. works</t>
  </si>
  <si>
    <t>Sulfur dioxide, anhyd. (99.9%) 2000 lbs., f.o.b.</t>
  </si>
  <si>
    <t>Sulfur dioxide, liq. bulk, t.c., t.t., f.o.b. works</t>
  </si>
  <si>
    <t>Sulphur, Frasch &amp; recovered, contract del Tampa</t>
  </si>
  <si>
    <t>Sulphur, Frasch &amp; recovered, contract f.o.b. Vancouver</t>
  </si>
  <si>
    <t>Sulphuric acid, smelter 100% tanks, works, Gulf Coast</t>
  </si>
  <si>
    <t>Sulphuric acid, smelter 100%, tanks, works</t>
  </si>
  <si>
    <t>Sulphuric acid, smelter, 93% tanks, dlvd., Northwest</t>
  </si>
  <si>
    <t>Sulphuric acid, smelter, tanks, intro. Southeast</t>
  </si>
  <si>
    <t>Sulphuric acid, virgin 100%, tanks, works, East Coast</t>
  </si>
  <si>
    <t>Sulphuric acid, virgin 100%, tanks, works, Midwest</t>
  </si>
  <si>
    <t>Sulphuric acid, virgin 100%, tanks, works, Southeast</t>
  </si>
  <si>
    <t>Sulphuric acid, virgin 100%, tanks, works, Southwest</t>
  </si>
  <si>
    <t>Sulphuric acid, virgin 100%, tanks, works, West Coast</t>
  </si>
  <si>
    <t>Sunflowerseed oil, crude, Midwest, f.o.b.</t>
  </si>
  <si>
    <t>Tall oil acids, 2% or more rosin acid tanks, works, frt. equald.</t>
  </si>
  <si>
    <t>Tall oil acids, less than 2% rosin acid tanks., works, frt. equald.</t>
  </si>
  <si>
    <t>Tall oil, crude, Southeast tanks, works, frt. equald.</t>
  </si>
  <si>
    <t>Tall oil, dist., refined, truckload, bulk, works, frt. equaled.</t>
  </si>
  <si>
    <t>Tall oil, dist., unrefined, truckload, bulk, works, frt. equaled.</t>
  </si>
  <si>
    <t>Tartaric acid, NF 100 lb. bgs., f.o.b. plant</t>
  </si>
  <si>
    <t>Terephthalic acid, purified, t.t., t.c., f.o.b. works</t>
  </si>
  <si>
    <t>tert-Butyl alcohol, syn. tanks, dlvd. E.</t>
  </si>
  <si>
    <t>Tetraethylenepentamine, tanks, f.o.b.</t>
  </si>
  <si>
    <t>Tetrahydrofuran, dms., c.l., t.l., f.o.b. works, list</t>
  </si>
  <si>
    <t>Tetrahydrofuran, tanks, f.o.b. works, list</t>
  </si>
  <si>
    <t>Titanium dioxide, anatase, bgs., 20-ton lots, frt. alld.</t>
  </si>
  <si>
    <t>Titanium dioxide, rutile, reg. 20-ton lots, frt. alld.</t>
  </si>
  <si>
    <t>Titanium dioxide, rutile, slurry shipments 50-ton lots, dry basis, frt. alld.</t>
  </si>
  <si>
    <t>Toluene di-isocyanate, (mixed isomers), 80%, 2,4- and 20% 2,6-isomers jumbo tankcars, dlvd.</t>
  </si>
  <si>
    <t>Toluene, C-grade, US Gulf, spot f.o.b. barges</t>
  </si>
  <si>
    <t>Toluene, N-grade, US Gulf, spot f.o.b. barges</t>
  </si>
  <si>
    <t>Trichloroethylene, US Gulf, spot ex-tank</t>
  </si>
  <si>
    <t>Trichloroethylene, US Gulf, spot f.o.b. USG</t>
  </si>
  <si>
    <t>Triethylene glycol, tanks, f.o.b. Gulf</t>
  </si>
  <si>
    <t>Tripropylene glycol, tanks, f.o.b.</t>
  </si>
  <si>
    <t>Tung oil, tanks, imported</t>
  </si>
  <si>
    <t>Turpentine, crude sulfate tanks, f.o.b. Southeast work</t>
  </si>
  <si>
    <t>Urea, granular, US Gulf, spot f.o.b. USG</t>
  </si>
  <si>
    <t>Urea, prill, US Gulf, spot f.o.b. USG</t>
  </si>
  <si>
    <t>Vanillin, imported, China, FCC, c.i.f.</t>
  </si>
  <si>
    <t>Vanillin, USP dms, f.o.b. works</t>
  </si>
  <si>
    <t>Vetiver oil, Chinese, c.i.f.</t>
  </si>
  <si>
    <t>Vetiver oil, Indonesian, dms., c.f.r., Java</t>
  </si>
  <si>
    <t>Vinyl acetate monomer, US Gulf, contract list del.</t>
  </si>
  <si>
    <t>Vinyl acetate monomer, US Gulf, spot f.o.b., export</t>
  </si>
  <si>
    <t>Vinyl chloride monomer, US Gulf, spot f.o.b.</t>
  </si>
  <si>
    <t>Wheat germ oil, cold processed</t>
  </si>
  <si>
    <t>Xanthan gum, food 100lb dms., f.o.b. works</t>
  </si>
  <si>
    <t>Xanthan gum, ind. 100lb dms., f.o.b. works</t>
  </si>
  <si>
    <t>Xylenes, US Gulf, f.o.b. barges</t>
  </si>
  <si>
    <t>Xylenes, US Gulk, contract f.o.b.</t>
  </si>
  <si>
    <t>Zinc borate, tech. 50-lb bgs., 2,000-lb. min., f.o.b.</t>
  </si>
  <si>
    <t>Zinc chloride, tech drms., t.l., l.t.l., works 100lb</t>
  </si>
  <si>
    <t>Zinc chloride, tech., 50% soln., soln. 50% tanks, drms., t.l., l.t.l., works</t>
  </si>
  <si>
    <t>Zinc chromate, basic bgs., 2,000-lb. min., dlvd.</t>
  </si>
  <si>
    <t>Zinc sulfate, agricultral, powd. bulk, works</t>
  </si>
  <si>
    <t>Zinc sulfate, powder, powder t.l., works</t>
  </si>
  <si>
    <t>Metals price pulled from Spent Cat Library 09/2018</t>
  </si>
  <si>
    <t>Unprepared iron from https://www.cmcrecyclingindependence.com/current-pricing/</t>
  </si>
  <si>
    <t>CMC Recycling Independence</t>
  </si>
  <si>
    <t>Rubber-lined</t>
  </si>
  <si>
    <t>Carbon steel and Polypropylene wetted parts</t>
  </si>
  <si>
    <t>Classification for Sale or Landfill</t>
  </si>
  <si>
    <t>CatCost includes two methods for estimation of processing costs:</t>
  </si>
  <si>
    <t>Version:</t>
  </si>
  <si>
    <t>CatCost Overview</t>
  </si>
  <si>
    <t>CatCost-calculated value</t>
  </si>
  <si>
    <t xml:space="preserve">   input values on the ultimate catalyst price) to be built into CatCost have already been</t>
  </si>
  <si>
    <t xml:space="preserve">   included in the current version.</t>
  </si>
  <si>
    <r>
      <t>&gt; At the top of most sheets in CatCost, the text "</t>
    </r>
    <r>
      <rPr>
        <sz val="12"/>
        <color rgb="FF800000"/>
        <rFont val="Calibri"/>
        <family val="2"/>
        <scheme val="minor"/>
      </rPr>
      <t>Show/Hide Sensitivity Inputs Using +/-</t>
    </r>
  </si>
  <si>
    <t>&gt; In some cases, CatCost-suggested low and high scenario values are pre-supplied.</t>
  </si>
  <si>
    <t>From CatCost "1 Inputs" Sheet</t>
  </si>
  <si>
    <t xml:space="preserve"> An Estimation Tool to Aid Commercialization and R&amp;D Decisions for Catalytic Materials</t>
  </si>
  <si>
    <t>Uses costs in $/hr for synthesis steps run at a contract manufacturer.</t>
  </si>
  <si>
    <t>estimate some steps of a synthesis using one method and some steps using the</t>
  </si>
  <si>
    <t>Step Method Inputs</t>
  </si>
  <si>
    <t>CapEx &amp; OpEx Factors Inputs</t>
  </si>
  <si>
    <r>
      <t xml:space="preserve">When compiling a catalyst estimate, </t>
    </r>
    <r>
      <rPr>
        <b/>
        <sz val="12"/>
        <color theme="1"/>
        <rFont val="Calibri"/>
        <family val="2"/>
        <scheme val="minor"/>
      </rPr>
      <t>the user may choose either method,</t>
    </r>
  </si>
  <si>
    <r>
      <rPr>
        <b/>
        <sz val="12"/>
        <color theme="1"/>
        <rFont val="Calibri"/>
        <family val="2"/>
        <scheme val="minor"/>
      </rPr>
      <t>complete both to compare them, or combine the two</t>
    </r>
    <r>
      <rPr>
        <sz val="12"/>
        <color theme="1"/>
        <rFont val="Calibri"/>
        <family val="2"/>
        <scheme val="minor"/>
      </rPr>
      <t xml:space="preserve"> (e.g. if the user wants to </t>
    </r>
  </si>
  <si>
    <r>
      <t xml:space="preserve">&gt; The </t>
    </r>
    <r>
      <rPr>
        <b/>
        <sz val="12"/>
        <color theme="1"/>
        <rFont val="Calibri"/>
        <family val="2"/>
        <scheme val="minor"/>
      </rPr>
      <t>Step Method</t>
    </r>
    <r>
      <rPr>
        <sz val="12"/>
        <color theme="1"/>
        <rFont val="Calibri"/>
        <family val="2"/>
        <scheme val="minor"/>
      </rPr>
      <t xml:space="preserve"> </t>
    </r>
    <r>
      <rPr>
        <i/>
        <sz val="12"/>
        <color theme="1"/>
        <rFont val="Calibri"/>
        <family val="2"/>
        <scheme val="minor"/>
      </rPr>
      <t>(3a only)</t>
    </r>
  </si>
  <si>
    <r>
      <t xml:space="preserve">&gt; The </t>
    </r>
    <r>
      <rPr>
        <b/>
        <sz val="12"/>
        <color theme="1"/>
        <rFont val="Calibri"/>
        <family val="2"/>
        <scheme val="minor"/>
      </rPr>
      <t>CapEx &amp; OpEx Factors</t>
    </r>
    <r>
      <rPr>
        <sz val="12"/>
        <color theme="1"/>
        <rFont val="Calibri"/>
        <family val="2"/>
        <scheme val="minor"/>
      </rPr>
      <t xml:space="preserve"> method </t>
    </r>
    <r>
      <rPr>
        <i/>
        <sz val="12"/>
        <color theme="1"/>
        <rFont val="Calibri"/>
        <family val="2"/>
        <scheme val="minor"/>
      </rPr>
      <t>(3b-3e)</t>
    </r>
  </si>
  <si>
    <t>Uses process design literature for a dedicated, new-build catalyst plant.</t>
  </si>
  <si>
    <t>Synthesis Campaign Size</t>
  </si>
  <si>
    <t>Total: Synthesis campaign length</t>
  </si>
  <si>
    <t>G&amp;A Overhead</t>
  </si>
  <si>
    <t>SARD Overhead</t>
  </si>
  <si>
    <t>Overhead and Selling Margin</t>
  </si>
  <si>
    <t>Processing Cost Estimation Methods</t>
  </si>
  <si>
    <t>General &amp; Administrative</t>
  </si>
  <si>
    <t>Cell Formatting Key</t>
  </si>
  <si>
    <t>Scaling Input Specific to this Process Design/Template</t>
  </si>
  <si>
    <t>General:</t>
  </si>
  <si>
    <t>Anderson, J. Determining Manufacturing Costs. Chemical Engineering Progress, January 2009, pp 27–31.</t>
  </si>
  <si>
    <t>Anderson, J. Communicating the Cost of Product and Process Development. Chemical Engineering Progress, February 2010, pp 46–51.</t>
  </si>
  <si>
    <t>Anderson, J. Calculate Financial Indicators to Guide Investments. Chemical Engineering Progress, September 2013, pp 34–40.</t>
  </si>
  <si>
    <t>Peters, M. S.; Timmerhaus, K. D. Plant Design and Economics for Chemical Engineers, 5th ed.; McGraw-Hill: New York, 2003.</t>
  </si>
  <si>
    <t>Desai, M. B. Chem. Eng., July 27, 1981, pp 65–70.</t>
  </si>
  <si>
    <t>Seider, W. D.; Lewin, D. R.; Seader, J. D.; Widagdo, S.; Gani, R.; Ng, K. M. Product and Process Design Principles: Synthesis, Analysis and Evaluation, 4th ed.; Wiley: Hoboken, NJ, 2016.</t>
  </si>
  <si>
    <t>Materials:</t>
  </si>
  <si>
    <t>Qi, W.; Sathre, R.; Morrow, W. R.; Shehabi, A. Unit price scaling trends for chemical products; LBNL-189844; LBNL: Berkeley, CA, 2015.</t>
  </si>
  <si>
    <t>http://www.icis.com/chemicals/channel-info-chemicals-a-z/</t>
  </si>
  <si>
    <t>ChemPPI:</t>
  </si>
  <si>
    <t>Spent Catalyst Value:</t>
  </si>
  <si>
    <t>Super, J. D. The Precious Metal Loop, Costs from an Operating Company Perspective. Top. Catal. 2010, 53, 1138–1141.</t>
  </si>
  <si>
    <t>Brown, T. R. Chem. Eng., August 2000, pp 86–89.</t>
  </si>
  <si>
    <t>Ward, T. J. Economic Evaluation. Kirk-Othmer Encyclopedia of Chemical Technology (online); Wiley: New York, 2001.</t>
  </si>
  <si>
    <t xml:space="preserve">Ulrich, G. D.; Vasudevan, P. T. Chemical Engineering Process Design and Economics, 2nd ed.; Process: Durham, New Hampshire, 2004. </t>
  </si>
  <si>
    <t>Towler, G.; Sinnott, R. K. Chemical Engineering Design – Principles, Practice, and Economics of Plant and Process Design, 2nd ed.; Butterworth-Heinemann: Amsterdam, 2013.</t>
  </si>
  <si>
    <t>Garrett, D. E. Chemical Engineering Economics; Van Nostrand-Reinhold: New York, 1989.</t>
  </si>
  <si>
    <t>Feng, Y.; Rangaiah, G. P. Evaluating Capital Cost Estimation Programs. Chem. Eng., August 2011, pp 22–29.</t>
  </si>
  <si>
    <t>Hand, W. E. Petroleum Refiner 1958, 37, 331.</t>
  </si>
  <si>
    <t>Guthrie, K. M. Process Plant Estimating, Evaluation, and Control; Craftsman: Solano Beach, California, 1974.</t>
  </si>
  <si>
    <t>Lang, H. J. Chem. Eng. 1947, 54 (10), 117.</t>
  </si>
  <si>
    <t>Lang, H. J. Chem. Eng. 1948, 55 (6), 112–113.</t>
  </si>
  <si>
    <t>Step Method:</t>
  </si>
  <si>
    <t>The U.S. Bureau of Labor Statistics Chemical Producer Price Index including data since 1984 may be accessed at http://data.bls.gov/cgi-bin/srgate under accession code PCU325---325---.</t>
  </si>
  <si>
    <t>CapEx &amp; OpEx Factors and Equipment Library:</t>
  </si>
  <si>
    <t>Access to and use of this Software shall impose the following obligations on the user, and use of the Software constitutes user’s agreement to these terms. The Software is being provided, without any fee or cost, for internal, noncommercial purposes only and shall not be re-distributed. Please contact the NREL Technology Transfer Office at technology.transfer@nrel.gov for information concerning a commercial license to use the Software.</t>
  </si>
  <si>
    <t>The user agrees to credit DOE/NREL/ALLIANCE in any publication that results from the use of this Software.  The names DOE/NREL/ALLIANCE, however, may not be used in any advertising or publicity to endorse or promote any products or commercial entities unless specific written permission is obtained from DOE/NREL/ALLIANCE.  The user also understands that DOE/NREL/ALLIANCE is not obligated to provide the user with any support, consulting, training or assistance of any kind with regard to the use of the Software or to provide the user with any updates, revisions or new versions of the Software.</t>
  </si>
  <si>
    <t>USER AGREES TO INDEMNIFY DOE/NREL/ALLIANCE AND ITS SUBSIDIARIES, AFFILIATES, OFFICERS, AGENTS, AND EMPLOYEES AGAINST ANY CLAIM OR DEMAND, INCLUDING REASONABLE ATTORNEYS' FEES, RELATED TO USER’S USE OF THE SOFTWARE.  THE SOFTWARE IS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SOFTWARE.</t>
  </si>
  <si>
    <t>Results generated by use of this Software are dependent on many variables, including the quality of the data entered by the user and any assumptions made by the user in relation to data inputs.  Accordingly, DOE, NREL, and ALLIANCE cannot guarantee any results generated by use of the Software and user is entirely responsible for the results and any reliance on the results.  User shall not claim that DOE/NREL/ALLIANCE authenticate or otherwise agree with the results generated by the Software.</t>
  </si>
  <si>
    <r>
      <t xml:space="preserve">&gt; In general, it is best to </t>
    </r>
    <r>
      <rPr>
        <b/>
        <sz val="12"/>
        <color rgb="FF000000"/>
        <rFont val="Calibri"/>
        <family val="2"/>
        <scheme val="minor"/>
      </rPr>
      <t>proceed from left to right (1 to 5)</t>
    </r>
    <r>
      <rPr>
        <sz val="12"/>
        <color rgb="FF000000"/>
        <rFont val="Calibri"/>
        <family val="2"/>
        <scheme val="minor"/>
      </rPr>
      <t xml:space="preserve"> through these sheets when constructing an estimate, as later sheets depend on the output of</t>
    </r>
  </si>
  <si>
    <t xml:space="preserve">   earlier sheets.</t>
  </si>
  <si>
    <r>
      <t xml:space="preserve">&gt; The meaning of the </t>
    </r>
    <r>
      <rPr>
        <b/>
        <sz val="12"/>
        <color rgb="FF000000"/>
        <rFont val="Calibri"/>
        <family val="2"/>
        <scheme val="minor"/>
      </rPr>
      <t>color formatting</t>
    </r>
    <r>
      <rPr>
        <sz val="12"/>
        <color rgb="FF000000"/>
        <rFont val="Calibri"/>
        <family val="2"/>
        <scheme val="minor"/>
      </rPr>
      <t xml:space="preserve"> currently in use in CatCost is given in the formatting key below. In general, cells designed for user input are colored</t>
    </r>
  </si>
  <si>
    <t>References</t>
  </si>
  <si>
    <t>In this sheet</t>
  </si>
  <si>
    <r>
      <t xml:space="preserve">&gt; CatCost (formerly the Catalyst Cost Model) is organized into </t>
    </r>
    <r>
      <rPr>
        <b/>
        <sz val="12"/>
        <color rgb="FF000000"/>
        <rFont val="Calibri"/>
        <family val="2"/>
        <scheme val="minor"/>
      </rPr>
      <t>sequential sheets/modules</t>
    </r>
    <r>
      <rPr>
        <sz val="12"/>
        <color rgb="FF000000"/>
        <rFont val="Calibri"/>
        <family val="2"/>
        <scheme val="minor"/>
      </rPr>
      <t xml:space="preserve"> that each cover a component of a catalyst cost estimate.</t>
    </r>
  </si>
  <si>
    <r>
      <t xml:space="preserve">   visit </t>
    </r>
    <r>
      <rPr>
        <b/>
        <sz val="12"/>
        <color theme="9" tint="-0.249977111117893"/>
        <rFont val="Calibri (Body)_x0000_"/>
      </rPr>
      <t>catcost.chemcatbio.org</t>
    </r>
    <r>
      <rPr>
        <sz val="12"/>
        <color rgb="FF000000"/>
        <rFont val="Calibri"/>
        <family val="2"/>
        <scheme val="minor"/>
      </rPr>
      <t xml:space="preserve">. To contact the developers email </t>
    </r>
    <r>
      <rPr>
        <b/>
        <sz val="12"/>
        <color theme="9" tint="-0.249977111117893"/>
        <rFont val="Calibri (Body)_x0000_"/>
      </rPr>
      <t>catcost@nrel.gov</t>
    </r>
    <r>
      <rPr>
        <sz val="12"/>
        <color rgb="FF000000"/>
        <rFont val="Calibri"/>
        <family val="2"/>
        <scheme val="minor"/>
      </rPr>
      <t>.</t>
    </r>
  </si>
  <si>
    <t>Website and email address</t>
  </si>
  <si>
    <t>Green, D. W.; Perry, R. H. Perry's Chemical Engineers' Handbook, 8th ed.; McGraw-Hill: New York, 2008.</t>
  </si>
  <si>
    <r>
      <t xml:space="preserve">&gt; Some sheets have been protected but there is </t>
    </r>
    <r>
      <rPr>
        <b/>
        <sz val="12"/>
        <color rgb="FF000000"/>
        <rFont val="Calibri"/>
        <family val="2"/>
        <scheme val="minor"/>
      </rPr>
      <t>no password</t>
    </r>
    <r>
      <rPr>
        <sz val="12"/>
        <color rgb="FF000000"/>
        <rFont val="Calibri"/>
        <family val="2"/>
        <scheme val="minor"/>
      </rPr>
      <t xml:space="preserve"> if you want to tinker.</t>
    </r>
  </si>
  <si>
    <t>Synthesis Costs</t>
  </si>
  <si>
    <t>Sales, Admin., Research, Distrib.</t>
  </si>
  <si>
    <t>Subtotal</t>
  </si>
  <si>
    <t>Overheads</t>
  </si>
  <si>
    <t>[Subtotal excluding PGM]</t>
  </si>
  <si>
    <t>Overheads (excluding PGM)</t>
  </si>
  <si>
    <t>Overheads and Margin</t>
  </si>
  <si>
    <t>Total Overheads and Margin</t>
  </si>
  <si>
    <t>Annual, Monthly, Weekly, Daily Cost?</t>
  </si>
  <si>
    <t>Order Size</t>
  </si>
  <si>
    <t>Total Margin</t>
  </si>
  <si>
    <t>Step Method Scale</t>
  </si>
  <si>
    <t>CapEx&amp; OpEx Factors Scale</t>
  </si>
  <si>
    <t>Processing Costs via Step Method</t>
  </si>
  <si>
    <t>Step Method Total</t>
  </si>
  <si>
    <t>Capital Costs via CapEx &amp; OpEx Factors</t>
  </si>
  <si>
    <t>Operating Costs via CapEx &amp; OpEx Factors</t>
  </si>
  <si>
    <t>Selling Margin for CapEx &amp; OpEx Factors</t>
  </si>
  <si>
    <t>CapEx Total</t>
  </si>
  <si>
    <t>OpEx Total</t>
  </si>
  <si>
    <t>Total Margin for CapEx &amp; OpEx</t>
  </si>
  <si>
    <t>CatCost Step Method Estimate:</t>
  </si>
  <si>
    <t xml:space="preserve">CatCost CapEx &amp; OpEx Factors Estimate: </t>
  </si>
  <si>
    <t xml:space="preserve">CatCost Combined Methods Estimate: </t>
  </si>
  <si>
    <t>ROI</t>
  </si>
  <si>
    <t>Principal Investigator:</t>
  </si>
  <si>
    <t>Frederick G. Baddour (NREL)</t>
  </si>
  <si>
    <t>Co-Principal Investigator:</t>
  </si>
  <si>
    <t>Lesley Snowden-Swan (PNNL)</t>
  </si>
  <si>
    <t>Kurt M. Van Allsburg (NREL)</t>
  </si>
  <si>
    <t>John Super, Eric Tan, John Frye, James White, Joshua Schaidle, Michael Talmadge, Jesse Hensley, Susan Habas</t>
  </si>
  <si>
    <t>Contributors:</t>
  </si>
  <si>
    <t>Nicholas Wunder, Kenny Gruchalla, John Yarbrough, Kristi Potter, Matt Jankousky</t>
  </si>
  <si>
    <t>Web Tool Development:</t>
  </si>
  <si>
    <t>Development Team</t>
  </si>
  <si>
    <t>misc</t>
  </si>
  <si>
    <t>year</t>
  </si>
  <si>
    <t>Other Materials</t>
  </si>
  <si>
    <t>Select unit</t>
  </si>
  <si>
    <t>In CatCost units</t>
  </si>
  <si>
    <t>Catalyst or AP?</t>
  </si>
  <si>
    <t>Scaling Inputs: Consumption for 1 &lt;unit&gt; of catalyst/AP</t>
  </si>
  <si>
    <t>Scaling to Estimate Design Production Rate</t>
  </si>
  <si>
    <t>Outputs at Estimate Design Production Rate</t>
  </si>
  <si>
    <t>From CatCost "1 Inputs" Sheet (Specific to this Estimate)</t>
  </si>
  <si>
    <t>Natural Gas</t>
  </si>
  <si>
    <t>Notice and Disclaimer</t>
  </si>
  <si>
    <t>NOTICE</t>
  </si>
  <si>
    <t>This computer software was produced by Alliance for Sustainable Energy, LLC under Contract No. DE-AC36-08GO28308 with the U.S. Department of Energy. For 5 years from the date permission to assert copyright was obtained, the Government is granted for itself and others acting on its behalf a non-exclusive, paid-up, irrevocable worldwide license in this software to reproduce, prepare derivative works, and perform publicly and display publicly, by or on behalf of the Government. There is provision for the possible extension of the term of this license. Subsequent to that period or any extension granted, the Government is granted for itself and others acting on its behalf a non-exclusive, paid-up, irrevocable worldwide license in this software to reproduce, prepare derivative works, distribute copies to the public, perform publicly and display publicly, and to permit others to do so. The specific term of the license can be identified by inquiry made to Alliance for Sustainable Energy, LLC or DOE. NEITHER ALLIANCE FOR SUSTAINABLE ENERGY, LLC, THE UNITED STATES NOR THE UNITED STATES DEPARTMENT OF ENERGY, NOR ANY OF THEIR EMPLOYEES, MAKES ANY WARRANTY, EXPRESS OR IMPLIED, OR ASSUMES ANY LEGAL LIABILITY OR RESPONSIBILITY FOR THE ACCURACY, COMPLETENESS, OR USEFULNESS OF ANY DATA, APPARATUS, PRODUCT, OR PROCESS DISCLOSED, OR REPRESENTS THAT ITS USE WOULD NOT INFRINGE PRIVATELY OWNED RIGHTS.</t>
  </si>
  <si>
    <t>DISCLAIMER</t>
  </si>
  <si>
    <t>CatCost™ Copyright ©2018-19 Alliance for Sustainable Energy, LLC All Rights Reserved</t>
  </si>
  <si>
    <t>CatCost™</t>
  </si>
  <si>
    <t>The CatCost™ software and data (“Software”) are provided by the National Renewable Energy Laboratory (“NREL”), which is operated by Alliance for Sustainable Energy, LLC (“ALLIANCE”), for the U.S. Department of Energy (“DOE”).</t>
  </si>
  <si>
    <t>Baddour, F. G.; Snowden-Swan, L.; Super, J. D.; Van Allsburg, K. M. Estimating Pre-Commercial Heterogeneous Catalyst Price: A Simple Step-Based Method. Org. Process Res. Dev. 2018, 22, 1599–1605</t>
  </si>
  <si>
    <t>Guthrie, K. M. Data and Techniques for Preliminary Capital Cost Estimation. Chem. Eng., March 24, 1969, pp 114–142.</t>
  </si>
  <si>
    <t>ESTIMATE Design Production Rate</t>
  </si>
  <si>
    <t>THIS PROCESS Design Production Rate</t>
  </si>
  <si>
    <t>THIS PROCESS Design Production Rate, in Estimate Units</t>
  </si>
  <si>
    <t>Inputs at This Process Design Production Rate</t>
  </si>
  <si>
    <t>A modern FCC catalyst based on ultrastable zeolite Y with rare earth at 200-ton scale.</t>
  </si>
  <si>
    <t>Number of Orders Per Year</t>
  </si>
  <si>
    <t>&gt; To download the pdf documentation with complete instructions and explanation of methods, tutorials, version history, and the web version of CatCost,</t>
  </si>
  <si>
    <t>https://www.chemengonline.com/pci</t>
  </si>
  <si>
    <t>1984 to 2019</t>
  </si>
  <si>
    <t>Bulk Quote Quantity in Output Mass Units</t>
  </si>
  <si>
    <t>Step Library - Costs in $/hr at three different scales (mid-2017 data)</t>
  </si>
  <si>
    <t>All values/costs are in mid-2016 dollars except metals prices in Table 2, which are designed to be updated by the user.</t>
  </si>
  <si>
    <t>%/year</t>
  </si>
  <si>
    <t>other). The 5a Outputs sheet displays separate outputs from each method, as</t>
  </si>
  <si>
    <t>well as a combined display for estimates that use both methods.</t>
  </si>
  <si>
    <r>
      <t xml:space="preserve">Note: </t>
    </r>
    <r>
      <rPr>
        <sz val="12"/>
        <color theme="1"/>
        <rFont val="Calibri"/>
        <family val="2"/>
        <scheme val="minor"/>
      </rPr>
      <t>When using the combined methods output (both Step Method and CapEx &amp; OpEx Factors), make sure that each process step has been entered in only one of the two methods. Otherwise, that step could be double-counted,</t>
    </r>
    <r>
      <rPr>
        <b/>
        <sz val="12"/>
        <color theme="1"/>
        <rFont val="Calibri"/>
        <family val="2"/>
        <scheme val="minor"/>
      </rPr>
      <t xml:space="preserve"> overestimating the price of the material.</t>
    </r>
  </si>
  <si>
    <t>Lead Developer:</t>
  </si>
  <si>
    <t>1.0.4</t>
  </si>
  <si>
    <t>Select a Process Template or User-Entered Custom Process</t>
  </si>
  <si>
    <t xml:space="preserve">   red (when empty) or white (when complete), while inactive inputs and CatCost-calculated cells that should not be modified are grey.</t>
  </si>
  <si>
    <t>Test1</t>
  </si>
  <si>
    <t>Fixed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</si>
</sst>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44" formatCode="_(&quot;$&quot;* #,##0.00_);_(&quot;$&quot;* \(#,##0.00\);_(&quot;$&quot;* &quot;-&quot;??_);_(@_)"/>
    <numFmt numFmtId="43" formatCode="_(* #,##0.00_);_(* \(#,##0.00\);_(* &quot;-&quot;??_);_(@_)"/>
    <numFmt numFmtId="164" formatCode="#0.0"/>
    <numFmt numFmtId="165" formatCode="0.0"/>
    <numFmt numFmtId="166" formatCode="_(* #,##0.0000_);_(* \(#,##0.0000\);_(* &quot;-&quot;??_);_(@_)"/>
    <numFmt numFmtId="167" formatCode="_(* #,##0_);_(* \(#,##0\);_(* &quot;-&quot;??_);_(@_)"/>
    <numFmt numFmtId="168" formatCode="#,##0.0000"/>
    <numFmt numFmtId="169" formatCode="0.0\ \ \ \ \ "/>
    <numFmt numFmtId="170" formatCode="_(&quot;$&quot;* #,##0_)\ \ \ \ ;_(&quot;$&quot;* \(#,##0\);_(&quot;$&quot;* &quot;-&quot;??_);_(@_)"/>
    <numFmt numFmtId="171" formatCode="_(&quot;$&quot;* #,##0_);_(&quot;$&quot;* \(#,##0\);_(&quot;$&quot;* &quot;-&quot;??_);_(@_)"/>
  </numFmts>
  <fonts count="65">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12"/>
      <color rgb="FF9C000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2"/>
      <color indexed="8"/>
      <name val="Arial"/>
      <family val="2"/>
    </font>
    <font>
      <b/>
      <sz val="10"/>
      <color indexed="8"/>
      <name val="Arial"/>
      <family val="2"/>
    </font>
    <font>
      <sz val="10"/>
      <color indexed="8"/>
      <name val="Arial"/>
      <family val="2"/>
    </font>
    <font>
      <sz val="11"/>
      <color indexed="8"/>
      <name val="Calibri"/>
      <family val="2"/>
      <scheme val="minor"/>
    </font>
    <font>
      <sz val="12"/>
      <name val="Calibri"/>
      <family val="2"/>
      <scheme val="minor"/>
    </font>
    <font>
      <b/>
      <u/>
      <sz val="12"/>
      <color theme="1"/>
      <name val="Calibri"/>
      <family val="2"/>
      <scheme val="minor"/>
    </font>
    <font>
      <sz val="12"/>
      <color rgb="FFFF0000"/>
      <name val="Calibri"/>
      <family val="2"/>
      <scheme val="minor"/>
    </font>
    <font>
      <sz val="9"/>
      <color indexed="81"/>
      <name val="Calibri"/>
      <family val="2"/>
    </font>
    <font>
      <b/>
      <sz val="9"/>
      <color indexed="81"/>
      <name val="Calibri"/>
      <family val="2"/>
    </font>
    <font>
      <sz val="11"/>
      <color theme="1"/>
      <name val="Calibri"/>
      <family val="2"/>
      <scheme val="minor"/>
    </font>
    <font>
      <sz val="12"/>
      <color rgb="FF000000"/>
      <name val="Calibri"/>
      <family val="2"/>
      <scheme val="minor"/>
    </font>
    <font>
      <b/>
      <sz val="12"/>
      <color rgb="FFFF0000"/>
      <name val="Calibri"/>
      <family val="2"/>
      <scheme val="minor"/>
    </font>
    <font>
      <sz val="12"/>
      <color theme="1" tint="0.34998626667073579"/>
      <name val="Calibri"/>
      <family val="2"/>
      <scheme val="minor"/>
    </font>
    <font>
      <b/>
      <i/>
      <sz val="16"/>
      <color theme="1"/>
      <name val="Arial"/>
      <family val="2"/>
    </font>
    <font>
      <sz val="12"/>
      <color rgb="FF800000"/>
      <name val="Calibri"/>
      <family val="2"/>
      <scheme val="minor"/>
    </font>
    <font>
      <b/>
      <sz val="12"/>
      <color rgb="FF800000"/>
      <name val="Calibri"/>
      <family val="2"/>
      <scheme val="minor"/>
    </font>
    <font>
      <b/>
      <sz val="12"/>
      <color rgb="FF000000"/>
      <name val="Calibri"/>
      <family val="2"/>
      <scheme val="minor"/>
    </font>
    <font>
      <b/>
      <sz val="12"/>
      <name val="Calibri"/>
      <family val="2"/>
      <scheme val="minor"/>
    </font>
    <font>
      <b/>
      <sz val="14"/>
      <color theme="1"/>
      <name val="Calibri"/>
      <family val="2"/>
      <scheme val="minor"/>
    </font>
    <font>
      <b/>
      <u/>
      <sz val="14"/>
      <color theme="1"/>
      <name val="Calibri"/>
      <family val="2"/>
      <scheme val="minor"/>
    </font>
    <font>
      <b/>
      <i/>
      <sz val="14"/>
      <color theme="1"/>
      <name val="Calibri"/>
      <family val="2"/>
      <scheme val="minor"/>
    </font>
    <font>
      <i/>
      <sz val="12"/>
      <color theme="1"/>
      <name val="Calibri"/>
      <family val="2"/>
      <scheme val="minor"/>
    </font>
    <font>
      <b/>
      <i/>
      <sz val="16"/>
      <color theme="8" tint="-0.499984740745262"/>
      <name val="Arial"/>
      <family val="2"/>
    </font>
    <font>
      <b/>
      <i/>
      <u/>
      <sz val="16"/>
      <color rgb="FF215967"/>
      <name val="Arial"/>
      <family val="2"/>
    </font>
    <font>
      <b/>
      <i/>
      <sz val="16"/>
      <color rgb="FF215967"/>
      <name val="Arial"/>
      <family val="2"/>
    </font>
    <font>
      <b/>
      <i/>
      <sz val="16"/>
      <color rgb="FF000000"/>
      <name val="Arial"/>
      <family val="2"/>
    </font>
    <font>
      <b/>
      <i/>
      <sz val="12"/>
      <color theme="3"/>
      <name val="Calibri"/>
      <family val="2"/>
      <scheme val="minor"/>
    </font>
    <font>
      <b/>
      <sz val="12"/>
      <color theme="5"/>
      <name val="Calibri"/>
      <family val="2"/>
      <scheme val="minor"/>
    </font>
    <font>
      <sz val="12"/>
      <color theme="9" tint="-0.249977111117893"/>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u/>
      <sz val="12"/>
      <color rgb="FF0432FF"/>
      <name val="Calibri"/>
      <family val="2"/>
      <scheme val="minor"/>
    </font>
    <font>
      <u/>
      <sz val="12"/>
      <color rgb="FF0000FF"/>
      <name val="Calibri"/>
      <family val="2"/>
    </font>
    <font>
      <sz val="12"/>
      <color rgb="FF000000"/>
      <name val="Calibri"/>
      <family val="2"/>
    </font>
    <font>
      <sz val="12"/>
      <color rgb="FF810D00"/>
      <name val="Calibri"/>
      <family val="2"/>
      <scheme val="minor"/>
    </font>
    <font>
      <b/>
      <sz val="12"/>
      <color rgb="FF810D00"/>
      <name val="Calibri"/>
      <family val="2"/>
      <scheme val="minor"/>
    </font>
    <font>
      <sz val="10"/>
      <color indexed="8"/>
      <name val="Arial"/>
      <family val="2"/>
    </font>
    <font>
      <sz val="10"/>
      <color rgb="FF000000"/>
      <name val="Calibri"/>
      <family val="2"/>
    </font>
    <font>
      <i/>
      <sz val="10"/>
      <color rgb="FF000000"/>
      <name val="Calibri"/>
      <family val="2"/>
    </font>
    <font>
      <sz val="12"/>
      <color theme="1"/>
      <name val="Calibri (Body)_x0000_"/>
    </font>
    <font>
      <sz val="12"/>
      <color theme="5" tint="0.39997558519241921"/>
      <name val="Calibri"/>
      <family val="2"/>
      <scheme val="minor"/>
    </font>
    <font>
      <b/>
      <sz val="12"/>
      <color theme="5" tint="0.39997558519241921"/>
      <name val="Calibri"/>
      <family val="2"/>
      <scheme val="minor"/>
    </font>
    <font>
      <sz val="12"/>
      <color theme="0" tint="-0.14999847407452621"/>
      <name val="Calibri"/>
      <family val="2"/>
      <scheme val="minor"/>
    </font>
    <font>
      <sz val="12"/>
      <color theme="8" tint="-0.249977111117893"/>
      <name val="Calibri (Body)_x0000_"/>
    </font>
    <font>
      <sz val="12"/>
      <color theme="8" tint="-0.249977111117893"/>
      <name val="Calibri"/>
      <family val="2"/>
      <scheme val="minor"/>
    </font>
    <font>
      <sz val="12"/>
      <name val="Calibri"/>
      <family val="2"/>
      <scheme val="minor"/>
    </font>
    <font>
      <sz val="10"/>
      <color rgb="FF000000"/>
      <name val="Tahoma"/>
      <family val="34"/>
    </font>
    <font>
      <b/>
      <sz val="14"/>
      <color theme="9" tint="-0.249977111117893"/>
      <name val="Arial"/>
      <family val="2"/>
    </font>
    <font>
      <b/>
      <sz val="14"/>
      <color rgb="FF215967"/>
      <name val="Arial"/>
      <family val="2"/>
    </font>
    <font>
      <b/>
      <sz val="12"/>
      <color theme="9" tint="-0.249977111117893"/>
      <name val="Calibri (Body)_x0000_"/>
    </font>
    <font>
      <b/>
      <sz val="10"/>
      <color indexed="8"/>
      <name val="Arial"/>
      <family val="2"/>
    </font>
    <font>
      <b/>
      <sz val="24"/>
      <color theme="9" tint="-0.249977111117893"/>
      <name val="Arial"/>
      <family val="2"/>
    </font>
  </fonts>
  <fills count="12">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DAEEF3"/>
        <bgColor rgb="FF000000"/>
      </patternFill>
    </fill>
    <fill>
      <patternFill patternType="solid">
        <fgColor rgb="FFD9D9D9"/>
        <bgColor rgb="FF000000"/>
      </patternFill>
    </fill>
    <fill>
      <patternFill patternType="solid">
        <fgColor theme="0" tint="-0.14999847407452621"/>
        <bgColor rgb="FF000000"/>
      </patternFill>
    </fill>
  </fills>
  <borders count="41">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right/>
      <top/>
      <bottom style="thick">
        <color auto="1"/>
      </bottom>
      <diagonal/>
    </border>
    <border>
      <left/>
      <right style="thin">
        <color theme="0"/>
      </right>
      <top/>
      <bottom/>
      <diagonal/>
    </border>
    <border>
      <left style="thin">
        <color theme="0"/>
      </left>
      <right style="thin">
        <color theme="0"/>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0000"/>
      </left>
      <right style="thin">
        <color rgb="FFFF0000"/>
      </right>
      <top style="thin">
        <color rgb="FFFF0000"/>
      </top>
      <bottom style="thin">
        <color rgb="FFFF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thin">
        <color auto="1"/>
      </top>
      <bottom style="double">
        <color auto="1"/>
      </bottom>
      <diagonal/>
    </border>
    <border>
      <left/>
      <right style="medium">
        <color rgb="FF000000"/>
      </right>
      <top/>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ashed">
        <color auto="1"/>
      </bottom>
      <diagonal/>
    </border>
    <border>
      <left/>
      <right/>
      <top style="thin">
        <color rgb="FF215967"/>
      </top>
      <bottom style="thin">
        <color rgb="FF215967"/>
      </bottom>
      <diagonal/>
    </border>
  </borders>
  <cellStyleXfs count="7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41">
    <xf numFmtId="0" fontId="0" fillId="0" borderId="0" xfId="0"/>
    <xf numFmtId="0" fontId="0" fillId="0" borderId="0" xfId="0" applyFont="1"/>
    <xf numFmtId="0" fontId="12" fillId="0" borderId="0" xfId="0" applyFont="1" applyFill="1" applyAlignment="1">
      <alignment horizontal="left" vertical="top" wrapText="1"/>
    </xf>
    <xf numFmtId="0" fontId="12" fillId="0" borderId="7" xfId="0" applyFont="1" applyFill="1" applyBorder="1" applyAlignment="1">
      <alignment horizontal="center" wrapText="1"/>
    </xf>
    <xf numFmtId="0" fontId="12" fillId="0" borderId="0" xfId="0" applyFont="1" applyFill="1" applyAlignment="1">
      <alignment horizontal="left"/>
    </xf>
    <xf numFmtId="164" fontId="13" fillId="0" borderId="0" xfId="0" applyNumberFormat="1" applyFont="1" applyFill="1" applyAlignment="1">
      <alignment horizontal="right"/>
    </xf>
    <xf numFmtId="165" fontId="9" fillId="0" borderId="0" xfId="0" applyNumberFormat="1" applyFont="1"/>
    <xf numFmtId="43" fontId="0" fillId="0" borderId="0" xfId="58" applyFont="1"/>
    <xf numFmtId="1" fontId="0" fillId="0" borderId="0" xfId="0" applyNumberFormat="1"/>
    <xf numFmtId="0" fontId="0" fillId="0" borderId="0" xfId="0" quotePrefix="1"/>
    <xf numFmtId="0" fontId="0" fillId="5" borderId="0" xfId="0" applyFill="1"/>
    <xf numFmtId="0" fontId="0" fillId="6" borderId="0" xfId="0" applyFill="1"/>
    <xf numFmtId="0" fontId="0" fillId="0" borderId="0" xfId="0"/>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16" fillId="5" borderId="0" xfId="0" applyFont="1" applyFill="1" applyBorder="1"/>
    <xf numFmtId="0" fontId="0" fillId="5" borderId="0" xfId="0" applyFill="1" applyBorder="1"/>
    <xf numFmtId="0" fontId="0" fillId="5" borderId="15" xfId="0" applyFill="1" applyBorder="1"/>
    <xf numFmtId="0" fontId="9" fillId="5" borderId="0" xfId="0" applyFont="1" applyFill="1" applyBorder="1"/>
    <xf numFmtId="0" fontId="0" fillId="5" borderId="16" xfId="0" applyFill="1" applyBorder="1"/>
    <xf numFmtId="0" fontId="0" fillId="5" borderId="17" xfId="0" applyFill="1" applyBorder="1"/>
    <xf numFmtId="0" fontId="0" fillId="5" borderId="18" xfId="0" applyFill="1" applyBorder="1"/>
    <xf numFmtId="14" fontId="0" fillId="0" borderId="0" xfId="0" applyNumberFormat="1"/>
    <xf numFmtId="0" fontId="15" fillId="0" borderId="0" xfId="0" applyFont="1"/>
    <xf numFmtId="0" fontId="0" fillId="0" borderId="0" xfId="0"/>
    <xf numFmtId="0" fontId="17" fillId="0" borderId="0" xfId="0" applyFont="1"/>
    <xf numFmtId="11" fontId="17" fillId="0" borderId="0" xfId="0" applyNumberFormat="1" applyFont="1"/>
    <xf numFmtId="0" fontId="0" fillId="0" borderId="0" xfId="0"/>
    <xf numFmtId="0" fontId="0" fillId="0" borderId="0" xfId="0"/>
    <xf numFmtId="0" fontId="21" fillId="0" borderId="0" xfId="0" applyFont="1"/>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0" xfId="0" applyFont="1" applyFill="1" applyBorder="1" applyAlignment="1">
      <alignment horizontal="right"/>
    </xf>
    <xf numFmtId="0" fontId="0" fillId="5" borderId="0" xfId="0" applyFont="1" applyFill="1"/>
    <xf numFmtId="0" fontId="6" fillId="5" borderId="0" xfId="0" applyFont="1" applyFill="1" applyBorder="1" applyAlignment="1">
      <alignment horizontal="right"/>
    </xf>
    <xf numFmtId="11" fontId="0" fillId="5" borderId="0" xfId="0" applyNumberFormat="1" applyFont="1" applyFill="1" applyBorder="1"/>
    <xf numFmtId="0" fontId="0" fillId="5" borderId="16" xfId="0" applyFont="1" applyFill="1" applyBorder="1"/>
    <xf numFmtId="0" fontId="0" fillId="5" borderId="17" xfId="0" applyFont="1" applyFill="1" applyBorder="1"/>
    <xf numFmtId="0" fontId="0" fillId="5" borderId="18" xfId="0" applyFont="1" applyFill="1" applyBorder="1"/>
    <xf numFmtId="0" fontId="22" fillId="6" borderId="19" xfId="0" applyFont="1" applyFill="1" applyBorder="1" applyAlignment="1">
      <alignment horizontal="center"/>
    </xf>
    <xf numFmtId="0" fontId="0" fillId="6" borderId="10" xfId="0" applyFont="1" applyFill="1" applyBorder="1" applyAlignment="1">
      <alignment horizontal="right"/>
    </xf>
    <xf numFmtId="11" fontId="0" fillId="6" borderId="20" xfId="0" applyNumberFormat="1" applyFont="1" applyFill="1" applyBorder="1" applyAlignment="1">
      <alignment horizontal="right"/>
    </xf>
    <xf numFmtId="0" fontId="0" fillId="6" borderId="20" xfId="0" applyFont="1" applyFill="1" applyBorder="1" applyAlignment="1">
      <alignment horizontal="right"/>
    </xf>
    <xf numFmtId="0" fontId="0" fillId="0" borderId="0" xfId="0"/>
    <xf numFmtId="0" fontId="23" fillId="5" borderId="22" xfId="0" applyFont="1" applyFill="1" applyBorder="1"/>
    <xf numFmtId="0" fontId="23" fillId="5" borderId="0" xfId="0" applyFont="1" applyFill="1" applyBorder="1"/>
    <xf numFmtId="11" fontId="23" fillId="5" borderId="0" xfId="0" applyNumberFormat="1" applyFont="1" applyFill="1" applyBorder="1" applyAlignment="1">
      <alignment horizontal="right"/>
    </xf>
    <xf numFmtId="0" fontId="0" fillId="6" borderId="0" xfId="0" applyFont="1" applyFill="1"/>
    <xf numFmtId="0" fontId="23" fillId="5" borderId="0" xfId="0" applyFont="1" applyFill="1" applyBorder="1" applyAlignment="1">
      <alignment horizontal="right"/>
    </xf>
    <xf numFmtId="0" fontId="24" fillId="5" borderId="0" xfId="0" applyFont="1" applyFill="1" applyBorder="1" applyAlignment="1">
      <alignment horizontal="center"/>
    </xf>
    <xf numFmtId="0" fontId="24" fillId="5" borderId="15" xfId="0" applyFont="1" applyFill="1" applyBorder="1" applyAlignment="1">
      <alignment horizontal="center"/>
    </xf>
    <xf numFmtId="166" fontId="23" fillId="5" borderId="0" xfId="58" applyNumberFormat="1" applyFont="1" applyFill="1" applyBorder="1" applyAlignment="1">
      <alignment horizontal="right"/>
    </xf>
    <xf numFmtId="0" fontId="0" fillId="6" borderId="0" xfId="0" applyFill="1" applyBorder="1"/>
    <xf numFmtId="0" fontId="0" fillId="6" borderId="20" xfId="0" applyFill="1" applyBorder="1"/>
    <xf numFmtId="0" fontId="25" fillId="5" borderId="0" xfId="0" applyFont="1" applyFill="1" applyBorder="1" applyAlignment="1">
      <alignment horizontal="center"/>
    </xf>
    <xf numFmtId="0" fontId="23" fillId="5" borderId="31" xfId="0" applyFont="1" applyFill="1" applyBorder="1"/>
    <xf numFmtId="11" fontId="25" fillId="6" borderId="21" xfId="0" applyNumberFormat="1" applyFont="1" applyFill="1" applyBorder="1"/>
    <xf numFmtId="0" fontId="25" fillId="6" borderId="21" xfId="0" applyFont="1" applyFill="1" applyBorder="1"/>
    <xf numFmtId="0" fontId="23" fillId="5" borderId="30" xfId="0" applyFont="1" applyFill="1" applyBorder="1"/>
    <xf numFmtId="0" fontId="0" fillId="5" borderId="32" xfId="0" applyFill="1" applyBorder="1"/>
    <xf numFmtId="0" fontId="0" fillId="5" borderId="33" xfId="0" applyFill="1" applyBorder="1"/>
    <xf numFmtId="0" fontId="9" fillId="5" borderId="0" xfId="0" applyFont="1" applyFill="1" applyBorder="1" applyAlignment="1">
      <alignment horizontal="center"/>
    </xf>
    <xf numFmtId="0" fontId="26" fillId="5" borderId="0" xfId="0" applyFont="1" applyFill="1" applyBorder="1" applyAlignment="1">
      <alignment horizontal="center"/>
    </xf>
    <xf numFmtId="43" fontId="0" fillId="5" borderId="0" xfId="0" applyNumberFormat="1" applyFill="1" applyBorder="1" applyAlignment="1">
      <alignment horizontal="center"/>
    </xf>
    <xf numFmtId="0" fontId="0" fillId="5" borderId="17" xfId="0" applyFill="1" applyBorder="1" applyAlignment="1">
      <alignment horizontal="center"/>
    </xf>
    <xf numFmtId="0" fontId="24" fillId="5" borderId="11" xfId="0" applyFont="1" applyFill="1" applyBorder="1"/>
    <xf numFmtId="0" fontId="0" fillId="6" borderId="20" xfId="0" applyFill="1" applyBorder="1" applyAlignment="1">
      <alignment horizontal="center"/>
    </xf>
    <xf numFmtId="0" fontId="0" fillId="6" borderId="21" xfId="0" applyFill="1" applyBorder="1" applyAlignment="1">
      <alignment horizontal="center"/>
    </xf>
    <xf numFmtId="2" fontId="0" fillId="6" borderId="21" xfId="0" applyNumberFormat="1" applyFill="1" applyBorder="1" applyAlignment="1">
      <alignment horizontal="right"/>
    </xf>
    <xf numFmtId="0" fontId="25" fillId="6" borderId="21" xfId="0" applyFont="1" applyFill="1" applyBorder="1" applyAlignment="1">
      <alignment horizontal="right"/>
    </xf>
    <xf numFmtId="0" fontId="0" fillId="5" borderId="0" xfId="0" applyFill="1" applyBorder="1" applyAlignment="1">
      <alignment horizontal="center"/>
    </xf>
    <xf numFmtId="0" fontId="0" fillId="6" borderId="22" xfId="0" applyFill="1" applyBorder="1" applyAlignment="1">
      <alignment horizontal="left"/>
    </xf>
    <xf numFmtId="166" fontId="23" fillId="5" borderId="0" xfId="58" applyNumberFormat="1" applyFont="1" applyFill="1" applyBorder="1" applyAlignment="1">
      <alignment horizontal="center"/>
    </xf>
    <xf numFmtId="166" fontId="23" fillId="5" borderId="0" xfId="0" applyNumberFormat="1" applyFont="1" applyFill="1" applyBorder="1" applyAlignment="1">
      <alignment horizontal="center"/>
    </xf>
    <xf numFmtId="43" fontId="23" fillId="5" borderId="0" xfId="58" applyFont="1" applyFill="1" applyBorder="1" applyAlignment="1">
      <alignment horizontal="center"/>
    </xf>
    <xf numFmtId="43" fontId="23" fillId="5" borderId="0" xfId="0" applyNumberFormat="1" applyFont="1" applyFill="1" applyBorder="1" applyAlignment="1">
      <alignment horizontal="center"/>
    </xf>
    <xf numFmtId="166" fontId="28" fillId="5" borderId="0" xfId="58" applyNumberFormat="1" applyFont="1" applyFill="1" applyBorder="1" applyAlignment="1">
      <alignment horizontal="center"/>
    </xf>
    <xf numFmtId="167" fontId="28" fillId="5" borderId="0" xfId="0" applyNumberFormat="1" applyFont="1" applyFill="1" applyBorder="1" applyAlignment="1">
      <alignment horizontal="center"/>
    </xf>
    <xf numFmtId="0" fontId="24" fillId="5" borderId="12" xfId="0" applyFont="1" applyFill="1" applyBorder="1" applyAlignment="1">
      <alignment horizontal="left"/>
    </xf>
    <xf numFmtId="0" fontId="0" fillId="5" borderId="12" xfId="0" applyFill="1" applyBorder="1" applyAlignment="1">
      <alignment horizontal="center"/>
    </xf>
    <xf numFmtId="2" fontId="0" fillId="6" borderId="21" xfId="0" applyNumberFormat="1" applyFill="1" applyBorder="1" applyAlignment="1"/>
    <xf numFmtId="166" fontId="9" fillId="5" borderId="0" xfId="58" applyNumberFormat="1" applyFont="1" applyFill="1" applyBorder="1" applyAlignment="1">
      <alignment horizontal="center"/>
    </xf>
    <xf numFmtId="167" fontId="9" fillId="5" borderId="0" xfId="0" applyNumberFormat="1" applyFont="1" applyFill="1" applyBorder="1" applyAlignment="1">
      <alignment horizontal="center"/>
    </xf>
    <xf numFmtId="0" fontId="30" fillId="5" borderId="0" xfId="0" applyFont="1" applyFill="1" applyBorder="1" applyAlignment="1">
      <alignment horizontal="center"/>
    </xf>
    <xf numFmtId="0" fontId="29" fillId="5" borderId="0" xfId="0" applyFont="1" applyFill="1" applyBorder="1" applyAlignment="1">
      <alignment horizontal="center"/>
    </xf>
    <xf numFmtId="43" fontId="25" fillId="6" borderId="20" xfId="0" applyNumberFormat="1" applyFont="1" applyFill="1" applyBorder="1" applyAlignment="1">
      <alignment horizontal="center"/>
    </xf>
    <xf numFmtId="43" fontId="25" fillId="6" borderId="22" xfId="0" applyNumberFormat="1" applyFont="1" applyFill="1" applyBorder="1" applyAlignment="1">
      <alignment horizontal="center"/>
    </xf>
    <xf numFmtId="0" fontId="16" fillId="5" borderId="26" xfId="0" applyFont="1" applyFill="1" applyBorder="1" applyAlignment="1">
      <alignment horizontal="center"/>
    </xf>
    <xf numFmtId="0" fontId="16" fillId="5" borderId="28" xfId="0" applyFont="1" applyFill="1" applyBorder="1" applyAlignment="1">
      <alignment horizontal="center"/>
    </xf>
    <xf numFmtId="168" fontId="9" fillId="5" borderId="29" xfId="0" applyNumberFormat="1" applyFont="1" applyFill="1" applyBorder="1" applyAlignment="1">
      <alignment horizontal="center"/>
    </xf>
    <xf numFmtId="3" fontId="9" fillId="5" borderId="31" xfId="0" applyNumberFormat="1" applyFont="1" applyFill="1" applyBorder="1" applyAlignment="1">
      <alignment horizontal="center"/>
    </xf>
    <xf numFmtId="0" fontId="0" fillId="6" borderId="0" xfId="0" applyFill="1" applyAlignment="1">
      <alignment horizontal="center"/>
    </xf>
    <xf numFmtId="43" fontId="0" fillId="6" borderId="0" xfId="0" applyNumberFormat="1" applyFill="1"/>
    <xf numFmtId="43" fontId="0" fillId="6" borderId="0" xfId="0" quotePrefix="1" applyNumberFormat="1" applyFill="1"/>
    <xf numFmtId="0" fontId="24" fillId="6" borderId="17" xfId="0" applyFont="1" applyFill="1" applyBorder="1" applyAlignment="1"/>
    <xf numFmtId="11" fontId="23" fillId="5" borderId="0" xfId="0" applyNumberFormat="1" applyFont="1" applyFill="1" applyBorder="1"/>
    <xf numFmtId="0" fontId="0" fillId="5" borderId="17" xfId="0" quotePrefix="1" applyFill="1" applyBorder="1"/>
    <xf numFmtId="0" fontId="23" fillId="5" borderId="0" xfId="0" applyFont="1" applyFill="1" applyBorder="1" applyAlignment="1">
      <alignment horizontal="center"/>
    </xf>
    <xf numFmtId="0" fontId="23" fillId="5" borderId="0" xfId="0" quotePrefix="1" applyFont="1" applyFill="1" applyBorder="1" applyAlignment="1">
      <alignment horizontal="center"/>
    </xf>
    <xf numFmtId="165" fontId="23" fillId="5" borderId="0" xfId="0" quotePrefix="1" applyNumberFormat="1" applyFont="1" applyFill="1" applyBorder="1" applyAlignment="1">
      <alignment horizontal="center"/>
    </xf>
    <xf numFmtId="167" fontId="28" fillId="5" borderId="0" xfId="58" quotePrefix="1" applyNumberFormat="1" applyFont="1" applyFill="1" applyBorder="1" applyAlignment="1"/>
    <xf numFmtId="167" fontId="28" fillId="5" borderId="0" xfId="0" quotePrefix="1" applyNumberFormat="1" applyFont="1" applyFill="1" applyBorder="1" applyAlignment="1"/>
    <xf numFmtId="165" fontId="28" fillId="5" borderId="0" xfId="0" applyNumberFormat="1" applyFont="1" applyFill="1" applyBorder="1" applyAlignment="1">
      <alignment horizontal="center"/>
    </xf>
    <xf numFmtId="0" fontId="23" fillId="5" borderId="22" xfId="0" applyFont="1" applyFill="1" applyBorder="1" applyAlignment="1">
      <alignment horizontal="left"/>
    </xf>
    <xf numFmtId="0" fontId="33" fillId="5" borderId="0" xfId="0" applyFont="1" applyFill="1" applyAlignment="1">
      <alignment vertical="center"/>
    </xf>
    <xf numFmtId="0" fontId="25" fillId="5" borderId="0" xfId="0" applyFont="1" applyFill="1" applyAlignment="1">
      <alignment vertical="top"/>
    </xf>
    <xf numFmtId="0" fontId="0" fillId="5" borderId="0" xfId="0" applyFill="1" applyAlignment="1">
      <alignment vertical="top"/>
    </xf>
    <xf numFmtId="0" fontId="0" fillId="5" borderId="0" xfId="0" applyFill="1" applyAlignment="1">
      <alignment vertical="center"/>
    </xf>
    <xf numFmtId="0" fontId="25" fillId="5" borderId="0" xfId="0" applyFont="1" applyFill="1" applyAlignment="1">
      <alignment vertical="center"/>
    </xf>
    <xf numFmtId="0" fontId="26" fillId="5" borderId="0" xfId="47" applyFont="1" applyFill="1" applyBorder="1" applyAlignment="1">
      <alignment horizontal="center"/>
    </xf>
    <xf numFmtId="0" fontId="27" fillId="5" borderId="0" xfId="0" applyFont="1" applyFill="1" applyBorder="1"/>
    <xf numFmtId="0" fontId="26" fillId="5" borderId="0" xfId="0" applyFont="1" applyFill="1" applyBorder="1"/>
    <xf numFmtId="0" fontId="21" fillId="5" borderId="0" xfId="0" applyFont="1" applyFill="1" applyBorder="1"/>
    <xf numFmtId="167" fontId="27" fillId="5" borderId="0" xfId="58" applyNumberFormat="1" applyFont="1" applyFill="1" applyBorder="1"/>
    <xf numFmtId="166" fontId="9" fillId="5" borderId="0" xfId="58" applyNumberFormat="1" applyFont="1" applyFill="1" applyBorder="1"/>
    <xf numFmtId="0" fontId="21" fillId="5" borderId="22" xfId="0" applyFont="1" applyFill="1" applyBorder="1"/>
    <xf numFmtId="0" fontId="21" fillId="6" borderId="20" xfId="0" applyFont="1" applyFill="1" applyBorder="1"/>
    <xf numFmtId="0" fontId="9" fillId="5" borderId="0" xfId="0" applyFont="1" applyFill="1" applyBorder="1" applyAlignment="1">
      <alignment horizontal="left"/>
    </xf>
    <xf numFmtId="0" fontId="27" fillId="5" borderId="0" xfId="0" applyFont="1" applyFill="1" applyBorder="1" applyAlignment="1">
      <alignment horizontal="center"/>
    </xf>
    <xf numFmtId="0" fontId="25" fillId="5" borderId="0" xfId="0" applyFont="1" applyFill="1" applyBorder="1"/>
    <xf numFmtId="0" fontId="0" fillId="5" borderId="0" xfId="0" applyFill="1" applyBorder="1" applyAlignment="1">
      <alignment horizontal="left" indent="1"/>
    </xf>
    <xf numFmtId="167" fontId="0" fillId="5" borderId="0" xfId="58" applyNumberFormat="1" applyFont="1" applyFill="1" applyBorder="1"/>
    <xf numFmtId="1" fontId="9" fillId="5" borderId="0" xfId="0" applyNumberFormat="1" applyFont="1" applyFill="1" applyBorder="1"/>
    <xf numFmtId="167" fontId="9" fillId="5" borderId="0" xfId="58" applyNumberFormat="1" applyFont="1" applyFill="1" applyBorder="1"/>
    <xf numFmtId="1" fontId="23" fillId="5" borderId="0" xfId="0" applyNumberFormat="1" applyFont="1" applyFill="1" applyBorder="1"/>
    <xf numFmtId="0" fontId="25" fillId="6" borderId="20" xfId="0" applyFont="1" applyFill="1" applyBorder="1"/>
    <xf numFmtId="1" fontId="25" fillId="6" borderId="20" xfId="0" applyNumberFormat="1" applyFont="1" applyFill="1" applyBorder="1"/>
    <xf numFmtId="165" fontId="0" fillId="6" borderId="21" xfId="0" applyNumberFormat="1" applyFill="1" applyBorder="1" applyAlignment="1">
      <alignment horizontal="right"/>
    </xf>
    <xf numFmtId="0" fontId="25" fillId="6" borderId="22" xfId="0" applyFont="1" applyFill="1" applyBorder="1"/>
    <xf numFmtId="1" fontId="25" fillId="6" borderId="22" xfId="0" applyNumberFormat="1" applyFont="1" applyFill="1" applyBorder="1"/>
    <xf numFmtId="167" fontId="23" fillId="5" borderId="0" xfId="58" applyNumberFormat="1" applyFont="1" applyFill="1" applyBorder="1" applyAlignment="1">
      <alignment horizontal="right"/>
    </xf>
    <xf numFmtId="0" fontId="0" fillId="5" borderId="0" xfId="0" applyFill="1" applyBorder="1" applyAlignment="1">
      <alignment horizontal="right"/>
    </xf>
    <xf numFmtId="167" fontId="0" fillId="5" borderId="0" xfId="0" applyNumberFormat="1" applyFill="1" applyBorder="1"/>
    <xf numFmtId="166" fontId="0" fillId="5" borderId="0" xfId="58" applyNumberFormat="1" applyFont="1" applyFill="1" applyBorder="1"/>
    <xf numFmtId="0" fontId="0" fillId="5" borderId="0" xfId="0" applyFill="1" applyBorder="1" applyAlignment="1">
      <alignment horizontal="left"/>
    </xf>
    <xf numFmtId="0" fontId="9" fillId="5" borderId="0" xfId="0" applyFont="1" applyFill="1" applyBorder="1" applyAlignment="1">
      <alignment horizontal="left" indent="1"/>
    </xf>
    <xf numFmtId="167" fontId="9" fillId="5" borderId="0" xfId="0" applyNumberFormat="1" applyFont="1" applyFill="1" applyBorder="1"/>
    <xf numFmtId="0" fontId="0" fillId="6" borderId="20" xfId="0" applyFill="1" applyBorder="1" applyAlignment="1">
      <alignment horizontal="right"/>
    </xf>
    <xf numFmtId="0" fontId="25" fillId="6" borderId="22" xfId="0" applyFont="1" applyFill="1" applyBorder="1" applyAlignment="1">
      <alignment horizontal="right"/>
    </xf>
    <xf numFmtId="0" fontId="25" fillId="5" borderId="0" xfId="0" applyFont="1" applyFill="1" applyBorder="1" applyAlignment="1">
      <alignment horizontal="right"/>
    </xf>
    <xf numFmtId="0" fontId="15" fillId="5" borderId="0" xfId="0" applyFont="1" applyFill="1" applyBorder="1"/>
    <xf numFmtId="0" fontId="28" fillId="5" borderId="0" xfId="0" applyFont="1" applyFill="1" applyBorder="1"/>
    <xf numFmtId="0" fontId="15" fillId="5" borderId="0" xfId="0" applyFont="1" applyFill="1" applyBorder="1" applyAlignment="1">
      <alignment horizontal="right"/>
    </xf>
    <xf numFmtId="43" fontId="28" fillId="5" borderId="0" xfId="58" applyNumberFormat="1" applyFont="1" applyFill="1" applyBorder="1"/>
    <xf numFmtId="0" fontId="15" fillId="6" borderId="10" xfId="0" applyFont="1" applyFill="1" applyBorder="1"/>
    <xf numFmtId="0" fontId="0" fillId="5" borderId="30" xfId="0" applyFill="1" applyBorder="1" applyAlignment="1">
      <alignment horizontal="left" indent="1"/>
    </xf>
    <xf numFmtId="167" fontId="0" fillId="5" borderId="30" xfId="58" applyNumberFormat="1" applyFont="1" applyFill="1" applyBorder="1"/>
    <xf numFmtId="166" fontId="0" fillId="5" borderId="30" xfId="58" applyNumberFormat="1" applyFont="1" applyFill="1" applyBorder="1"/>
    <xf numFmtId="0" fontId="15" fillId="6" borderId="0" xfId="0" applyFont="1" applyFill="1"/>
    <xf numFmtId="0" fontId="0" fillId="5" borderId="11" xfId="0" applyFont="1" applyFill="1" applyBorder="1"/>
    <xf numFmtId="0" fontId="0" fillId="5" borderId="12" xfId="0" applyFont="1" applyFill="1" applyBorder="1"/>
    <xf numFmtId="0" fontId="0" fillId="5" borderId="13" xfId="0" applyFont="1" applyFill="1" applyBorder="1"/>
    <xf numFmtId="0" fontId="9" fillId="5" borderId="14" xfId="0" applyFont="1" applyFill="1" applyBorder="1"/>
    <xf numFmtId="43" fontId="9" fillId="5" borderId="0" xfId="0" applyNumberFormat="1" applyFont="1" applyFill="1" applyBorder="1"/>
    <xf numFmtId="0" fontId="9" fillId="5" borderId="34" xfId="0" applyFont="1" applyFill="1" applyBorder="1"/>
    <xf numFmtId="0" fontId="9" fillId="5" borderId="27" xfId="0" applyFont="1" applyFill="1" applyBorder="1"/>
    <xf numFmtId="43" fontId="9" fillId="5" borderId="34" xfId="0" applyNumberFormat="1" applyFont="1" applyFill="1" applyBorder="1"/>
    <xf numFmtId="167" fontId="9" fillId="5" borderId="34" xfId="0" applyNumberFormat="1" applyFont="1" applyFill="1" applyBorder="1"/>
    <xf numFmtId="0" fontId="16" fillId="5" borderId="0" xfId="0" applyFont="1" applyFill="1" applyBorder="1" applyAlignment="1">
      <alignment horizontal="right"/>
    </xf>
    <xf numFmtId="0" fontId="9" fillId="5" borderId="0" xfId="0" applyFont="1" applyFill="1" applyBorder="1" applyAlignment="1">
      <alignment horizontal="right"/>
    </xf>
    <xf numFmtId="166" fontId="0" fillId="5" borderId="0" xfId="58" applyNumberFormat="1" applyFont="1" applyFill="1" applyBorder="1" applyAlignment="1">
      <alignment horizontal="right"/>
    </xf>
    <xf numFmtId="167" fontId="0" fillId="5" borderId="0" xfId="58" applyNumberFormat="1" applyFont="1" applyFill="1" applyBorder="1" applyAlignment="1">
      <alignment horizontal="right"/>
    </xf>
    <xf numFmtId="166" fontId="0" fillId="5" borderId="30" xfId="58" applyNumberFormat="1" applyFont="1" applyFill="1" applyBorder="1" applyAlignment="1">
      <alignment horizontal="right"/>
    </xf>
    <xf numFmtId="167" fontId="0" fillId="5" borderId="30" xfId="58" applyNumberFormat="1" applyFont="1" applyFill="1" applyBorder="1" applyAlignment="1">
      <alignment horizontal="right"/>
    </xf>
    <xf numFmtId="166" fontId="9" fillId="5" borderId="0" xfId="58" applyNumberFormat="1" applyFont="1" applyFill="1" applyBorder="1" applyAlignment="1">
      <alignment horizontal="right"/>
    </xf>
    <xf numFmtId="167" fontId="9" fillId="5" borderId="0" xfId="58" applyNumberFormat="1" applyFont="1" applyFill="1" applyBorder="1" applyAlignment="1">
      <alignment horizontal="right"/>
    </xf>
    <xf numFmtId="166" fontId="0" fillId="5" borderId="0" xfId="0" applyNumberFormat="1" applyFont="1" applyFill="1" applyBorder="1" applyAlignment="1">
      <alignment horizontal="right"/>
    </xf>
    <xf numFmtId="167" fontId="0" fillId="5" borderId="0" xfId="0" applyNumberFormat="1" applyFont="1" applyFill="1" applyBorder="1" applyAlignment="1">
      <alignment horizontal="right"/>
    </xf>
    <xf numFmtId="166" fontId="9" fillId="5" borderId="27" xfId="0" applyNumberFormat="1" applyFont="1" applyFill="1" applyBorder="1" applyAlignment="1">
      <alignment horizontal="right"/>
    </xf>
    <xf numFmtId="167" fontId="9" fillId="5" borderId="27" xfId="58" applyNumberFormat="1" applyFont="1" applyFill="1" applyBorder="1" applyAlignment="1">
      <alignment horizontal="right"/>
    </xf>
    <xf numFmtId="3" fontId="9" fillId="5" borderId="0" xfId="0" applyNumberFormat="1" applyFont="1" applyFill="1" applyBorder="1"/>
    <xf numFmtId="0" fontId="9" fillId="5" borderId="17" xfId="0" applyFont="1" applyFill="1" applyBorder="1"/>
    <xf numFmtId="3" fontId="9" fillId="5" borderId="17" xfId="0" applyNumberFormat="1" applyFont="1" applyFill="1" applyBorder="1"/>
    <xf numFmtId="11" fontId="0" fillId="6" borderId="10" xfId="0" applyNumberFormat="1" applyFont="1" applyFill="1" applyBorder="1" applyAlignment="1">
      <alignment horizontal="right"/>
    </xf>
    <xf numFmtId="6" fontId="23" fillId="5" borderId="0" xfId="0" applyNumberFormat="1" applyFont="1" applyFill="1" applyBorder="1"/>
    <xf numFmtId="6" fontId="28" fillId="5" borderId="0" xfId="0" applyNumberFormat="1" applyFont="1" applyFill="1" applyBorder="1"/>
    <xf numFmtId="0" fontId="9" fillId="0" borderId="0" xfId="0" applyFont="1"/>
    <xf numFmtId="0" fontId="16" fillId="0" borderId="0" xfId="0" applyFont="1"/>
    <xf numFmtId="0" fontId="21" fillId="8" borderId="0" xfId="0" applyFont="1" applyFill="1"/>
    <xf numFmtId="0" fontId="34" fillId="8" borderId="0" xfId="0" applyFont="1" applyFill="1" applyAlignment="1">
      <alignment vertical="center"/>
    </xf>
    <xf numFmtId="0" fontId="35" fillId="8" borderId="0" xfId="0" applyFont="1" applyFill="1" applyAlignment="1">
      <alignment vertical="center"/>
    </xf>
    <xf numFmtId="0" fontId="21" fillId="10" borderId="11" xfId="0" applyFont="1" applyFill="1" applyBorder="1"/>
    <xf numFmtId="0" fontId="21" fillId="10" borderId="12" xfId="0" applyFont="1" applyFill="1" applyBorder="1"/>
    <xf numFmtId="0" fontId="21" fillId="10" borderId="13" xfId="0" applyFont="1" applyFill="1" applyBorder="1"/>
    <xf numFmtId="0" fontId="21" fillId="10" borderId="14" xfId="0" applyFont="1" applyFill="1" applyBorder="1"/>
    <xf numFmtId="0" fontId="21" fillId="10" borderId="0" xfId="0" applyFont="1" applyFill="1"/>
    <xf numFmtId="0" fontId="21" fillId="10" borderId="35" xfId="0" applyFont="1" applyFill="1" applyBorder="1"/>
    <xf numFmtId="0" fontId="21" fillId="10" borderId="15" xfId="0" applyFont="1" applyFill="1" applyBorder="1"/>
    <xf numFmtId="0" fontId="21" fillId="10" borderId="16" xfId="0" applyFont="1" applyFill="1" applyBorder="1"/>
    <xf numFmtId="0" fontId="21" fillId="10" borderId="17" xfId="0" applyFont="1" applyFill="1" applyBorder="1"/>
    <xf numFmtId="0" fontId="21" fillId="10" borderId="18" xfId="0" applyFont="1" applyFill="1" applyBorder="1"/>
    <xf numFmtId="0" fontId="25" fillId="6" borderId="20" xfId="0" applyFont="1" applyFill="1" applyBorder="1" applyAlignment="1">
      <alignment horizontal="right"/>
    </xf>
    <xf numFmtId="166" fontId="27" fillId="5" borderId="0" xfId="58" applyNumberFormat="1" applyFont="1" applyFill="1" applyBorder="1"/>
    <xf numFmtId="0" fontId="28" fillId="5" borderId="0" xfId="0" applyFont="1" applyFill="1" applyBorder="1" applyAlignment="1">
      <alignment horizontal="center"/>
    </xf>
    <xf numFmtId="0" fontId="0" fillId="0" borderId="0" xfId="0"/>
    <xf numFmtId="0" fontId="17" fillId="6" borderId="0" xfId="0" applyFont="1" applyFill="1"/>
    <xf numFmtId="0" fontId="0" fillId="5" borderId="17" xfId="0" applyFill="1" applyBorder="1" applyAlignment="1">
      <alignment horizontal="left"/>
    </xf>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3" fontId="0" fillId="0" borderId="0" xfId="0" applyNumberFormat="1"/>
    <xf numFmtId="2"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0" borderId="0" xfId="0" applyFont="1"/>
    <xf numFmtId="43" fontId="9" fillId="5" borderId="0" xfId="0" quotePrefix="1" applyNumberFormat="1" applyFont="1" applyFill="1" applyBorder="1"/>
    <xf numFmtId="167" fontId="9" fillId="5" borderId="30" xfId="58" quotePrefix="1" applyNumberFormat="1" applyFont="1" applyFill="1" applyBorder="1" applyAlignment="1">
      <alignment horizontal="right"/>
    </xf>
    <xf numFmtId="0" fontId="0" fillId="0" borderId="0" xfId="0"/>
    <xf numFmtId="0" fontId="0" fillId="0" borderId="0" xfId="0"/>
    <xf numFmtId="9" fontId="0" fillId="0" borderId="0" xfId="0" applyNumberFormat="1"/>
    <xf numFmtId="43" fontId="0" fillId="0" borderId="0" xfId="0" applyNumberFormat="1"/>
    <xf numFmtId="0" fontId="15" fillId="6" borderId="20" xfId="0" applyFont="1" applyFill="1" applyBorder="1"/>
    <xf numFmtId="0" fontId="15" fillId="6" borderId="37" xfId="0" applyFont="1" applyFill="1" applyBorder="1"/>
    <xf numFmtId="0" fontId="15" fillId="6" borderId="38" xfId="0" applyFont="1" applyFill="1" applyBorder="1"/>
    <xf numFmtId="43" fontId="23" fillId="5" borderId="0" xfId="58" applyFont="1" applyFill="1" applyBorder="1"/>
    <xf numFmtId="43" fontId="9" fillId="5" borderId="0" xfId="58" applyFont="1" applyFill="1" applyBorder="1" applyAlignment="1">
      <alignment horizontal="right"/>
    </xf>
    <xf numFmtId="0" fontId="15" fillId="6" borderId="22" xfId="0" applyFont="1" applyFill="1" applyBorder="1"/>
    <xf numFmtId="43" fontId="28" fillId="5" borderId="0" xfId="58" applyNumberFormat="1" applyFont="1" applyFill="1" applyBorder="1" applyAlignment="1">
      <alignment horizontal="center"/>
    </xf>
    <xf numFmtId="0" fontId="47" fillId="5" borderId="0" xfId="0" applyFont="1" applyFill="1" applyBorder="1"/>
    <xf numFmtId="43" fontId="48" fillId="5" borderId="0" xfId="58" applyNumberFormat="1" applyFont="1" applyFill="1" applyBorder="1"/>
    <xf numFmtId="0" fontId="48" fillId="5" borderId="0" xfId="0" applyFont="1" applyFill="1" applyBorder="1"/>
    <xf numFmtId="43" fontId="47" fillId="5" borderId="0" xfId="58" applyFont="1" applyFill="1" applyBorder="1"/>
    <xf numFmtId="0" fontId="0" fillId="5" borderId="17" xfId="0" applyFont="1" applyFill="1" applyBorder="1" applyAlignment="1">
      <alignment horizontal="right"/>
    </xf>
    <xf numFmtId="0" fontId="0" fillId="5" borderId="0" xfId="0" applyFont="1" applyFill="1" applyBorder="1" applyAlignment="1">
      <alignment horizontal="left" indent="1"/>
    </xf>
    <xf numFmtId="0" fontId="0" fillId="5" borderId="12" xfId="0" applyFont="1" applyFill="1" applyBorder="1" applyAlignment="1">
      <alignment horizontal="right"/>
    </xf>
    <xf numFmtId="0" fontId="0" fillId="6" borderId="20" xfId="0" applyNumberFormat="1" applyFont="1" applyFill="1" applyBorder="1" applyAlignment="1">
      <alignment horizontal="right"/>
    </xf>
    <xf numFmtId="165" fontId="23" fillId="5" borderId="0" xfId="0" applyNumberFormat="1" applyFont="1" applyFill="1" applyBorder="1" applyAlignment="1">
      <alignment horizontal="right"/>
    </xf>
    <xf numFmtId="0" fontId="17" fillId="5" borderId="0" xfId="0" applyFont="1" applyFill="1" applyBorder="1" applyAlignment="1">
      <alignment horizontal="left"/>
    </xf>
    <xf numFmtId="0" fontId="0" fillId="0" borderId="0" xfId="0"/>
    <xf numFmtId="0" fontId="0" fillId="0" borderId="0" xfId="0"/>
    <xf numFmtId="0" fontId="0" fillId="0" borderId="0" xfId="0"/>
    <xf numFmtId="0" fontId="23" fillId="5" borderId="0" xfId="0" applyNumberFormat="1" applyFont="1" applyFill="1" applyBorder="1"/>
    <xf numFmtId="0" fontId="0" fillId="6" borderId="22" xfId="0" applyFill="1" applyBorder="1" applyAlignment="1">
      <alignment horizontal="center"/>
    </xf>
    <xf numFmtId="0" fontId="23" fillId="5" borderId="0" xfId="0" applyNumberFormat="1" applyFont="1" applyFill="1" applyBorder="1" applyAlignment="1">
      <alignment horizontal="center"/>
    </xf>
    <xf numFmtId="0" fontId="15" fillId="5" borderId="0" xfId="0" applyFont="1" applyFill="1" applyBorder="1" applyAlignment="1">
      <alignment horizontal="center"/>
    </xf>
    <xf numFmtId="0" fontId="23" fillId="5" borderId="17" xfId="0" applyNumberFormat="1" applyFont="1" applyFill="1" applyBorder="1"/>
    <xf numFmtId="0" fontId="9" fillId="5" borderId="15" xfId="0" applyFont="1" applyFill="1" applyBorder="1" applyAlignment="1">
      <alignment horizontal="center"/>
    </xf>
    <xf numFmtId="0" fontId="23" fillId="5" borderId="15" xfId="0" applyNumberFormat="1" applyFont="1" applyFill="1" applyBorder="1" applyAlignment="1">
      <alignment horizontal="center"/>
    </xf>
    <xf numFmtId="0" fontId="23" fillId="5" borderId="16" xfId="0" applyNumberFormat="1" applyFont="1" applyFill="1" applyBorder="1" applyAlignment="1">
      <alignment horizontal="center"/>
    </xf>
    <xf numFmtId="0" fontId="23" fillId="5" borderId="17" xfId="0" applyNumberFormat="1" applyFont="1" applyFill="1" applyBorder="1" applyAlignment="1">
      <alignment horizontal="center"/>
    </xf>
    <xf numFmtId="0" fontId="23" fillId="5" borderId="18" xfId="0" applyNumberFormat="1" applyFont="1" applyFill="1" applyBorder="1" applyAlignment="1">
      <alignment horizontal="center"/>
    </xf>
    <xf numFmtId="0" fontId="23" fillId="5" borderId="15" xfId="0" applyFont="1" applyFill="1" applyBorder="1"/>
    <xf numFmtId="0" fontId="28" fillId="5" borderId="0" xfId="0" applyNumberFormat="1" applyFont="1" applyFill="1" applyBorder="1" applyAlignment="1">
      <alignment horizontal="right"/>
    </xf>
    <xf numFmtId="0" fontId="8" fillId="0" borderId="0" xfId="0" applyFont="1" applyFill="1" applyBorder="1"/>
    <xf numFmtId="0" fontId="8" fillId="0" borderId="3" xfId="0" applyFont="1" applyFill="1" applyBorder="1"/>
    <xf numFmtId="0" fontId="8" fillId="0" borderId="9" xfId="0" applyFont="1" applyFill="1" applyBorder="1"/>
    <xf numFmtId="0" fontId="0" fillId="0" borderId="0" xfId="0" applyFill="1"/>
    <xf numFmtId="0" fontId="10" fillId="0" borderId="0" xfId="0" applyFont="1" applyFill="1"/>
    <xf numFmtId="0" fontId="15" fillId="0" borderId="6" xfId="0" applyFont="1" applyFill="1" applyBorder="1" applyAlignment="1">
      <alignment horizontal="left"/>
    </xf>
    <xf numFmtId="0" fontId="15" fillId="0" borderId="2" xfId="0" applyFont="1" applyFill="1" applyBorder="1" applyAlignment="1">
      <alignment horizontal="left"/>
    </xf>
    <xf numFmtId="43" fontId="15" fillId="0" borderId="2" xfId="58" applyNumberFormat="1" applyFont="1" applyFill="1" applyBorder="1" applyAlignment="1">
      <alignment horizontal="left"/>
    </xf>
    <xf numFmtId="0" fontId="15" fillId="0" borderId="2" xfId="0" applyFont="1" applyFill="1" applyBorder="1" applyAlignment="1">
      <alignment horizontal="left" vertical="center"/>
    </xf>
    <xf numFmtId="0" fontId="15" fillId="0" borderId="0" xfId="0" applyFont="1" applyFill="1" applyBorder="1" applyAlignment="1">
      <alignment horizontal="left"/>
    </xf>
    <xf numFmtId="0" fontId="15" fillId="0" borderId="3" xfId="0" applyFont="1" applyFill="1" applyBorder="1" applyAlignment="1">
      <alignment horizontal="left"/>
    </xf>
    <xf numFmtId="0" fontId="16" fillId="5" borderId="0" xfId="0" applyFont="1" applyFill="1"/>
    <xf numFmtId="0" fontId="9" fillId="5" borderId="0" xfId="0" applyFont="1" applyFill="1"/>
    <xf numFmtId="0" fontId="0" fillId="5" borderId="0" xfId="0" quotePrefix="1" applyFill="1"/>
    <xf numFmtId="0" fontId="23" fillId="6" borderId="22" xfId="0" applyFont="1" applyFill="1" applyBorder="1"/>
    <xf numFmtId="1" fontId="23" fillId="5" borderId="0" xfId="0" applyNumberFormat="1" applyFont="1" applyFill="1"/>
    <xf numFmtId="0" fontId="23" fillId="5" borderId="0" xfId="0" applyFont="1" applyFill="1"/>
    <xf numFmtId="167" fontId="1" fillId="5" borderId="0" xfId="58" applyNumberFormat="1" applyFont="1" applyFill="1" applyBorder="1" applyAlignment="1">
      <alignment horizontal="right"/>
    </xf>
    <xf numFmtId="167" fontId="1" fillId="5" borderId="30" xfId="58" applyNumberFormat="1" applyFont="1" applyFill="1" applyBorder="1" applyAlignment="1">
      <alignment horizontal="right"/>
    </xf>
    <xf numFmtId="0" fontId="0" fillId="5" borderId="30" xfId="0" applyFont="1" applyFill="1" applyBorder="1" applyAlignment="1">
      <alignment horizontal="left" indent="1"/>
    </xf>
    <xf numFmtId="43" fontId="1" fillId="5" borderId="0" xfId="58" applyNumberFormat="1" applyFont="1" applyFill="1" applyBorder="1" applyAlignment="1">
      <alignment horizontal="right" indent="2"/>
    </xf>
    <xf numFmtId="43" fontId="1" fillId="5" borderId="30" xfId="58" applyNumberFormat="1" applyFont="1" applyFill="1" applyBorder="1" applyAlignment="1">
      <alignment horizontal="right" indent="2"/>
    </xf>
    <xf numFmtId="43" fontId="9" fillId="5" borderId="0" xfId="58" applyNumberFormat="1" applyFont="1" applyFill="1" applyBorder="1" applyAlignment="1">
      <alignment horizontal="right" indent="2"/>
    </xf>
    <xf numFmtId="0" fontId="0" fillId="0" borderId="0" xfId="0"/>
    <xf numFmtId="0" fontId="0" fillId="0" borderId="0" xfId="0"/>
    <xf numFmtId="164" fontId="49" fillId="0" borderId="0" xfId="0" applyNumberFormat="1" applyFont="1" applyFill="1" applyAlignment="1">
      <alignment horizontal="right"/>
    </xf>
    <xf numFmtId="0" fontId="0" fillId="0" borderId="0" xfId="0"/>
    <xf numFmtId="0" fontId="0" fillId="0" borderId="0" xfId="0"/>
    <xf numFmtId="0" fontId="0" fillId="0" borderId="0" xfId="0"/>
    <xf numFmtId="0" fontId="8" fillId="0" borderId="8"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2" xfId="0" applyFont="1" applyFill="1" applyBorder="1"/>
    <xf numFmtId="11" fontId="0" fillId="0" borderId="2" xfId="0" applyNumberFormat="1" applyFont="1" applyFill="1" applyBorder="1"/>
    <xf numFmtId="0" fontId="0" fillId="0" borderId="2" xfId="0" applyNumberFormat="1" applyFont="1" applyFill="1" applyBorder="1"/>
    <xf numFmtId="0" fontId="32" fillId="5" borderId="0" xfId="0" applyFont="1" applyFill="1" applyBorder="1"/>
    <xf numFmtId="11" fontId="0" fillId="5" borderId="0" xfId="0" applyNumberFormat="1" applyFill="1" applyBorder="1"/>
    <xf numFmtId="0" fontId="24" fillId="5" borderId="12" xfId="0" applyFont="1" applyFill="1" applyBorder="1" applyAlignment="1">
      <alignment vertical="center"/>
    </xf>
    <xf numFmtId="0" fontId="24" fillId="5" borderId="13" xfId="0" applyFont="1" applyFill="1" applyBorder="1" applyAlignment="1">
      <alignment vertical="center"/>
    </xf>
    <xf numFmtId="0" fontId="0" fillId="6" borderId="0" xfId="0" applyFill="1" applyAlignment="1">
      <alignment vertical="center"/>
    </xf>
    <xf numFmtId="170" fontId="27" fillId="11" borderId="15" xfId="569" applyNumberFormat="1" applyFont="1" applyFill="1" applyBorder="1" applyAlignment="1"/>
    <xf numFmtId="169" fontId="9" fillId="5" borderId="15" xfId="0" applyNumberFormat="1" applyFont="1" applyFill="1" applyBorder="1" applyAlignment="1">
      <alignment horizontal="right"/>
    </xf>
    <xf numFmtId="0" fontId="9" fillId="6" borderId="0" xfId="0" applyFont="1" applyFill="1" applyBorder="1" applyAlignment="1">
      <alignment horizontal="center"/>
    </xf>
    <xf numFmtId="11" fontId="0" fillId="6" borderId="10" xfId="0" applyNumberFormat="1" applyFont="1" applyFill="1" applyBorder="1" applyAlignment="1">
      <alignment horizontal="left"/>
    </xf>
    <xf numFmtId="0" fontId="0" fillId="0" borderId="0" xfId="0"/>
    <xf numFmtId="0" fontId="53" fillId="6" borderId="0" xfId="0" applyFont="1" applyFill="1"/>
    <xf numFmtId="0" fontId="54" fillId="6" borderId="0" xfId="0" applyFont="1" applyFill="1"/>
    <xf numFmtId="0" fontId="0" fillId="0" borderId="0" xfId="0"/>
    <xf numFmtId="0" fontId="0" fillId="5" borderId="0" xfId="0" applyFont="1" applyFill="1" applyBorder="1" applyAlignment="1">
      <alignment horizontal="left"/>
    </xf>
    <xf numFmtId="0" fontId="0" fillId="0" borderId="0" xfId="0" applyNumberFormat="1"/>
    <xf numFmtId="0" fontId="47" fillId="5" borderId="0" xfId="58" applyNumberFormat="1" applyFont="1" applyFill="1" applyBorder="1" applyAlignment="1">
      <alignment horizontal="right"/>
    </xf>
    <xf numFmtId="0" fontId="47" fillId="5" borderId="0" xfId="0" applyFont="1" applyFill="1" applyBorder="1" applyAlignment="1">
      <alignment horizontal="right"/>
    </xf>
    <xf numFmtId="0" fontId="0" fillId="0" borderId="0" xfId="0" applyAlignment="1">
      <alignment horizontal="right"/>
    </xf>
    <xf numFmtId="1" fontId="0" fillId="0" borderId="0" xfId="0" applyNumberFormat="1" applyAlignment="1">
      <alignment horizontal="right"/>
    </xf>
    <xf numFmtId="165" fontId="0" fillId="0" borderId="0" xfId="0" applyNumberFormat="1" applyAlignment="1">
      <alignment horizontal="right"/>
    </xf>
    <xf numFmtId="1" fontId="0" fillId="0" borderId="0" xfId="0" applyNumberFormat="1" applyFont="1" applyAlignment="1">
      <alignment horizontal="right"/>
    </xf>
    <xf numFmtId="0" fontId="0" fillId="0" borderId="0" xfId="0" applyFont="1" applyAlignment="1">
      <alignment horizontal="right"/>
    </xf>
    <xf numFmtId="1" fontId="0" fillId="0" borderId="0" xfId="732" applyNumberFormat="1" applyFont="1" applyAlignment="1">
      <alignment horizontal="right"/>
    </xf>
    <xf numFmtId="0" fontId="26" fillId="5" borderId="0" xfId="0" applyFont="1" applyFill="1" applyBorder="1" applyAlignment="1">
      <alignment horizontal="right"/>
    </xf>
    <xf numFmtId="0" fontId="23" fillId="5" borderId="0" xfId="58" applyNumberFormat="1" applyFont="1" applyFill="1" applyBorder="1" applyAlignment="1">
      <alignment horizontal="right"/>
    </xf>
    <xf numFmtId="43" fontId="28" fillId="5" borderId="0" xfId="58" applyNumberFormat="1" applyFont="1" applyFill="1" applyBorder="1" applyAlignment="1">
      <alignment horizontal="right"/>
    </xf>
    <xf numFmtId="0" fontId="9" fillId="5" borderId="27" xfId="0" applyFont="1" applyFill="1" applyBorder="1" applyAlignment="1">
      <alignment horizontal="left" indent="1"/>
    </xf>
    <xf numFmtId="43" fontId="9" fillId="5" borderId="27" xfId="58" applyNumberFormat="1" applyFont="1" applyFill="1" applyBorder="1"/>
    <xf numFmtId="0" fontId="48" fillId="5" borderId="27" xfId="0" applyFont="1" applyFill="1" applyBorder="1"/>
    <xf numFmtId="43" fontId="9" fillId="5" borderId="27" xfId="58" applyFont="1" applyFill="1" applyBorder="1" applyAlignment="1">
      <alignment horizontal="right"/>
    </xf>
    <xf numFmtId="43" fontId="28" fillId="5" borderId="34" xfId="58" applyNumberFormat="1" applyFont="1" applyFill="1" applyBorder="1"/>
    <xf numFmtId="0" fontId="0" fillId="5" borderId="34" xfId="0" applyFill="1" applyBorder="1"/>
    <xf numFmtId="0" fontId="28" fillId="5" borderId="15" xfId="0" applyNumberFormat="1" applyFont="1" applyFill="1" applyBorder="1" applyAlignment="1">
      <alignment horizontal="center"/>
    </xf>
    <xf numFmtId="0" fontId="0" fillId="6" borderId="29" xfId="0" applyFill="1" applyBorder="1" applyAlignment="1">
      <alignment horizontal="center"/>
    </xf>
    <xf numFmtId="0" fontId="0" fillId="6" borderId="31" xfId="0" applyFill="1" applyBorder="1" applyAlignment="1">
      <alignment horizontal="center"/>
    </xf>
    <xf numFmtId="0" fontId="9" fillId="5" borderId="30" xfId="0" applyFont="1" applyFill="1" applyBorder="1" applyAlignment="1">
      <alignment horizontal="center"/>
    </xf>
    <xf numFmtId="0" fontId="9" fillId="5" borderId="15" xfId="0" applyFont="1" applyFill="1" applyBorder="1"/>
    <xf numFmtId="2" fontId="15" fillId="5" borderId="0" xfId="0" applyNumberFormat="1" applyFont="1" applyFill="1" applyBorder="1" applyAlignment="1">
      <alignment horizontal="center"/>
    </xf>
    <xf numFmtId="1" fontId="15" fillId="5" borderId="0" xfId="0" applyNumberFormat="1" applyFont="1" applyFill="1" applyBorder="1" applyAlignment="1">
      <alignment horizontal="center"/>
    </xf>
    <xf numFmtId="2" fontId="28" fillId="5" borderId="27" xfId="0" applyNumberFormat="1" applyFont="1" applyFill="1" applyBorder="1" applyAlignment="1">
      <alignment horizontal="center"/>
    </xf>
    <xf numFmtId="1" fontId="28" fillId="5" borderId="27" xfId="0" applyNumberFormat="1" applyFont="1" applyFill="1" applyBorder="1" applyAlignment="1">
      <alignment horizontal="center"/>
    </xf>
    <xf numFmtId="171" fontId="9" fillId="5" borderId="0" xfId="569" applyNumberFormat="1" applyFont="1" applyFill="1" applyBorder="1"/>
    <xf numFmtId="44" fontId="9" fillId="5" borderId="0" xfId="569" applyFont="1" applyFill="1" applyBorder="1"/>
    <xf numFmtId="1" fontId="28" fillId="5" borderId="0" xfId="0" applyNumberFormat="1" applyFont="1" applyFill="1" applyBorder="1" applyAlignment="1">
      <alignment horizontal="center"/>
    </xf>
    <xf numFmtId="2" fontId="28" fillId="5" borderId="0" xfId="0" applyNumberFormat="1" applyFont="1" applyFill="1" applyBorder="1" applyAlignment="1">
      <alignment horizontal="center"/>
    </xf>
    <xf numFmtId="0" fontId="57" fillId="6" borderId="20" xfId="0" applyFont="1" applyFill="1" applyBorder="1" applyAlignment="1">
      <alignment horizontal="center"/>
    </xf>
    <xf numFmtId="0" fontId="57" fillId="6" borderId="22" xfId="0" applyFont="1" applyFill="1" applyBorder="1" applyAlignment="1">
      <alignment horizontal="center"/>
    </xf>
    <xf numFmtId="0" fontId="0" fillId="5" borderId="14" xfId="0" quotePrefix="1" applyFill="1" applyBorder="1"/>
    <xf numFmtId="0" fontId="0" fillId="5" borderId="39" xfId="0" applyFill="1" applyBorder="1"/>
    <xf numFmtId="0" fontId="55" fillId="5" borderId="0" xfId="0" applyNumberFormat="1" applyFont="1" applyFill="1" applyBorder="1" applyAlignment="1">
      <alignment horizontal="left"/>
    </xf>
    <xf numFmtId="0" fontId="55" fillId="5" borderId="17" xfId="0" applyNumberFormat="1" applyFont="1" applyFill="1" applyBorder="1" applyAlignment="1">
      <alignment horizontal="left"/>
    </xf>
    <xf numFmtId="0" fontId="24" fillId="7" borderId="23" xfId="0" applyFont="1" applyFill="1" applyBorder="1" applyAlignment="1"/>
    <xf numFmtId="0" fontId="24" fillId="7" borderId="25" xfId="0" applyFont="1" applyFill="1" applyBorder="1" applyAlignment="1"/>
    <xf numFmtId="0" fontId="24" fillId="7" borderId="24" xfId="0" applyFont="1" applyFill="1" applyBorder="1" applyAlignment="1"/>
    <xf numFmtId="0" fontId="0" fillId="0" borderId="0" xfId="0"/>
    <xf numFmtId="0" fontId="0" fillId="0" borderId="0" xfId="0"/>
    <xf numFmtId="0" fontId="9" fillId="5" borderId="30" xfId="0" applyFont="1" applyFill="1" applyBorder="1"/>
    <xf numFmtId="0" fontId="28" fillId="5" borderId="30" xfId="58" applyNumberFormat="1" applyFont="1" applyFill="1" applyBorder="1" applyAlignment="1">
      <alignment horizontal="right"/>
    </xf>
    <xf numFmtId="43" fontId="9" fillId="5" borderId="0" xfId="58" applyFont="1" applyFill="1" applyBorder="1"/>
    <xf numFmtId="0" fontId="0" fillId="0" borderId="0" xfId="0"/>
    <xf numFmtId="43" fontId="15" fillId="0" borderId="3" xfId="58" applyNumberFormat="1" applyFont="1" applyFill="1" applyBorder="1" applyAlignment="1">
      <alignment horizontal="left"/>
    </xf>
    <xf numFmtId="0" fontId="15" fillId="0" borderId="0" xfId="0" applyFont="1" applyFill="1" applyAlignment="1">
      <alignment horizontal="left"/>
    </xf>
    <xf numFmtId="0" fontId="58" fillId="0" borderId="6" xfId="0" applyFont="1" applyFill="1" applyBorder="1" applyAlignment="1">
      <alignment horizontal="left"/>
    </xf>
    <xf numFmtId="0" fontId="58" fillId="0" borderId="0" xfId="0" applyFont="1" applyFill="1" applyBorder="1" applyAlignment="1">
      <alignment horizontal="left"/>
    </xf>
    <xf numFmtId="0" fontId="58" fillId="0" borderId="2" xfId="0" applyFont="1" applyFill="1" applyBorder="1" applyAlignment="1">
      <alignment horizontal="left"/>
    </xf>
    <xf numFmtId="0" fontId="58" fillId="0" borderId="2" xfId="0" applyFont="1" applyFill="1" applyBorder="1" applyAlignment="1">
      <alignment horizontal="left" vertical="center"/>
    </xf>
    <xf numFmtId="43" fontId="58" fillId="0" borderId="2" xfId="58" applyNumberFormat="1" applyFont="1" applyFill="1" applyBorder="1" applyAlignment="1">
      <alignment horizontal="left"/>
    </xf>
    <xf numFmtId="0" fontId="15" fillId="0" borderId="3" xfId="0" applyFont="1" applyFill="1" applyBorder="1" applyAlignment="1">
      <alignment horizontal="left" vertical="center"/>
    </xf>
    <xf numFmtId="0" fontId="39" fillId="8" borderId="0" xfId="0" applyFont="1" applyFill="1"/>
    <xf numFmtId="0" fontId="24" fillId="6" borderId="17" xfId="0" applyFont="1" applyFill="1" applyBorder="1" applyAlignment="1">
      <alignment vertical="center"/>
    </xf>
    <xf numFmtId="0" fontId="23" fillId="5" borderId="0" xfId="0" applyNumberFormat="1" applyFont="1" applyFill="1" applyBorder="1" applyAlignment="1">
      <alignment horizontal="right"/>
    </xf>
    <xf numFmtId="1" fontId="23" fillId="5" borderId="0" xfId="0" applyNumberFormat="1" applyFont="1" applyFill="1" applyBorder="1" applyAlignment="1">
      <alignment horizontal="right"/>
    </xf>
    <xf numFmtId="0" fontId="0" fillId="5" borderId="0" xfId="0" applyFont="1" applyFill="1" applyBorder="1" applyAlignment="1">
      <alignment horizontal="left" indent="2"/>
    </xf>
    <xf numFmtId="0" fontId="4" fillId="6" borderId="0" xfId="733" applyFill="1"/>
    <xf numFmtId="0" fontId="61" fillId="8" borderId="0" xfId="0" applyFont="1" applyFill="1"/>
    <xf numFmtId="0" fontId="0" fillId="6" borderId="17" xfId="0" applyFill="1" applyBorder="1"/>
    <xf numFmtId="0" fontId="16" fillId="6" borderId="0" xfId="0" applyFont="1" applyFill="1"/>
    <xf numFmtId="0" fontId="21" fillId="10" borderId="0" xfId="0" applyFont="1" applyFill="1" applyBorder="1"/>
    <xf numFmtId="0" fontId="60" fillId="8" borderId="0" xfId="733" applyFont="1" applyFill="1"/>
    <xf numFmtId="0" fontId="35" fillId="8" borderId="40" xfId="0" applyFont="1" applyFill="1" applyBorder="1" applyAlignment="1">
      <alignment vertical="center"/>
    </xf>
    <xf numFmtId="0" fontId="35" fillId="8" borderId="40" xfId="0" applyFont="1" applyFill="1" applyBorder="1" applyAlignment="1">
      <alignment horizontal="right" vertical="center"/>
    </xf>
    <xf numFmtId="0" fontId="0" fillId="5" borderId="30" xfId="0" applyFont="1" applyFill="1" applyBorder="1"/>
    <xf numFmtId="166" fontId="9" fillId="5" borderId="0" xfId="0" applyNumberFormat="1" applyFont="1" applyFill="1" applyBorder="1" applyAlignment="1">
      <alignment horizontal="right"/>
    </xf>
    <xf numFmtId="3" fontId="9" fillId="5" borderId="30" xfId="0" applyNumberFormat="1" applyFont="1" applyFill="1" applyBorder="1"/>
    <xf numFmtId="166" fontId="0" fillId="5" borderId="30" xfId="0" applyNumberFormat="1" applyFont="1" applyFill="1" applyBorder="1" applyAlignment="1">
      <alignment horizontal="right"/>
    </xf>
    <xf numFmtId="167" fontId="0" fillId="5" borderId="30" xfId="0" applyNumberFormat="1" applyFont="1" applyFill="1" applyBorder="1" applyAlignment="1">
      <alignment horizontal="right"/>
    </xf>
    <xf numFmtId="0" fontId="9" fillId="5" borderId="30" xfId="0" applyFont="1" applyFill="1" applyBorder="1" applyAlignment="1">
      <alignment horizontal="left" indent="1"/>
    </xf>
    <xf numFmtId="0" fontId="0" fillId="5" borderId="0" xfId="0" applyFill="1" applyAlignment="1">
      <alignment wrapText="1"/>
    </xf>
    <xf numFmtId="0" fontId="9" fillId="5" borderId="0" xfId="0" applyFont="1" applyFill="1" applyAlignment="1">
      <alignment wrapText="1"/>
    </xf>
    <xf numFmtId="165" fontId="9" fillId="5" borderId="0" xfId="0" applyNumberFormat="1" applyFont="1" applyFill="1" applyBorder="1"/>
    <xf numFmtId="0" fontId="0" fillId="0" borderId="0" xfId="0"/>
    <xf numFmtId="166" fontId="1" fillId="5" borderId="0" xfId="58" applyNumberFormat="1" applyFont="1" applyFill="1" applyBorder="1" applyAlignment="1">
      <alignment horizontal="right" indent="2"/>
    </xf>
    <xf numFmtId="166" fontId="1" fillId="5" borderId="30" xfId="58" applyNumberFormat="1" applyFont="1" applyFill="1" applyBorder="1" applyAlignment="1">
      <alignment horizontal="right" indent="2"/>
    </xf>
    <xf numFmtId="166" fontId="9" fillId="5" borderId="0" xfId="58" applyNumberFormat="1" applyFont="1" applyFill="1" applyBorder="1" applyAlignment="1">
      <alignment horizontal="right" indent="2"/>
    </xf>
    <xf numFmtId="0" fontId="0" fillId="0" borderId="0" xfId="0"/>
    <xf numFmtId="11" fontId="16" fillId="5" borderId="0" xfId="0" applyNumberFormat="1" applyFont="1" applyFill="1" applyBorder="1"/>
    <xf numFmtId="14" fontId="15" fillId="0" borderId="2" xfId="0" applyNumberFormat="1" applyFont="1" applyFill="1" applyBorder="1" applyAlignment="1">
      <alignment horizontal="left"/>
    </xf>
    <xf numFmtId="14" fontId="15" fillId="0" borderId="6" xfId="0" applyNumberFormat="1" applyFont="1" applyFill="1" applyBorder="1" applyAlignment="1">
      <alignment horizontal="left"/>
    </xf>
    <xf numFmtId="0" fontId="15" fillId="0" borderId="1" xfId="0" applyFont="1" applyFill="1" applyBorder="1" applyAlignment="1">
      <alignment horizontal="left"/>
    </xf>
    <xf numFmtId="43" fontId="15" fillId="0" borderId="2" xfId="58" applyFont="1" applyFill="1" applyBorder="1" applyAlignment="1">
      <alignment horizontal="left"/>
    </xf>
    <xf numFmtId="43" fontId="15" fillId="0" borderId="3" xfId="58" applyFont="1" applyFill="1" applyBorder="1" applyAlignment="1">
      <alignment horizontal="left"/>
    </xf>
    <xf numFmtId="0" fontId="15" fillId="0" borderId="9" xfId="0" applyFont="1" applyFill="1" applyBorder="1" applyAlignment="1">
      <alignment horizontal="left"/>
    </xf>
    <xf numFmtId="0" fontId="58" fillId="0" borderId="2" xfId="0" applyNumberFormat="1" applyFont="1" applyFill="1" applyBorder="1" applyAlignment="1">
      <alignment horizontal="left"/>
    </xf>
    <xf numFmtId="0" fontId="58" fillId="0" borderId="1" xfId="0" applyNumberFormat="1" applyFont="1" applyFill="1" applyBorder="1" applyAlignment="1">
      <alignment horizontal="left"/>
    </xf>
    <xf numFmtId="43" fontId="58" fillId="0" borderId="2" xfId="58" applyFont="1" applyFill="1" applyBorder="1" applyAlignment="1">
      <alignment horizontal="left"/>
    </xf>
    <xf numFmtId="0" fontId="58" fillId="0" borderId="3" xfId="0" applyNumberFormat="1" applyFont="1" applyFill="1" applyBorder="1" applyAlignment="1">
      <alignment horizontal="left"/>
    </xf>
    <xf numFmtId="43" fontId="58" fillId="0" borderId="3" xfId="58" applyNumberFormat="1" applyFont="1" applyFill="1" applyBorder="1" applyAlignment="1">
      <alignment horizontal="left"/>
    </xf>
    <xf numFmtId="0" fontId="58" fillId="0" borderId="9" xfId="0" applyNumberFormat="1" applyFont="1" applyFill="1" applyBorder="1" applyAlignment="1">
      <alignment horizontal="left"/>
    </xf>
    <xf numFmtId="14" fontId="15" fillId="0" borderId="3" xfId="0" applyNumberFormat="1" applyFont="1" applyFill="1" applyBorder="1" applyAlignment="1">
      <alignment horizontal="left"/>
    </xf>
    <xf numFmtId="14" fontId="15" fillId="0" borderId="0" xfId="0" applyNumberFormat="1" applyFont="1" applyFill="1" applyBorder="1" applyAlignment="1">
      <alignment horizontal="left"/>
    </xf>
    <xf numFmtId="14" fontId="58" fillId="0" borderId="2" xfId="0" applyNumberFormat="1" applyFont="1" applyFill="1" applyBorder="1" applyAlignment="1">
      <alignment horizontal="left"/>
    </xf>
    <xf numFmtId="0" fontId="63" fillId="0" borderId="0" xfId="0" applyFont="1" applyFill="1" applyAlignment="1">
      <alignment horizontal="left"/>
    </xf>
    <xf numFmtId="0" fontId="0" fillId="0" borderId="0" xfId="0"/>
    <xf numFmtId="0" fontId="4" fillId="0" borderId="0" xfId="733"/>
    <xf numFmtId="164" fontId="13" fillId="0" borderId="0" xfId="0" applyNumberFormat="1" applyFont="1" applyAlignment="1">
      <alignment horizontal="right"/>
    </xf>
    <xf numFmtId="0" fontId="64" fillId="8" borderId="0" xfId="0" applyFont="1" applyFill="1"/>
    <xf numFmtId="0" fontId="0" fillId="5" borderId="0" xfId="0" applyFill="1" applyBorder="1" applyProtection="1"/>
    <xf numFmtId="0" fontId="0" fillId="3" borderId="20" xfId="0" applyFill="1" applyBorder="1" applyAlignment="1" applyProtection="1">
      <alignment horizontal="right"/>
    </xf>
    <xf numFmtId="0" fontId="0" fillId="4" borderId="20" xfId="0" applyFill="1" applyBorder="1" applyAlignment="1" applyProtection="1">
      <alignment horizontal="right"/>
    </xf>
    <xf numFmtId="0" fontId="0" fillId="5" borderId="0" xfId="0" applyFont="1" applyFill="1" applyBorder="1" applyAlignment="1" applyProtection="1">
      <alignment horizontal="right"/>
    </xf>
    <xf numFmtId="0" fontId="0" fillId="3" borderId="10" xfId="0" applyFill="1" applyBorder="1" applyAlignment="1" applyProtection="1">
      <alignment horizontal="right"/>
    </xf>
    <xf numFmtId="0" fontId="0" fillId="4" borderId="10" xfId="0" applyFill="1" applyBorder="1" applyAlignment="1" applyProtection="1">
      <alignment horizontal="right"/>
    </xf>
    <xf numFmtId="0" fontId="0" fillId="5" borderId="0" xfId="0" applyFill="1" applyBorder="1" applyAlignment="1" applyProtection="1">
      <alignment horizontal="right"/>
    </xf>
    <xf numFmtId="0" fontId="0" fillId="6" borderId="20" xfId="0" applyFill="1" applyBorder="1" applyAlignment="1" applyProtection="1">
      <alignment horizontal="right"/>
    </xf>
    <xf numFmtId="0" fontId="24" fillId="7" borderId="23" xfId="0" applyFont="1" applyFill="1" applyBorder="1" applyAlignment="1">
      <alignment horizontal="center"/>
    </xf>
    <xf numFmtId="0" fontId="24" fillId="7" borderId="25" xfId="0" applyFont="1" applyFill="1" applyBorder="1" applyAlignment="1">
      <alignment horizontal="center"/>
    </xf>
    <xf numFmtId="0" fontId="24" fillId="7" borderId="24" xfId="0" applyFont="1" applyFill="1" applyBorder="1" applyAlignment="1">
      <alignment horizontal="center"/>
    </xf>
    <xf numFmtId="0" fontId="36" fillId="9" borderId="23" xfId="0" applyFont="1" applyFill="1" applyBorder="1" applyAlignment="1">
      <alignment horizontal="center"/>
    </xf>
    <xf numFmtId="0" fontId="36" fillId="9" borderId="25" xfId="0" applyFont="1" applyFill="1" applyBorder="1" applyAlignment="1">
      <alignment horizontal="center"/>
    </xf>
    <xf numFmtId="0" fontId="36" fillId="9" borderId="36" xfId="0" applyFont="1" applyFill="1" applyBorder="1" applyAlignment="1">
      <alignment horizontal="center"/>
    </xf>
    <xf numFmtId="0" fontId="0" fillId="5" borderId="0" xfId="0" applyFill="1" applyAlignment="1">
      <alignment wrapText="1"/>
    </xf>
    <xf numFmtId="0" fontId="31" fillId="5" borderId="30" xfId="0" applyFont="1" applyFill="1" applyBorder="1" applyAlignment="1">
      <alignment horizontal="center"/>
    </xf>
    <xf numFmtId="11" fontId="0" fillId="6" borderId="20" xfId="0" applyNumberFormat="1" applyFont="1" applyFill="1" applyBorder="1" applyAlignment="1">
      <alignment horizontal="center"/>
    </xf>
    <xf numFmtId="11" fontId="0" fillId="6" borderId="22" xfId="0" applyNumberFormat="1" applyFont="1" applyFill="1" applyBorder="1" applyAlignment="1">
      <alignment horizontal="center"/>
    </xf>
    <xf numFmtId="0" fontId="24" fillId="5" borderId="11" xfId="0" applyFont="1" applyFill="1" applyBorder="1" applyAlignment="1">
      <alignment horizontal="center" vertical="center"/>
    </xf>
    <xf numFmtId="0" fontId="24" fillId="5" borderId="12" xfId="0" applyFont="1" applyFill="1" applyBorder="1" applyAlignment="1">
      <alignment horizontal="center" vertical="center"/>
    </xf>
    <xf numFmtId="0" fontId="24" fillId="5" borderId="13" xfId="0" applyFont="1" applyFill="1" applyBorder="1" applyAlignment="1">
      <alignment horizontal="center" vertical="center"/>
    </xf>
    <xf numFmtId="0" fontId="29" fillId="6" borderId="30" xfId="0" applyFont="1" applyFill="1" applyBorder="1" applyAlignment="1">
      <alignment horizontal="center"/>
    </xf>
    <xf numFmtId="0" fontId="29" fillId="5" borderId="30" xfId="0" applyFont="1" applyFill="1" applyBorder="1" applyAlignment="1">
      <alignment horizontal="center"/>
    </xf>
    <xf numFmtId="0" fontId="24" fillId="6" borderId="17" xfId="0" applyFont="1" applyFill="1" applyBorder="1" applyAlignment="1">
      <alignment horizontal="center" vertical="center"/>
    </xf>
    <xf numFmtId="0" fontId="24" fillId="7" borderId="11" xfId="0" applyFont="1" applyFill="1" applyBorder="1" applyAlignment="1">
      <alignment horizontal="center"/>
    </xf>
    <xf numFmtId="0" fontId="24" fillId="7" borderId="12" xfId="0" applyFont="1" applyFill="1" applyBorder="1" applyAlignment="1">
      <alignment horizontal="center"/>
    </xf>
    <xf numFmtId="0" fontId="24" fillId="7" borderId="13" xfId="0" applyFont="1" applyFill="1" applyBorder="1" applyAlignment="1">
      <alignment horizontal="center"/>
    </xf>
    <xf numFmtId="0" fontId="0" fillId="6" borderId="22" xfId="0" applyFont="1" applyFill="1" applyBorder="1" applyAlignment="1">
      <alignment horizontal="center"/>
    </xf>
    <xf numFmtId="0" fontId="24" fillId="5" borderId="17" xfId="0" applyFont="1" applyFill="1" applyBorder="1" applyAlignment="1">
      <alignment horizontal="center"/>
    </xf>
    <xf numFmtId="0" fontId="24" fillId="5" borderId="0" xfId="0" applyFont="1" applyFill="1" applyBorder="1" applyAlignment="1">
      <alignment horizontal="center"/>
    </xf>
    <xf numFmtId="0" fontId="9" fillId="5" borderId="0" xfId="0" applyFont="1" applyFill="1" applyBorder="1" applyAlignment="1">
      <alignment wrapText="1"/>
    </xf>
    <xf numFmtId="0" fontId="13" fillId="0" borderId="0" xfId="0" applyFont="1" applyFill="1" applyAlignment="1">
      <alignment horizontal="left" vertical="top" wrapText="1"/>
    </xf>
    <xf numFmtId="0" fontId="0" fillId="0" borderId="0" xfId="0"/>
    <xf numFmtId="0" fontId="13" fillId="0" borderId="0" xfId="0" applyFont="1" applyFill="1" applyAlignment="1">
      <alignment horizontal="left"/>
    </xf>
    <xf numFmtId="0" fontId="11" fillId="0" borderId="0" xfId="0" applyFont="1" applyFill="1" applyAlignment="1">
      <alignment horizontal="left"/>
    </xf>
  </cellXfs>
  <cellStyles count="734">
    <cellStyle name="Bad" xfId="47" builtinId="27"/>
    <cellStyle name="Comma" xfId="58" builtinId="3"/>
    <cellStyle name="Comma 8" xfId="59" xr:uid="{00000000-0005-0000-0000-000002000000}"/>
    <cellStyle name="Comma 9" xfId="173" xr:uid="{00000000-0005-0000-0000-000003000000}"/>
    <cellStyle name="Currency" xfId="56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3" builtinId="8"/>
    <cellStyle name="Normal" xfId="0" builtinId="0"/>
    <cellStyle name="Normal 35" xfId="298" xr:uid="{00000000-0005-0000-0000-0000DA020000}"/>
    <cellStyle name="Percent" xfId="732" builtinId="5"/>
    <cellStyle name="Percent 5" xfId="172" xr:uid="{00000000-0005-0000-0000-0000DC020000}"/>
  </cellStyles>
  <dxfs count="230">
    <dxf>
      <numFmt numFmtId="165" formatCode="0.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scheme val="minor"/>
      </font>
    </dxf>
    <dxf>
      <numFmt numFmtId="1" formatCode="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numFmt numFmtId="0" formatCode="General"/>
    </dxf>
    <dxf>
      <numFmt numFmtId="35" formatCode="_(* #,##0.00_);_(* \(#,##0.00\);_(* &quot;-&quot;??_);_(@_)"/>
    </dxf>
    <dxf>
      <numFmt numFmtId="35" formatCode="_(* #,##0.00_);_(* \(#,##0.00\);_(* &quot;-&quot;??_);_(@_)"/>
    </dxf>
    <dxf>
      <numFmt numFmtId="13" formatCode="0%"/>
    </dxf>
    <dxf>
      <numFmt numFmtId="13" formatCode="0%"/>
    </dxf>
    <dxf>
      <numFmt numFmtId="2" formatCode="0.00"/>
    </dxf>
    <dxf>
      <numFmt numFmtId="13" formatCode="0%"/>
    </dxf>
    <dxf>
      <numFmt numFmtId="0" formatCode="General"/>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172" formatCode="m/d/yy"/>
      <fill>
        <patternFill patternType="none">
          <fgColor indexed="64"/>
          <bgColor indexed="65"/>
        </patternFill>
      </fill>
      <alignment horizontal="left" textRotation="0" wrapText="0" indent="0" justifyLastLine="0" shrinkToFit="0" readingOrder="0"/>
      <border diagonalUp="0" diagonalDown="0" outline="0">
        <left/>
        <right/>
        <top style="thin">
          <color theme="0"/>
        </top>
        <bottom/>
      </border>
    </dxf>
    <dxf>
      <font>
        <b val="0"/>
        <i val="0"/>
        <strike val="0"/>
        <condense val="0"/>
        <extend val="0"/>
        <outline val="0"/>
        <shadow val="0"/>
        <u val="none"/>
        <vertAlign val="baseline"/>
        <sz val="12"/>
        <color auto="1"/>
        <name val="Calibri"/>
        <scheme val="minor"/>
      </font>
      <numFmt numFmtId="172" formatCode="m/d/yy"/>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indexed="65"/>
        </patternFill>
      </fill>
      <alignment horizontal="left" vertical="bottom"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theme="0"/>
        </left>
        <right/>
        <top style="thin">
          <color theme="0"/>
        </top>
        <bottom/>
      </border>
    </dxf>
    <dxf>
      <font>
        <strike val="0"/>
        <outline val="0"/>
        <shadow val="0"/>
        <u val="none"/>
        <vertAlign val="baseline"/>
        <sz val="12"/>
        <color auto="1"/>
        <name val="Calibri"/>
        <scheme val="minor"/>
      </font>
      <fill>
        <patternFill patternType="none">
          <fgColor indexed="64"/>
          <bgColor indexed="65"/>
        </patternFill>
      </fill>
      <alignment horizontal="left"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alignment horizontal="left"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4506668294322"/>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bgColor theme="5" tint="0.3999450666829432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ill>
        <patternFill>
          <bgColor theme="5" tint="0.39994506668294322"/>
        </patternFill>
      </fill>
    </dxf>
    <dxf>
      <fill>
        <patternFill>
          <bgColor theme="5" tint="0.39994506668294322"/>
        </patternFill>
      </fill>
    </dxf>
    <dxf>
      <fill>
        <patternFill>
          <bgColor theme="5" tint="0.39994506668294322"/>
        </patternFill>
      </fill>
    </dxf>
    <dxf>
      <font>
        <color theme="1" tint="0.34998626667073579"/>
      </font>
      <fill>
        <patternFill>
          <bgColor theme="0" tint="-0.149967955565050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s>
  <tableStyles count="0" defaultTableStyle="TableStyleMedium9" defaultPivotStyle="PivotStyleMedium4"/>
  <colors>
    <mruColors>
      <color rgb="FF215967"/>
      <color rgb="FF810D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RawMaterials" displayName="RawMaterials" ref="A15:AM621" totalsRowShown="0" headerRowDxfId="107" dataDxfId="106">
  <autoFilter ref="A15:AM621" xr:uid="{00000000-0009-0000-0100-000006000000}"/>
  <sortState xmlns:xlrd2="http://schemas.microsoft.com/office/spreadsheetml/2017/richdata2" ref="A16:AM621">
    <sortCondition ref="A15:A621"/>
  </sortState>
  <tableColumns count="39">
    <tableColumn id="1" xr3:uid="{00000000-0010-0000-0000-000001000000}" name="Material Name" dataDxfId="105"/>
    <tableColumn id="2" xr3:uid="{00000000-0010-0000-0000-000002000000}" name="Material Type" dataDxfId="104"/>
    <tableColumn id="3" xr3:uid="{00000000-0010-0000-0000-000003000000}" name="MW (g/mol)" dataDxfId="103"/>
    <tableColumn id="4" xr3:uid="{00000000-0010-0000-0000-000004000000}" name="Density (g/mL)" dataDxfId="102"/>
    <tableColumn id="5" xr3:uid="{00000000-0010-0000-0000-000005000000}" name="Concentration (%)" dataDxfId="101"/>
    <tableColumn id="6" xr3:uid="{00000000-0010-0000-0000-000006000000}" name="Lab-Scale Log Fit?" dataDxfId="100"/>
    <tableColumn id="7" xr3:uid="{00000000-0010-0000-0000-000007000000}" name="Lab Quantity 1" dataDxfId="99"/>
    <tableColumn id="8" xr3:uid="{00000000-0010-0000-0000-000008000000}" name="Lab Quantity 2" dataDxfId="98"/>
    <tableColumn id="9" xr3:uid="{00000000-0010-0000-0000-000009000000}" name="Lab Quantity 3" dataDxfId="97"/>
    <tableColumn id="10" xr3:uid="{00000000-0010-0000-0000-00000A000000}" name="Lab Quantity 4" dataDxfId="96"/>
    <tableColumn id="11" xr3:uid="{00000000-0010-0000-0000-00000B000000}" name="Lab Units" dataDxfId="95"/>
    <tableColumn id="12" xr3:uid="{00000000-0010-0000-0000-00000C000000}" name="Lab Price 1" dataDxfId="94"/>
    <tableColumn id="13" xr3:uid="{00000000-0010-0000-0000-00000D000000}" name="Lab Price 2" dataDxfId="93"/>
    <tableColumn id="14" xr3:uid="{00000000-0010-0000-0000-00000E000000}" name="Lab Price 3" dataDxfId="92"/>
    <tableColumn id="15" xr3:uid="{00000000-0010-0000-0000-00000F000000}" name="Lab Price 4" dataDxfId="91"/>
    <tableColumn id="29" xr3:uid="{00000000-0010-0000-0000-00001D000000}" name="Bulk Quote Price ($)" dataDxfId="90" dataCellStyle="Comma"/>
    <tableColumn id="30" xr3:uid="{00000000-0010-0000-0000-00001E000000}" name="Bulk Quote Quantity" dataDxfId="89"/>
    <tableColumn id="31" xr3:uid="{00000000-0010-0000-0000-00001F000000}" name="Bulk Quote Units" dataDxfId="88"/>
    <tableColumn id="32" xr3:uid="{00000000-0010-0000-0000-000020000000}" name="Quote Year" dataDxfId="87"/>
    <tableColumn id="33" xr3:uid="{00000000-0010-0000-0000-000021000000}" name="Quote Source" dataDxfId="86"/>
    <tableColumn id="34" xr3:uid="{00000000-0010-0000-0000-000022000000}" name="Quote Access Date" dataDxfId="85"/>
    <tableColumn id="41" xr3:uid="{00000000-0010-0000-0000-000029000000}" name="Notes" dataDxfId="84"/>
    <tableColumn id="16" xr3:uid="{00000000-0010-0000-0000-000010000000}" name="Lab Quote Count" dataDxfId="83">
      <calculatedColumnFormula>COUNT(RawMaterials[[#This Row],[Lab Quantity 1]:[Lab Quantity 4]])</calculatedColumnFormula>
    </tableColumn>
    <tableColumn id="17" xr3:uid="{00000000-0010-0000-0000-000011000000}" name="Lab Q Model Units 1" dataDxfId="82">
      <calculatedColumnFormula>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calculatedColumnFormula>
    </tableColumn>
    <tableColumn id="18" xr3:uid="{00000000-0010-0000-0000-000012000000}" name="Lab Q Model Units 2" dataDxfId="81">
      <calculatedColumnFormula>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calculatedColumnFormula>
    </tableColumn>
    <tableColumn id="19" xr3:uid="{00000000-0010-0000-0000-000013000000}" name="Lab Q Model Units 3" dataDxfId="80">
      <calculatedColumnFormula>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calculatedColumnFormula>
    </tableColumn>
    <tableColumn id="20" xr3:uid="{00000000-0010-0000-0000-000014000000}" name="Lab Q Model Units 4" dataDxfId="79">
      <calculatedColumnFormula>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calculatedColumnFormula>
    </tableColumn>
    <tableColumn id="21" xr3:uid="{00000000-0010-0000-0000-000015000000}" name="Lab Unit P 1" dataDxfId="78">
      <calculatedColumnFormula>RawMaterials[[#This Row],[Lab Price 1]]/RawMaterials[[#This Row],[Lab Q Model Units 1]]</calculatedColumnFormula>
    </tableColumn>
    <tableColumn id="22" xr3:uid="{00000000-0010-0000-0000-000016000000}" name="Lab Unit P 2" dataDxfId="77">
      <calculatedColumnFormula>RawMaterials[[#This Row],[Lab Price 2]]/RawMaterials[[#This Row],[Lab Q Model Units 2]]</calculatedColumnFormula>
    </tableColumn>
    <tableColumn id="23" xr3:uid="{00000000-0010-0000-0000-000017000000}" name="Lab Unit P 3" dataDxfId="76">
      <calculatedColumnFormula>RawMaterials[[#This Row],[Lab Price 3]]/RawMaterials[[#This Row],[Lab Q Model Units 3]]</calculatedColumnFormula>
    </tableColumn>
    <tableColumn id="24" xr3:uid="{00000000-0010-0000-0000-000018000000}" name="Lab Unit P 4" dataDxfId="75">
      <calculatedColumnFormula>RawMaterials[[#This Row],[Lab Price 4]]/RawMaterials[[#This Row],[Lab Q Model Units 4]]</calculatedColumnFormula>
    </tableColumn>
    <tableColumn id="25" xr3:uid="{00000000-0010-0000-0000-000019000000}" name="Lab Log-Log Slope" dataDxfId="74">
      <calculatedColumnFormula>IF(RawMaterials[[#This Row],[Lab Quote Count]]&gt;1,SLOPE(LOG(INDIRECT("RawMaterials[@[Lab Unit P 1]:[Lab Unit P "&amp;RawMaterials[[#This Row],[Lab Quote Count]]&amp;"]]")),LOG(INDIRECT("RawMaterials[@[Lab Q Model Units 1]:[Lab Q Model Units "&amp;RawMaterials[[#This Row],[Lab Quote Count]]&amp;"]]"))),"")</calculatedColumnFormula>
    </tableColumn>
    <tableColumn id="26" xr3:uid="{00000000-0010-0000-0000-00001A000000}" name="Lab Log-Log Intercept" dataDxfId="73">
      <calculatedColumnFormula>IF(RawMaterials[[#This Row],[Lab Quote Count]]&gt;1,INTERCEPT(LOG(INDIRECT("RawMaterials[@[Lab Unit P 1]:[Lab Unit P "&amp;RawMaterials[[#This Row],[Lab Quote Count]]&amp;"]]")),LOG(INDIRECT("RawMaterials[@[Lab Q Model Units 1]:[Lab Q Model Units "&amp;RawMaterials[[#This Row],[Lab Quote Count]]&amp;"]]"))),"")</calculatedColumnFormula>
    </tableColumn>
    <tableColumn id="27" xr3:uid="{00000000-0010-0000-0000-00001B000000}" name="Basis Cell" dataDxfId="72">
      <calculatedColumnFormula>IF(RawMaterials[[#This Row],[Material Type]]="Metal Precursor","D13",IF(RawMaterials[[#This Row],[Material Type]]="Ligand","D13","D12"))</calculatedColumnFormula>
    </tableColumn>
    <tableColumn id="28" xr3:uid="{00000000-0010-0000-0000-00001C000000}" name="Lab Forecast Unit Price (Output Mass Units)" dataDxfId="71" dataCellStyle="Comma">
      <calculatedColumnFormula>IF(RawMaterials[[#This Row],[Lab Quote Count]]&gt;1,10^RawMaterials[[#This Row],[Lab Log-Log Intercept]]*INDIRECT(RawMaterials[[#This Row],[Basis Cell]])^RawMaterials[[#This Row],[Lab Log-Log Slope]],"&gt;&gt;&gt; Enter 2 or more lab quotes &lt;&lt;&lt;")</calculatedColumnFormula>
    </tableColumn>
    <tableColumn id="37" xr3:uid="{00000000-0010-0000-0000-000025000000}" name="Bulk Quote Quantity in Output Mass Units" dataDxfId="70">
      <calculatedColumnFormula>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calculatedColumnFormula>
    </tableColumn>
    <tableColumn id="38" xr3:uid="{00000000-0010-0000-0000-000026000000}" name="Unit price in quote year" dataDxfId="69" dataCellStyle="Comma">
      <calculatedColumnFormula>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calculatedColumnFormula>
    </tableColumn>
    <tableColumn id="39" xr3:uid="{00000000-0010-0000-0000-000027000000}" name="Unit price" dataDxfId="68" dataCellStyle="Comma">
      <calculatedColumnFormula>IF(ISTEXT(RawMaterials[[#This Row],[Unit price in quote year]]),"Check calcs",RawMaterials[[#This Row],[Unit price in quote year]]/VLOOKUP(RawMaterials[[#This Row],[Quote Year]],ChemPPI[],14,FALSE)*VLOOKUP(BasisYear,ChemPPI[],14,FALSE))</calculatedColumnFormula>
    </tableColumn>
    <tableColumn id="40" xr3:uid="{00000000-0010-0000-0000-000028000000}" name="Unit price dimensions" dataDxfId="67">
      <calculatedColumnFormula>CurrencySymbol&amp;"/"&amp;OutMassUnit&amp;" ("&amp;BasisYear&amp;")"</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4283EC-D4B3-6B46-A8F0-99BF97238AAD}" name="Steps" displayName="Steps" ref="A4:E25" totalsRowShown="0">
  <autoFilter ref="A4:E25" xr:uid="{900DB31D-0C24-F74F-B171-39C55D02093B}"/>
  <sortState xmlns:xlrd2="http://schemas.microsoft.com/office/spreadsheetml/2017/richdata2" ref="A5:E25">
    <sortCondition ref="A4:A25"/>
  </sortState>
  <tableColumns count="5">
    <tableColumn id="1" xr3:uid="{D0769391-293B-0845-BF0F-BA452D5B8804}" name="Step Name"/>
    <tableColumn id="2" xr3:uid="{3AB22856-E5F9-7045-82E4-555A3B89B698}" name="Small (1 ton/day)"/>
    <tableColumn id="3" xr3:uid="{752979D4-5160-2544-AB18-F680AF6263EE}" name="Medium (10 ton/day)"/>
    <tableColumn id="4" xr3:uid="{60B5F1B9-A899-1A41-949C-C2E649702664}" name="Large (150 ton/day)"/>
    <tableColumn id="5" xr3:uid="{05AC202A-CCCE-7A4E-AF36-25505898F24A}"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pent1" displayName="Spent1" ref="A5:V13" totalsRowShown="0" headerRowDxfId="66">
  <autoFilter ref="A5:V13" xr:uid="{00000000-0009-0000-0100-000005000000}"/>
  <tableColumns count="22">
    <tableColumn id="1" xr3:uid="{00000000-0010-0000-0100-000001000000}" name="Support"/>
    <tableColumn id="2" xr3:uid="{00000000-0010-0000-0100-000002000000}" name="Fixed bed: Loss of support in use, low, %" dataDxfId="65"/>
    <tableColumn id="15" xr3:uid="{0187E017-54FE-3143-8DEF-0037C282D222}" name="Fixed bed: Loss of support in use, high, %" dataDxfId="64"/>
    <tableColumn id="16" xr3:uid="{DFB9E1D9-5F3F-7145-8AAC-5BDCF732DB50}" name="Fixed bed: Loss of support in use, ave, %" dataDxfId="63"/>
    <tableColumn id="3" xr3:uid="{00000000-0010-0000-0100-000003000000}" name="Fixed bed: Loss of metal in use, low, %" dataDxfId="62"/>
    <tableColumn id="17" xr3:uid="{CFDC113C-0680-F54D-BBE8-E3A81CB00FBF}" name="Fixed bed: Loss of metal in use, high, %" dataDxfId="61"/>
    <tableColumn id="18" xr3:uid="{22BA5559-C940-6444-BA81-D98A7BC14D3F}" name="Fixed bed: Loss of metal in use, ave, %" dataDxfId="60"/>
    <tableColumn id="4" xr3:uid="{00000000-0010-0000-0100-000004000000}" name="Slurry/fluidized bed: Loss of support in use, low, %" dataDxfId="59"/>
    <tableColumn id="19" xr3:uid="{0F7CD308-5A8B-044D-A88A-2EC1DE06E122}" name="Slurry/fluidized bed: Loss of support in use, high, %" dataDxfId="58"/>
    <tableColumn id="20" xr3:uid="{BC8FEF08-78A5-ED47-B395-55ADA103A675}" name="Slurry/fluidized bed: Loss of support in use, ave, %" dataDxfId="57"/>
    <tableColumn id="5" xr3:uid="{00000000-0010-0000-0100-000005000000}" name="Slurry/fluidized bed: Loss of metal in use, low, %" dataDxfId="56"/>
    <tableColumn id="21" xr3:uid="{BB80297E-FF34-2249-AD5D-2E76301B2AFD}" name="Slurry/fluidized bed: Loss of metal in use, high, %" dataDxfId="55"/>
    <tableColumn id="22" xr3:uid="{DCF994D1-DA9E-0A48-A8E6-A4F9709738B7}" name="Slurry/fluidized bed: Loss of metal in use, ave, %" dataDxfId="54"/>
    <tableColumn id="6" xr3:uid="{00000000-0010-0000-0100-000006000000}" name="Thermal ox. fee, low, $/lb" dataDxfId="53"/>
    <tableColumn id="7" xr3:uid="{00000000-0010-0000-0100-000007000000}" name="Thermal ox. fee, high, $/lb" dataDxfId="52"/>
    <tableColumn id="8" xr3:uid="{00000000-0010-0000-0100-000008000000}" name="Thermal ox. fee, ave, $/lb" dataDxfId="51">
      <calculatedColumnFormula>AVERAGE(N6:O6)</calculatedColumnFormula>
    </tableColumn>
    <tableColumn id="9" xr3:uid="{00000000-0010-0000-0100-000009000000}" name="Incoming fee, low, $/ft3" dataDxfId="50"/>
    <tableColumn id="10" xr3:uid="{00000000-0010-0000-0100-00000A000000}" name="Incoming fee, high, $/ft3" dataDxfId="49"/>
    <tableColumn id="11" xr3:uid="{00000000-0010-0000-0100-00000B000000}" name="Incoming fee, ave, $/ft3" dataDxfId="48">
      <calculatedColumnFormula>AVERAGE(Q6:R6)</calculatedColumnFormula>
    </tableColumn>
    <tableColumn id="12" xr3:uid="{00000000-0010-0000-0100-00000C000000}" name="Metal contaminant fee, low, $/ft3" dataDxfId="47"/>
    <tableColumn id="13" xr3:uid="{00000000-0010-0000-0100-00000D000000}" name="Metal contaminant fee, high, $/ft3" dataDxfId="46"/>
    <tableColumn id="14" xr3:uid="{00000000-0010-0000-0100-00000E000000}" name="Metal contaminant fee, ave, $/ft3" dataDxfId="45">
      <calculatedColumnFormula>AVERAGE(T6:U6)</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Spent2" displayName="Spent2" ref="A16:N30" totalsRowShown="0" headerRowDxfId="44">
  <autoFilter ref="A16:N30" xr:uid="{00000000-0009-0000-0100-000007000000}"/>
  <tableColumns count="14">
    <tableColumn id="1" xr3:uid="{00000000-0010-0000-0200-000001000000}" name="Metal"/>
    <tableColumn id="2" xr3:uid="{00000000-0010-0000-0200-000002000000}" name="Loss during refining, low, %" dataDxfId="43"/>
    <tableColumn id="3" xr3:uid="{00000000-0010-0000-0200-000003000000}" name="Loss during refining, high, %" dataDxfId="42"/>
    <tableColumn id="4" xr3:uid="{00000000-0010-0000-0200-000004000000}" name="Loss during refining, ave, %" dataDxfId="41"/>
    <tableColumn id="5" xr3:uid="{00000000-0010-0000-0200-000005000000}" name="Refining charge, $/troy oz recovered" dataDxfId="40"/>
    <tableColumn id="6" xr3:uid="{00000000-0010-0000-0200-000006000000}" name="PGM/Noble (Refining charge yes/no)" dataDxfId="39"/>
    <tableColumn id="7" xr3:uid="{00000000-0010-0000-0200-000007000000}" name="Note" dataDxfId="38"/>
    <tableColumn id="8" xr3:uid="{00000000-0010-0000-0200-000008000000}" name="Spot Price ($)" dataDxfId="37"/>
    <tableColumn id="9" xr3:uid="{00000000-0010-0000-0200-000009000000}" name="Unit" dataDxfId="36"/>
    <tableColumn id="10" xr3:uid="{00000000-0010-0000-0200-00000A000000}" name="Year"/>
    <tableColumn id="11" xr3:uid="{00000000-0010-0000-0200-00000B000000}" name="Source" dataDxfId="35"/>
    <tableColumn id="12" xr3:uid="{00000000-0010-0000-0200-00000C000000}" name="Price $ / Model Mass Unit" dataDxfId="34">
      <calculatedColumnFormula>Spent2[[#This Row],[Spot Price ($)]]*VLOOKUP(OutMassUnit,UnitConv[],5,FALSE)/VLOOKUP(Spent2[[#This Row],[Unit]],UnitConv[],5,FALSE)</calculatedColumnFormula>
    </tableColumn>
    <tableColumn id="13" xr3:uid="{00000000-0010-0000-0200-00000D000000}" name="Price Scaled to Basis Year" dataDxfId="33">
      <calculatedColumnFormula>Spent2[[#This Row],[Price $ / Model Mass Unit]]/VLOOKUP(Spent2[[#This Row],[Year]],ChemPPI[],14,FALSE)*VLOOKUP(BasisYear,ChemPPI[],14,FALSE)</calculatedColumnFormula>
    </tableColumn>
    <tableColumn id="14" xr3:uid="{00000000-0010-0000-0200-00000E000000}" name="Units" dataDxfId="32">
      <calculatedColumnFormula>CurrencySymbol&amp;"/"&amp;OutMassUnit&amp;" ("&amp;BasisYear&amp;")"</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pent3" displayName="Spent3" ref="A33:H37" totalsRowShown="0" headerRowDxfId="31">
  <autoFilter ref="A33:H37" xr:uid="{00000000-0009-0000-0100-000008000000}"/>
  <tableColumns count="8">
    <tableColumn id="1" xr3:uid="{00000000-0010-0000-0300-000001000000}" name="Catalyst Hazard Class"/>
    <tableColumn id="2" xr3:uid="{00000000-0010-0000-0300-000002000000}" name="Landfill fee, low, $/lb"/>
    <tableColumn id="3" xr3:uid="{00000000-0010-0000-0300-000003000000}" name="Landfill fee, high, $/lb"/>
    <tableColumn id="4" xr3:uid="{00000000-0010-0000-0300-000004000000}" name="Landfill fee, ave, $/lb">
      <calculatedColumnFormula>AVERAGE(B34:C34)</calculatedColumnFormula>
    </tableColumn>
    <tableColumn id="5" xr3:uid="{00000000-0010-0000-0300-000005000000}" name="Sale value, low, $/lb"/>
    <tableColumn id="6" xr3:uid="{00000000-0010-0000-0300-000006000000}" name="Sale value, high, $/lb"/>
    <tableColumn id="7" xr3:uid="{00000000-0010-0000-0300-000007000000}" name="Sale value, ave, $/lb"/>
    <tableColumn id="8" xr3:uid="{00000000-0010-0000-0300-000008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pent4" displayName="Spent4" ref="A40:D51" totalsRowShown="0" headerRowDxfId="30">
  <autoFilter ref="A40:D51" xr:uid="{00000000-0009-0000-0100-000009000000}"/>
  <sortState xmlns:xlrd2="http://schemas.microsoft.com/office/spreadsheetml/2017/richdata2" ref="A41:D51">
    <sortCondition ref="A40:A51"/>
  </sortState>
  <tableColumns count="4">
    <tableColumn id="1" xr3:uid="{00000000-0010-0000-0400-000001000000}" name="Catalyst"/>
    <tableColumn id="2" xr3:uid="{00000000-0010-0000-0400-000002000000}" name="ρ (lb/ft3)"/>
    <tableColumn id="3" xr3:uid="{00000000-0010-0000-0400-000003000000}" name="ρ (kg/m3)" dataDxfId="29">
      <calculatedColumnFormula>Spent4[[#This Row],[ρ (lb/ft3)]]*0.45359237/28.31684659*1000</calculatedColumnFormula>
    </tableColumn>
    <tableColumn id="4" xr3:uid="{00000000-0010-0000-0400-000004000000}" name="Note"/>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Spent5" displayName="Spent5" ref="A54:C62" totalsRowShown="0" headerRowDxfId="28">
  <autoFilter ref="A54:C62" xr:uid="{00000000-0009-0000-0100-000003000000}"/>
  <tableColumns count="3">
    <tableColumn id="1" xr3:uid="{00000000-0010-0000-0500-000001000000}" name="Metal"/>
    <tableColumn id="2" xr3:uid="{00000000-0010-0000-0500-000002000000}" name="TCLP Limit, mg/L"/>
    <tableColumn id="3" xr3:uid="{00000000-0010-0000-0500-000003000000}" name="Estimated Concentration in Catalyst, w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UnitConv" displayName="UnitConv" ref="A3:I21" totalsRowShown="0" headerRowDxfId="27" dataDxfId="26">
  <autoFilter ref="A3:I21" xr:uid="{00000000-0009-0000-0100-000001000000}"/>
  <tableColumns count="9">
    <tableColumn id="1" xr3:uid="{00000000-0010-0000-0700-000001000000}" name="Unit" dataDxfId="25"/>
    <tableColumn id="2" xr3:uid="{00000000-0010-0000-0700-000002000000}" name="Full name" dataDxfId="24"/>
    <tableColumn id="3" xr3:uid="{00000000-0010-0000-0700-000003000000}" name="Definition" dataDxfId="23"/>
    <tableColumn id="4" xr3:uid="{00000000-0010-0000-0700-000004000000}" name="Unit of mass/weight" dataDxfId="22"/>
    <tableColumn id="6" xr3:uid="{00000000-0010-0000-0700-000006000000}" name="Size in kg" dataDxfId="21"/>
    <tableColumn id="7" xr3:uid="{00000000-0010-0000-0700-000007000000}" name="Unit of volume" dataDxfId="20">
      <calculatedColumnFormula>IF(UnitConv[[#This Row],[Unit of mass/weight]]="Yes","No",IF(UnitConv[[#This Row],[Unit of mass/weight]]="No","Yes","Error"))</calculatedColumnFormula>
    </tableColumn>
    <tableColumn id="9" xr3:uid="{00000000-0010-0000-0700-000009000000}" name="Size in L" dataDxfId="19"/>
    <tableColumn id="10" xr3:uid="{00000000-0010-0000-0700-00000A000000}" name="MassNames" dataDxfId="18">
      <calculatedColumnFormula>IF(UnitConv[[#This Row],[Unit of mass/weight]]="Yes",UnitConv[[#This Row],[Unit]],"")</calculatedColumnFormula>
    </tableColumn>
    <tableColumn id="11" xr3:uid="{00000000-0010-0000-0700-00000B000000}" name="VolNames" dataDxfId="17">
      <calculatedColumnFormula>IF(UnitConv[[#This Row],[Unit of volume]]="Yes",UnitConv[[#This Row],[Unit]],"")</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ChemPPI" displayName="ChemPPI" ref="A16:N53" totalsRowShown="0" headerRowDxfId="16" dataDxfId="14" headerRowBorderDxfId="15">
  <autoFilter ref="A16:N53" xr:uid="{00000000-0009-0000-0100-000002000000}"/>
  <tableColumns count="14">
    <tableColumn id="1" xr3:uid="{00000000-0010-0000-0800-000001000000}" name="Year" dataDxfId="13"/>
    <tableColumn id="2" xr3:uid="{00000000-0010-0000-0800-000002000000}" name="Jan" dataDxfId="12"/>
    <tableColumn id="3" xr3:uid="{00000000-0010-0000-0800-000003000000}" name="Feb" dataDxfId="11"/>
    <tableColumn id="4" xr3:uid="{00000000-0010-0000-0800-000004000000}" name="Mar" dataDxfId="10"/>
    <tableColumn id="5" xr3:uid="{00000000-0010-0000-0800-000005000000}" name="Apr" dataDxfId="9"/>
    <tableColumn id="6" xr3:uid="{00000000-0010-0000-0800-000006000000}" name="May" dataDxfId="8"/>
    <tableColumn id="7" xr3:uid="{00000000-0010-0000-0800-000007000000}" name="Jun" dataDxfId="7"/>
    <tableColumn id="8" xr3:uid="{00000000-0010-0000-0800-000008000000}" name="Jul" dataDxfId="6"/>
    <tableColumn id="9" xr3:uid="{00000000-0010-0000-0800-000009000000}" name="Aug" dataDxfId="5"/>
    <tableColumn id="10" xr3:uid="{00000000-0010-0000-0800-00000A000000}" name="Sep" dataDxfId="4"/>
    <tableColumn id="11" xr3:uid="{00000000-0010-0000-0800-00000B000000}" name="Oct" dataDxfId="3"/>
    <tableColumn id="12" xr3:uid="{00000000-0010-0000-0800-00000C000000}" name="Nov" dataDxfId="2"/>
    <tableColumn id="13" xr3:uid="{00000000-0010-0000-0800-00000D000000}" name="Dec" dataDxfId="1"/>
    <tableColumn id="14" xr3:uid="{00000000-0010-0000-0800-00000E000000}" name="Annual" dataDxfId="0">
      <calculatedColumnFormula>AVERAGE(ChemPPI[[#This Row],[Jan]:[Dec]])</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cis.com/chemicals/channel-info-chemicals-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2.xml"/><Relationship Id="rId2" Type="http://schemas.openxmlformats.org/officeDocument/2006/relationships/table" Target="../tables/table3.xml"/><Relationship Id="rId1" Type="http://schemas.openxmlformats.org/officeDocument/2006/relationships/vmlDrawing" Target="../drawings/vmlDrawing12.v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vmlDrawing" Target="../drawings/vmlDrawing13.vml"/><Relationship Id="rId1" Type="http://schemas.openxmlformats.org/officeDocument/2006/relationships/hyperlink" Target="http://data.bls.gov/cgi-bin/srgate" TargetMode="External"/><Relationship Id="rId4" Type="http://schemas.openxmlformats.org/officeDocument/2006/relationships/comments" Target="../comments13.x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Q146"/>
  <sheetViews>
    <sheetView workbookViewId="0">
      <selection activeCell="H32" sqref="H32"/>
    </sheetView>
  </sheetViews>
  <sheetFormatPr defaultColWidth="11" defaultRowHeight="15.75"/>
  <cols>
    <col min="1" max="2" width="2.5" style="11" customWidth="1"/>
    <col min="3" max="3" width="23.625" style="11" customWidth="1"/>
    <col min="4" max="4" width="11" style="11"/>
    <col min="5" max="5" width="5.875" style="11" bestFit="1" customWidth="1"/>
    <col min="6" max="6" width="2.5" style="11" customWidth="1"/>
    <col min="7" max="7" width="4.375" style="11" customWidth="1"/>
    <col min="8" max="8" width="2.5" style="11" customWidth="1"/>
    <col min="9" max="9" width="4.125" style="11" customWidth="1"/>
    <col min="10" max="10" width="2.5" style="11" customWidth="1"/>
    <col min="11" max="11" width="23.625" style="11" customWidth="1"/>
    <col min="12" max="14" width="9.625" style="11" customWidth="1"/>
    <col min="15" max="15" width="11" style="11"/>
    <col min="16" max="16" width="7.875" style="11" customWidth="1"/>
    <col min="17" max="17" width="2.5" style="11" customWidth="1"/>
    <col min="18" max="16384" width="11" style="11"/>
  </cols>
  <sheetData>
    <row r="1" spans="1:16">
      <c r="A1" s="181"/>
      <c r="B1" s="181"/>
      <c r="C1" s="181"/>
      <c r="D1" s="181"/>
      <c r="E1" s="181"/>
      <c r="F1" s="181"/>
      <c r="G1" s="181"/>
      <c r="H1" s="181"/>
      <c r="I1" s="181"/>
      <c r="J1" s="181"/>
      <c r="K1" s="181"/>
      <c r="L1" s="181"/>
      <c r="M1" s="181"/>
      <c r="N1" s="181"/>
      <c r="O1" s="181"/>
      <c r="P1" s="181"/>
    </row>
    <row r="2" spans="1:16" ht="30">
      <c r="A2" s="181"/>
      <c r="B2" s="405" t="s">
        <v>1830</v>
      </c>
      <c r="D2" s="181"/>
      <c r="E2" s="181"/>
      <c r="F2" s="181"/>
      <c r="G2" s="181"/>
      <c r="H2" s="181"/>
      <c r="I2" s="181"/>
      <c r="J2" s="181"/>
      <c r="K2" s="181"/>
      <c r="L2" s="181"/>
      <c r="M2" s="181"/>
      <c r="N2" s="181"/>
      <c r="O2" s="181"/>
      <c r="P2" s="181"/>
    </row>
    <row r="3" spans="1:16">
      <c r="A3" s="181"/>
      <c r="B3" s="358" t="s">
        <v>1720</v>
      </c>
      <c r="C3" s="181"/>
      <c r="D3" s="181"/>
      <c r="E3" s="181"/>
      <c r="F3" s="181"/>
      <c r="G3" s="181"/>
      <c r="H3" s="181"/>
      <c r="I3" s="181"/>
      <c r="J3" s="181"/>
      <c r="K3" s="181"/>
      <c r="L3" s="181"/>
      <c r="M3" s="181"/>
      <c r="N3" s="181"/>
      <c r="O3" s="181"/>
      <c r="P3" s="181"/>
    </row>
    <row r="5" spans="1:16" ht="20.25">
      <c r="A5" s="181"/>
      <c r="B5" s="369" t="s">
        <v>1712</v>
      </c>
      <c r="C5" s="369"/>
      <c r="D5" s="370" t="s">
        <v>1851</v>
      </c>
      <c r="E5" s="182"/>
      <c r="F5" s="182"/>
      <c r="G5" s="183"/>
      <c r="H5" s="183"/>
      <c r="I5" s="183"/>
      <c r="J5" s="181"/>
      <c r="K5" s="181"/>
      <c r="L5" s="181"/>
      <c r="M5" s="181"/>
      <c r="N5" s="181"/>
      <c r="O5" s="181"/>
      <c r="P5" s="181"/>
    </row>
    <row r="6" spans="1:16">
      <c r="A6" s="181"/>
      <c r="B6" s="181"/>
      <c r="C6" s="181"/>
      <c r="D6" s="181"/>
      <c r="E6" s="181"/>
      <c r="F6" s="181"/>
      <c r="G6" s="181"/>
      <c r="H6" s="181"/>
      <c r="I6" s="181"/>
      <c r="J6" s="181"/>
      <c r="K6" s="181"/>
      <c r="L6" s="181"/>
      <c r="M6" s="181"/>
      <c r="N6" s="181"/>
      <c r="O6" s="181"/>
      <c r="P6" s="181"/>
    </row>
    <row r="7" spans="1:16" ht="20.25">
      <c r="A7" s="181"/>
      <c r="B7" s="182" t="s">
        <v>1776</v>
      </c>
      <c r="C7" s="181"/>
      <c r="D7" s="181"/>
      <c r="E7" s="181"/>
      <c r="F7" s="181"/>
      <c r="G7" s="181"/>
      <c r="H7" s="181"/>
      <c r="I7" s="181"/>
      <c r="J7" s="181"/>
      <c r="K7" s="181"/>
      <c r="L7" s="181"/>
      <c r="M7" s="181"/>
      <c r="N7" s="181"/>
      <c r="O7" s="181"/>
      <c r="P7" s="181"/>
    </row>
    <row r="8" spans="1:16" ht="18">
      <c r="A8" s="181"/>
      <c r="B8" s="181"/>
      <c r="C8" s="368" t="str">
        <f>HYPERLINK("https://catcost.chemcatbio.org","catcost.chemcatbio.org")</f>
        <v>catcost.chemcatbio.org</v>
      </c>
      <c r="D8" s="181"/>
      <c r="E8" s="181"/>
      <c r="F8" s="181"/>
      <c r="G8" s="181"/>
      <c r="H8" s="181"/>
      <c r="I8" s="181"/>
      <c r="J8" s="181"/>
      <c r="K8" s="181"/>
      <c r="L8" s="181"/>
      <c r="M8" s="181"/>
      <c r="N8" s="181"/>
      <c r="O8" s="181"/>
      <c r="P8" s="181"/>
    </row>
    <row r="9" spans="1:16" ht="18">
      <c r="A9" s="181"/>
      <c r="B9" s="181"/>
      <c r="C9" s="368" t="str">
        <f>HYPERLINK("mailto:catcost@nrel.gov","catcost@nrel.gov")</f>
        <v>catcost@nrel.gov</v>
      </c>
      <c r="D9" s="181"/>
      <c r="E9" s="181"/>
      <c r="F9" s="181"/>
      <c r="G9" s="181"/>
      <c r="H9" s="181"/>
      <c r="I9" s="181"/>
      <c r="J9" s="181"/>
      <c r="K9" s="181"/>
      <c r="L9" s="181"/>
      <c r="M9" s="181"/>
      <c r="N9" s="181"/>
      <c r="O9" s="181"/>
      <c r="P9" s="181"/>
    </row>
    <row r="10" spans="1:16">
      <c r="A10" s="181"/>
      <c r="B10" s="181"/>
      <c r="C10" s="181"/>
      <c r="D10" s="181"/>
      <c r="E10" s="181"/>
      <c r="F10" s="181"/>
      <c r="G10" s="181"/>
      <c r="H10" s="181"/>
      <c r="I10" s="181"/>
      <c r="J10" s="181"/>
      <c r="K10" s="181"/>
      <c r="L10" s="181"/>
      <c r="M10" s="181"/>
      <c r="N10" s="181"/>
      <c r="O10" s="181"/>
      <c r="P10" s="181"/>
    </row>
    <row r="11" spans="1:16" ht="20.25">
      <c r="A11" s="181"/>
      <c r="B11" s="182" t="s">
        <v>1773</v>
      </c>
      <c r="C11" s="181"/>
      <c r="D11" s="181"/>
      <c r="E11" s="181"/>
      <c r="F11" s="181"/>
      <c r="G11" s="181"/>
      <c r="H11" s="181"/>
      <c r="I11" s="181"/>
      <c r="J11" s="181"/>
      <c r="K11" s="181"/>
      <c r="L11" s="181"/>
      <c r="M11" s="181"/>
      <c r="N11" s="181"/>
      <c r="O11" s="181"/>
      <c r="P11" s="181"/>
    </row>
    <row r="12" spans="1:16" ht="18">
      <c r="A12" s="181"/>
      <c r="B12" s="181"/>
      <c r="C12" s="364" t="s">
        <v>1713</v>
      </c>
      <c r="D12" s="181"/>
      <c r="E12" s="181"/>
      <c r="F12" s="181"/>
      <c r="G12" s="181"/>
      <c r="H12" s="181"/>
      <c r="I12" s="181"/>
      <c r="J12" s="181"/>
      <c r="K12" s="181"/>
      <c r="L12" s="181"/>
      <c r="M12" s="181"/>
      <c r="N12" s="181"/>
      <c r="O12" s="181"/>
      <c r="P12" s="181"/>
    </row>
    <row r="13" spans="1:16" ht="18">
      <c r="A13" s="181"/>
      <c r="B13" s="181"/>
      <c r="C13" s="364" t="s">
        <v>1737</v>
      </c>
      <c r="D13" s="181"/>
      <c r="E13" s="181"/>
      <c r="F13" s="181"/>
      <c r="G13" s="181"/>
      <c r="H13" s="181"/>
      <c r="I13" s="181"/>
      <c r="J13" s="181"/>
      <c r="K13" s="181"/>
      <c r="L13" s="181"/>
      <c r="M13" s="181"/>
      <c r="N13" s="181"/>
      <c r="O13" s="181"/>
      <c r="P13" s="181"/>
    </row>
    <row r="14" spans="1:16" ht="18">
      <c r="A14" s="181"/>
      <c r="B14" s="181"/>
      <c r="C14" s="364" t="s">
        <v>425</v>
      </c>
      <c r="D14" s="181"/>
      <c r="E14" s="181"/>
      <c r="F14" s="181"/>
      <c r="G14" s="181"/>
      <c r="H14" s="181"/>
      <c r="I14" s="181"/>
      <c r="J14" s="181"/>
      <c r="K14" s="181"/>
      <c r="L14" s="181"/>
      <c r="M14" s="181"/>
      <c r="N14" s="181"/>
      <c r="O14" s="181"/>
      <c r="P14" s="181"/>
    </row>
    <row r="15" spans="1:16" ht="18">
      <c r="A15" s="181"/>
      <c r="B15" s="181"/>
      <c r="C15" s="364" t="s">
        <v>1825</v>
      </c>
      <c r="D15" s="181"/>
      <c r="E15" s="181"/>
      <c r="F15" s="181"/>
      <c r="G15" s="181"/>
      <c r="H15" s="181"/>
      <c r="I15" s="181"/>
      <c r="J15" s="181"/>
      <c r="K15" s="181"/>
      <c r="L15" s="181"/>
      <c r="M15" s="181"/>
      <c r="N15" s="181"/>
      <c r="O15" s="181"/>
      <c r="P15" s="181"/>
    </row>
    <row r="16" spans="1:16" ht="18">
      <c r="A16" s="181"/>
      <c r="B16" s="181"/>
      <c r="C16" s="364" t="s">
        <v>1813</v>
      </c>
      <c r="D16" s="181"/>
      <c r="E16" s="181"/>
      <c r="F16" s="181"/>
      <c r="G16" s="181"/>
      <c r="H16" s="181"/>
      <c r="I16" s="181"/>
      <c r="J16" s="181"/>
      <c r="K16" s="181"/>
      <c r="L16" s="181"/>
      <c r="M16" s="181"/>
      <c r="N16" s="181"/>
      <c r="O16" s="181"/>
      <c r="P16" s="181"/>
    </row>
    <row r="17" spans="1:17" ht="18">
      <c r="A17" s="181"/>
      <c r="B17" s="181"/>
      <c r="C17" s="364" t="s">
        <v>1772</v>
      </c>
      <c r="D17" s="181"/>
      <c r="E17" s="181"/>
      <c r="F17" s="181"/>
      <c r="G17" s="181"/>
      <c r="H17" s="181"/>
      <c r="I17" s="181"/>
      <c r="J17" s="181"/>
      <c r="K17" s="181"/>
      <c r="L17" s="181"/>
      <c r="M17" s="181"/>
      <c r="N17" s="181"/>
      <c r="O17" s="181"/>
      <c r="P17" s="181"/>
    </row>
    <row r="18" spans="1:17" ht="16.5" thickBot="1">
      <c r="A18" s="181"/>
      <c r="B18" s="181"/>
      <c r="C18" s="181"/>
      <c r="D18" s="181"/>
      <c r="E18" s="181"/>
      <c r="F18" s="181"/>
      <c r="G18" s="181"/>
      <c r="H18" s="181"/>
      <c r="I18" s="181"/>
      <c r="J18" s="181"/>
      <c r="K18" s="181"/>
      <c r="L18" s="181"/>
      <c r="M18" s="181"/>
      <c r="N18" s="181"/>
      <c r="O18" s="181"/>
      <c r="P18" s="181"/>
    </row>
    <row r="19" spans="1:17" ht="21" thickBot="1">
      <c r="A19" s="181"/>
      <c r="B19" s="417" t="s">
        <v>1713</v>
      </c>
      <c r="C19" s="418"/>
      <c r="D19" s="419"/>
      <c r="E19" s="181"/>
      <c r="F19" s="181"/>
      <c r="G19" s="181"/>
      <c r="H19" s="181"/>
      <c r="I19" s="181"/>
      <c r="J19" s="181"/>
      <c r="K19" s="181"/>
      <c r="L19" s="181"/>
      <c r="M19" s="181"/>
      <c r="N19" s="181"/>
      <c r="O19" s="181"/>
      <c r="P19" s="181"/>
    </row>
    <row r="20" spans="1:17">
      <c r="A20" s="181"/>
      <c r="B20" s="184"/>
      <c r="C20" s="185"/>
      <c r="D20" s="185"/>
      <c r="E20" s="185"/>
      <c r="F20" s="185"/>
      <c r="G20" s="185"/>
      <c r="H20" s="185"/>
      <c r="I20" s="185"/>
      <c r="J20" s="185"/>
      <c r="K20" s="185"/>
      <c r="L20" s="185"/>
      <c r="M20" s="185"/>
      <c r="N20" s="185"/>
      <c r="O20" s="185"/>
      <c r="P20" s="185"/>
      <c r="Q20" s="186"/>
    </row>
    <row r="21" spans="1:17">
      <c r="A21" s="181"/>
      <c r="B21" s="187"/>
      <c r="C21" s="188" t="s">
        <v>1840</v>
      </c>
      <c r="D21" s="367"/>
      <c r="E21" s="367"/>
      <c r="F21" s="367"/>
      <c r="G21" s="367"/>
      <c r="H21" s="367"/>
      <c r="I21" s="367"/>
      <c r="J21" s="367"/>
      <c r="K21" s="367"/>
      <c r="L21" s="367"/>
      <c r="M21" s="367"/>
      <c r="N21" s="367"/>
      <c r="O21" s="367"/>
      <c r="P21" s="367"/>
      <c r="Q21" s="189"/>
    </row>
    <row r="22" spans="1:17">
      <c r="A22" s="181"/>
      <c r="B22" s="187"/>
      <c r="C22" s="188" t="s">
        <v>1775</v>
      </c>
      <c r="D22" s="188"/>
      <c r="E22" s="188"/>
      <c r="F22" s="188"/>
      <c r="G22" s="188"/>
      <c r="H22" s="188"/>
      <c r="I22" s="188"/>
      <c r="J22" s="188"/>
      <c r="K22" s="188"/>
      <c r="L22" s="188"/>
      <c r="M22" s="188"/>
      <c r="N22" s="188"/>
      <c r="O22" s="188"/>
      <c r="P22" s="188"/>
      <c r="Q22" s="189"/>
    </row>
    <row r="23" spans="1:17">
      <c r="A23" s="181"/>
      <c r="B23" s="187"/>
      <c r="C23" s="188" t="s">
        <v>1774</v>
      </c>
      <c r="D23" s="188"/>
      <c r="E23" s="188"/>
      <c r="F23" s="188"/>
      <c r="G23" s="188"/>
      <c r="H23" s="188"/>
      <c r="I23" s="188"/>
      <c r="J23" s="188"/>
      <c r="K23" s="188"/>
      <c r="L23" s="188"/>
      <c r="M23" s="188"/>
      <c r="N23" s="188"/>
      <c r="O23" s="188"/>
      <c r="P23" s="188"/>
      <c r="Q23" s="190"/>
    </row>
    <row r="24" spans="1:17">
      <c r="A24" s="181"/>
      <c r="B24" s="187"/>
      <c r="C24" s="188" t="s">
        <v>967</v>
      </c>
      <c r="D24" s="188"/>
      <c r="E24" s="188"/>
      <c r="F24" s="188"/>
      <c r="G24" s="188"/>
      <c r="H24" s="188"/>
      <c r="I24" s="188"/>
      <c r="J24" s="188"/>
      <c r="K24" s="188"/>
      <c r="L24" s="188"/>
      <c r="M24" s="188"/>
      <c r="N24" s="188"/>
      <c r="O24" s="188"/>
      <c r="P24" s="188"/>
      <c r="Q24" s="189"/>
    </row>
    <row r="25" spans="1:17">
      <c r="A25" s="181"/>
      <c r="B25" s="187"/>
      <c r="C25" s="188" t="s">
        <v>1769</v>
      </c>
      <c r="D25" s="188"/>
      <c r="E25" s="188"/>
      <c r="F25" s="188"/>
      <c r="G25" s="188"/>
      <c r="H25" s="188"/>
      <c r="I25" s="188"/>
      <c r="J25" s="188"/>
      <c r="K25" s="188"/>
      <c r="L25" s="188"/>
      <c r="M25" s="188"/>
      <c r="N25" s="188"/>
      <c r="O25" s="188"/>
      <c r="P25" s="188"/>
      <c r="Q25" s="190"/>
    </row>
    <row r="26" spans="1:17">
      <c r="A26" s="181"/>
      <c r="B26" s="187"/>
      <c r="C26" s="188" t="s">
        <v>1770</v>
      </c>
      <c r="D26" s="188"/>
      <c r="E26" s="188"/>
      <c r="F26" s="188"/>
      <c r="G26" s="188"/>
      <c r="H26" s="188"/>
      <c r="I26" s="188"/>
      <c r="J26" s="188"/>
      <c r="K26" s="188"/>
      <c r="L26" s="188"/>
      <c r="M26" s="188"/>
      <c r="N26" s="188"/>
      <c r="O26" s="188"/>
      <c r="P26" s="188"/>
      <c r="Q26" s="190"/>
    </row>
    <row r="27" spans="1:17">
      <c r="A27" s="181"/>
      <c r="B27" s="187"/>
      <c r="C27" s="188" t="s">
        <v>1771</v>
      </c>
      <c r="D27" s="188"/>
      <c r="E27" s="188"/>
      <c r="F27" s="188"/>
      <c r="G27" s="188"/>
      <c r="H27" s="188"/>
      <c r="I27" s="188"/>
      <c r="J27" s="188"/>
      <c r="K27" s="188"/>
      <c r="L27" s="188"/>
      <c r="M27" s="188"/>
      <c r="N27" s="188"/>
      <c r="O27" s="188"/>
      <c r="P27" s="188"/>
      <c r="Q27" s="189"/>
    </row>
    <row r="28" spans="1:17">
      <c r="A28" s="181"/>
      <c r="B28" s="187"/>
      <c r="C28" s="188" t="s">
        <v>1853</v>
      </c>
      <c r="D28" s="188"/>
      <c r="E28" s="188"/>
      <c r="F28" s="188"/>
      <c r="G28" s="188"/>
      <c r="H28" s="188"/>
      <c r="I28" s="188"/>
      <c r="J28" s="188"/>
      <c r="K28" s="188"/>
      <c r="L28" s="188"/>
      <c r="M28" s="188"/>
      <c r="N28" s="188"/>
      <c r="O28" s="188"/>
      <c r="P28" s="188"/>
      <c r="Q28" s="189"/>
    </row>
    <row r="29" spans="1:17">
      <c r="A29" s="181"/>
      <c r="B29" s="187"/>
      <c r="C29" s="188" t="s">
        <v>433</v>
      </c>
      <c r="D29" s="188"/>
      <c r="E29" s="188"/>
      <c r="F29" s="188"/>
      <c r="G29" s="188"/>
      <c r="H29" s="188"/>
      <c r="I29" s="188"/>
      <c r="J29" s="188"/>
      <c r="K29" s="188"/>
      <c r="L29" s="188"/>
      <c r="M29" s="188"/>
      <c r="N29" s="188"/>
      <c r="O29" s="188"/>
      <c r="P29" s="188"/>
      <c r="Q29" s="190"/>
    </row>
    <row r="30" spans="1:17">
      <c r="A30" s="181"/>
      <c r="B30" s="187"/>
      <c r="C30" s="188" t="s">
        <v>1778</v>
      </c>
      <c r="D30" s="188"/>
      <c r="E30" s="188"/>
      <c r="F30" s="188"/>
      <c r="G30" s="188"/>
      <c r="H30" s="188"/>
      <c r="I30" s="188"/>
      <c r="J30" s="188"/>
      <c r="K30" s="188"/>
      <c r="L30" s="188"/>
      <c r="M30" s="188"/>
      <c r="N30" s="188"/>
      <c r="O30" s="188"/>
      <c r="P30" s="188"/>
      <c r="Q30" s="190"/>
    </row>
    <row r="31" spans="1:17" ht="16.5" thickBot="1">
      <c r="A31" s="181"/>
      <c r="B31" s="191"/>
      <c r="C31" s="192"/>
      <c r="D31" s="192"/>
      <c r="E31" s="192"/>
      <c r="F31" s="192"/>
      <c r="G31" s="192"/>
      <c r="H31" s="192"/>
      <c r="I31" s="192"/>
      <c r="J31" s="192"/>
      <c r="K31" s="192"/>
      <c r="L31" s="192"/>
      <c r="M31" s="192"/>
      <c r="N31" s="192"/>
      <c r="O31" s="192"/>
      <c r="P31" s="192"/>
      <c r="Q31" s="193"/>
    </row>
    <row r="32" spans="1:17" ht="16.5" thickBot="1"/>
    <row r="33" spans="2:17" ht="21" thickBot="1">
      <c r="B33" s="414" t="s">
        <v>1737</v>
      </c>
      <c r="C33" s="415"/>
      <c r="D33" s="416"/>
      <c r="J33" s="414" t="s">
        <v>425</v>
      </c>
      <c r="K33" s="415"/>
      <c r="L33" s="416"/>
    </row>
    <row r="34" spans="2:17">
      <c r="B34" s="13"/>
      <c r="C34" s="14"/>
      <c r="D34" s="14"/>
      <c r="E34" s="14"/>
      <c r="F34" s="14"/>
      <c r="G34" s="14"/>
      <c r="H34" s="15"/>
      <c r="J34" s="13"/>
      <c r="K34" s="14"/>
      <c r="L34" s="14"/>
      <c r="M34" s="14"/>
      <c r="N34" s="14"/>
      <c r="O34" s="14"/>
      <c r="P34" s="14"/>
      <c r="Q34" s="15"/>
    </row>
    <row r="35" spans="2:17">
      <c r="B35" s="16"/>
      <c r="C35" s="17" t="s">
        <v>419</v>
      </c>
      <c r="D35" s="406"/>
      <c r="E35" s="18"/>
      <c r="F35" s="18"/>
      <c r="G35" s="18"/>
      <c r="H35" s="19"/>
      <c r="J35" s="16"/>
      <c r="K35" s="18" t="s">
        <v>431</v>
      </c>
      <c r="L35" s="177"/>
      <c r="M35" s="177"/>
      <c r="N35" s="18"/>
      <c r="O35" s="18"/>
      <c r="P35" s="18"/>
      <c r="Q35" s="19"/>
    </row>
    <row r="36" spans="2:17">
      <c r="B36" s="16"/>
      <c r="C36" s="33" t="s">
        <v>968</v>
      </c>
      <c r="D36" s="407"/>
      <c r="E36" s="106" t="s">
        <v>9</v>
      </c>
      <c r="F36" s="18"/>
      <c r="G36" s="42" t="s">
        <v>160</v>
      </c>
      <c r="H36" s="19"/>
      <c r="J36" s="16"/>
      <c r="K36" s="18" t="s">
        <v>1715</v>
      </c>
      <c r="L36" s="177"/>
      <c r="M36" s="177"/>
      <c r="N36" s="18"/>
      <c r="O36" s="18"/>
      <c r="P36" s="18"/>
      <c r="Q36" s="19"/>
    </row>
    <row r="37" spans="2:17">
      <c r="B37" s="16"/>
      <c r="C37" s="33" t="s">
        <v>969</v>
      </c>
      <c r="D37" s="408"/>
      <c r="E37" s="106" t="s">
        <v>7</v>
      </c>
      <c r="F37" s="18"/>
      <c r="G37" s="42" t="s">
        <v>160</v>
      </c>
      <c r="H37" s="19"/>
      <c r="J37" s="16"/>
      <c r="K37" s="18" t="s">
        <v>1716</v>
      </c>
      <c r="L37" s="177"/>
      <c r="M37" s="177"/>
      <c r="N37" s="18"/>
      <c r="O37" s="18"/>
      <c r="P37" s="18"/>
      <c r="Q37" s="19"/>
    </row>
    <row r="38" spans="2:17">
      <c r="B38" s="16"/>
      <c r="C38" s="33"/>
      <c r="D38" s="409"/>
      <c r="E38" s="35"/>
      <c r="F38" s="18"/>
      <c r="G38" s="20"/>
      <c r="H38" s="19"/>
      <c r="J38" s="16"/>
      <c r="K38" s="18" t="s">
        <v>1717</v>
      </c>
      <c r="L38" s="177"/>
      <c r="M38" s="177"/>
      <c r="N38" s="18"/>
      <c r="O38" s="18"/>
      <c r="P38" s="18"/>
      <c r="Q38" s="19"/>
    </row>
    <row r="39" spans="2:17">
      <c r="B39" s="16"/>
      <c r="C39" s="18" t="s">
        <v>422</v>
      </c>
      <c r="D39" s="410"/>
      <c r="E39" s="18"/>
      <c r="F39" s="18"/>
      <c r="G39" s="42" t="s">
        <v>160</v>
      </c>
      <c r="H39" s="19"/>
      <c r="J39" s="16"/>
      <c r="K39" s="18" t="s">
        <v>429</v>
      </c>
      <c r="L39" s="177"/>
      <c r="M39" s="177"/>
      <c r="N39" s="18"/>
      <c r="O39" s="18"/>
      <c r="P39" s="18"/>
      <c r="Q39" s="19"/>
    </row>
    <row r="40" spans="2:17">
      <c r="B40" s="16"/>
      <c r="C40" s="18" t="s">
        <v>423</v>
      </c>
      <c r="D40" s="411"/>
      <c r="E40" s="18"/>
      <c r="F40" s="18"/>
      <c r="G40" s="42" t="s">
        <v>160</v>
      </c>
      <c r="H40" s="19"/>
      <c r="J40" s="16"/>
      <c r="K40" s="10" t="s">
        <v>1718</v>
      </c>
      <c r="L40" s="10"/>
      <c r="M40" s="10"/>
      <c r="N40" s="10"/>
      <c r="O40" s="10"/>
      <c r="P40" s="10"/>
      <c r="Q40" s="19"/>
    </row>
    <row r="41" spans="2:17">
      <c r="B41" s="16"/>
      <c r="C41" s="18"/>
      <c r="D41" s="412"/>
      <c r="E41" s="18"/>
      <c r="F41" s="18"/>
      <c r="G41" s="18"/>
      <c r="H41" s="19"/>
      <c r="J41" s="16"/>
      <c r="K41" s="18" t="s">
        <v>432</v>
      </c>
      <c r="L41" s="177"/>
      <c r="M41" s="177"/>
      <c r="N41" s="18"/>
      <c r="O41" s="18"/>
      <c r="P41" s="18"/>
      <c r="Q41" s="19"/>
    </row>
    <row r="42" spans="2:17">
      <c r="B42" s="16"/>
      <c r="C42" s="18" t="s">
        <v>420</v>
      </c>
      <c r="D42" s="413">
        <v>5</v>
      </c>
      <c r="E42" s="47" t="s">
        <v>9</v>
      </c>
      <c r="F42" s="18"/>
      <c r="G42" s="18"/>
      <c r="H42" s="19"/>
      <c r="J42" s="16"/>
      <c r="K42" s="18" t="s">
        <v>430</v>
      </c>
      <c r="L42" s="10"/>
      <c r="M42" s="10"/>
      <c r="N42" s="10"/>
      <c r="O42" s="10"/>
      <c r="P42" s="10"/>
      <c r="Q42" s="19"/>
    </row>
    <row r="43" spans="2:17">
      <c r="B43" s="16"/>
      <c r="C43" s="18"/>
      <c r="D43" s="18"/>
      <c r="E43" s="18"/>
      <c r="F43" s="18"/>
      <c r="G43" s="18"/>
      <c r="H43" s="19"/>
      <c r="J43" s="16"/>
      <c r="K43" s="10"/>
      <c r="L43" s="10"/>
      <c r="M43" s="10"/>
      <c r="N43" s="10"/>
      <c r="O43" s="10"/>
      <c r="P43" s="10"/>
      <c r="Q43" s="19"/>
    </row>
    <row r="44" spans="2:17">
      <c r="B44" s="16"/>
      <c r="C44" s="17" t="s">
        <v>421</v>
      </c>
      <c r="D44" s="18"/>
      <c r="E44" s="18"/>
      <c r="F44" s="18"/>
      <c r="G44" s="18"/>
      <c r="H44" s="19"/>
      <c r="J44" s="16"/>
      <c r="K44" s="17" t="s">
        <v>426</v>
      </c>
      <c r="L44" s="65" t="s">
        <v>39</v>
      </c>
      <c r="M44" s="65" t="s">
        <v>40</v>
      </c>
      <c r="N44" s="65" t="s">
        <v>41</v>
      </c>
      <c r="O44" s="18"/>
      <c r="P44" s="10"/>
      <c r="Q44" s="19"/>
    </row>
    <row r="45" spans="2:17">
      <c r="B45" s="16"/>
      <c r="C45" s="18" t="s">
        <v>1714</v>
      </c>
      <c r="D45" s="177">
        <v>50000</v>
      </c>
      <c r="E45" s="177"/>
      <c r="F45" s="18"/>
      <c r="G45" s="18"/>
      <c r="H45" s="19"/>
      <c r="J45" s="16"/>
      <c r="K45" s="33" t="s">
        <v>427</v>
      </c>
      <c r="L45" s="140">
        <v>5</v>
      </c>
      <c r="M45" s="60">
        <v>3</v>
      </c>
      <c r="N45" s="60">
        <v>9</v>
      </c>
      <c r="O45" s="106" t="s">
        <v>9</v>
      </c>
      <c r="P45" s="10"/>
      <c r="Q45" s="19"/>
    </row>
    <row r="46" spans="2:17">
      <c r="B46" s="16"/>
      <c r="C46" s="18" t="s">
        <v>424</v>
      </c>
      <c r="D46" s="178">
        <v>150000</v>
      </c>
      <c r="E46" s="178"/>
      <c r="F46" s="18"/>
      <c r="G46" s="18"/>
      <c r="H46" s="19"/>
      <c r="J46" s="16"/>
      <c r="K46" s="33" t="s">
        <v>428</v>
      </c>
      <c r="L46" s="140">
        <v>10</v>
      </c>
      <c r="M46" s="60">
        <v>8</v>
      </c>
      <c r="N46" s="60">
        <v>15</v>
      </c>
      <c r="O46" s="106" t="s">
        <v>8</v>
      </c>
      <c r="P46" s="10"/>
      <c r="Q46" s="19"/>
    </row>
    <row r="47" spans="2:17" ht="16.5" thickBot="1">
      <c r="B47" s="21"/>
      <c r="C47" s="22"/>
      <c r="D47" s="22"/>
      <c r="E47" s="22"/>
      <c r="F47" s="22"/>
      <c r="G47" s="22"/>
      <c r="H47" s="23"/>
      <c r="J47" s="21"/>
      <c r="K47" s="22"/>
      <c r="L47" s="22"/>
      <c r="M47" s="22"/>
      <c r="N47" s="22"/>
      <c r="O47" s="22"/>
      <c r="P47" s="22"/>
      <c r="Q47" s="23"/>
    </row>
    <row r="48" spans="2:17" ht="16.5" thickBot="1"/>
    <row r="49" spans="2:17" ht="21" thickBot="1">
      <c r="B49" s="417" t="s">
        <v>1825</v>
      </c>
      <c r="C49" s="418"/>
      <c r="D49" s="419"/>
      <c r="E49" s="181"/>
      <c r="F49" s="181"/>
      <c r="G49" s="181"/>
      <c r="H49" s="181"/>
      <c r="I49" s="181"/>
      <c r="J49" s="181"/>
      <c r="K49" s="181"/>
      <c r="L49" s="181"/>
      <c r="M49" s="181"/>
      <c r="N49" s="181"/>
      <c r="O49" s="181"/>
      <c r="P49" s="181"/>
    </row>
    <row r="50" spans="2:17">
      <c r="B50" s="184"/>
      <c r="C50" s="185"/>
      <c r="D50" s="185"/>
      <c r="E50" s="185"/>
      <c r="F50" s="185"/>
      <c r="G50" s="185"/>
      <c r="H50" s="185"/>
      <c r="I50" s="185"/>
      <c r="J50" s="185"/>
      <c r="K50" s="185"/>
      <c r="L50" s="185"/>
      <c r="M50" s="185"/>
      <c r="N50" s="185"/>
      <c r="O50" s="185"/>
      <c r="P50" s="185"/>
      <c r="Q50" s="186"/>
    </row>
    <row r="51" spans="2:17" ht="15.95" customHeight="1">
      <c r="B51" s="187"/>
      <c r="C51" s="420" t="s">
        <v>1831</v>
      </c>
      <c r="D51" s="420"/>
      <c r="E51" s="420"/>
      <c r="F51" s="420"/>
      <c r="G51" s="420"/>
      <c r="H51" s="420"/>
      <c r="I51" s="420"/>
      <c r="J51" s="420"/>
      <c r="K51" s="420"/>
      <c r="L51" s="420"/>
      <c r="M51" s="420"/>
      <c r="N51" s="420"/>
      <c r="O51" s="420"/>
      <c r="P51" s="420"/>
      <c r="Q51" s="19"/>
    </row>
    <row r="52" spans="2:17">
      <c r="B52" s="187"/>
      <c r="C52" s="420"/>
      <c r="D52" s="420"/>
      <c r="E52" s="420"/>
      <c r="F52" s="420"/>
      <c r="G52" s="420"/>
      <c r="H52" s="420"/>
      <c r="I52" s="420"/>
      <c r="J52" s="420"/>
      <c r="K52" s="420"/>
      <c r="L52" s="420"/>
      <c r="M52" s="420"/>
      <c r="N52" s="420"/>
      <c r="O52" s="420"/>
      <c r="P52" s="420"/>
      <c r="Q52" s="19"/>
    </row>
    <row r="53" spans="2:17">
      <c r="B53" s="187"/>
      <c r="C53" s="377"/>
      <c r="D53" s="377"/>
      <c r="E53" s="377"/>
      <c r="F53" s="377"/>
      <c r="G53" s="377"/>
      <c r="H53" s="377"/>
      <c r="I53" s="377"/>
      <c r="J53" s="377"/>
      <c r="K53" s="377"/>
      <c r="L53" s="377"/>
      <c r="M53" s="377"/>
      <c r="N53" s="377"/>
      <c r="O53" s="377"/>
      <c r="P53" s="377"/>
      <c r="Q53" s="19"/>
    </row>
    <row r="54" spans="2:17">
      <c r="B54" s="187"/>
      <c r="C54" s="378" t="s">
        <v>1826</v>
      </c>
      <c r="D54" s="377"/>
      <c r="E54" s="377"/>
      <c r="F54" s="377"/>
      <c r="G54" s="377"/>
      <c r="H54" s="377"/>
      <c r="I54" s="377"/>
      <c r="J54" s="377"/>
      <c r="K54" s="377"/>
      <c r="L54" s="377"/>
      <c r="M54" s="377"/>
      <c r="N54" s="377"/>
      <c r="O54" s="377"/>
      <c r="P54" s="377"/>
      <c r="Q54" s="19"/>
    </row>
    <row r="55" spans="2:17">
      <c r="B55" s="187"/>
      <c r="C55" s="377"/>
      <c r="D55" s="377"/>
      <c r="E55" s="377"/>
      <c r="F55" s="377"/>
      <c r="G55" s="377"/>
      <c r="H55" s="377"/>
      <c r="I55" s="377"/>
      <c r="J55" s="377"/>
      <c r="K55" s="377"/>
      <c r="L55" s="377"/>
      <c r="M55" s="377"/>
      <c r="N55" s="377"/>
      <c r="O55" s="377"/>
      <c r="P55" s="377"/>
      <c r="Q55" s="19"/>
    </row>
    <row r="56" spans="2:17">
      <c r="B56" s="187"/>
      <c r="C56" s="420" t="s">
        <v>1829</v>
      </c>
      <c r="D56" s="420"/>
      <c r="E56" s="420"/>
      <c r="F56" s="420"/>
      <c r="G56" s="420"/>
      <c r="H56" s="420"/>
      <c r="I56" s="420"/>
      <c r="J56" s="420"/>
      <c r="K56" s="420"/>
      <c r="L56" s="420"/>
      <c r="M56" s="420"/>
      <c r="N56" s="420"/>
      <c r="O56" s="420"/>
      <c r="P56" s="420"/>
      <c r="Q56" s="19"/>
    </row>
    <row r="57" spans="2:17">
      <c r="B57" s="187"/>
      <c r="C57" s="377"/>
      <c r="D57" s="377"/>
      <c r="E57" s="377"/>
      <c r="F57" s="377"/>
      <c r="G57" s="377"/>
      <c r="H57" s="377"/>
      <c r="I57" s="377"/>
      <c r="J57" s="377"/>
      <c r="K57" s="377"/>
      <c r="L57" s="377"/>
      <c r="M57" s="377"/>
      <c r="N57" s="377"/>
      <c r="O57" s="377"/>
      <c r="P57" s="377"/>
      <c r="Q57" s="19"/>
    </row>
    <row r="58" spans="2:17">
      <c r="B58" s="187"/>
      <c r="C58" s="420" t="s">
        <v>1827</v>
      </c>
      <c r="D58" s="420"/>
      <c r="E58" s="420"/>
      <c r="F58" s="420"/>
      <c r="G58" s="420"/>
      <c r="H58" s="420"/>
      <c r="I58" s="420"/>
      <c r="J58" s="420"/>
      <c r="K58" s="420"/>
      <c r="L58" s="420"/>
      <c r="M58" s="420"/>
      <c r="N58" s="420"/>
      <c r="O58" s="420"/>
      <c r="P58" s="420"/>
      <c r="Q58" s="19"/>
    </row>
    <row r="59" spans="2:17">
      <c r="B59" s="187"/>
      <c r="C59" s="420"/>
      <c r="D59" s="420"/>
      <c r="E59" s="420"/>
      <c r="F59" s="420"/>
      <c r="G59" s="420"/>
      <c r="H59" s="420"/>
      <c r="I59" s="420"/>
      <c r="J59" s="420"/>
      <c r="K59" s="420"/>
      <c r="L59" s="420"/>
      <c r="M59" s="420"/>
      <c r="N59" s="420"/>
      <c r="O59" s="420"/>
      <c r="P59" s="420"/>
      <c r="Q59" s="19"/>
    </row>
    <row r="60" spans="2:17">
      <c r="B60" s="187"/>
      <c r="C60" s="420"/>
      <c r="D60" s="420"/>
      <c r="E60" s="420"/>
      <c r="F60" s="420"/>
      <c r="G60" s="420"/>
      <c r="H60" s="420"/>
      <c r="I60" s="420"/>
      <c r="J60" s="420"/>
      <c r="K60" s="420"/>
      <c r="L60" s="420"/>
      <c r="M60" s="420"/>
      <c r="N60" s="420"/>
      <c r="O60" s="420"/>
      <c r="P60" s="420"/>
      <c r="Q60" s="19"/>
    </row>
    <row r="61" spans="2:17">
      <c r="B61" s="187"/>
      <c r="C61" s="420"/>
      <c r="D61" s="420"/>
      <c r="E61" s="420"/>
      <c r="F61" s="420"/>
      <c r="G61" s="420"/>
      <c r="H61" s="420"/>
      <c r="I61" s="420"/>
      <c r="J61" s="420"/>
      <c r="K61" s="420"/>
      <c r="L61" s="420"/>
      <c r="M61" s="420"/>
      <c r="N61" s="420"/>
      <c r="O61" s="420"/>
      <c r="P61" s="420"/>
      <c r="Q61" s="19"/>
    </row>
    <row r="62" spans="2:17">
      <c r="B62" s="187"/>
      <c r="C62" s="420"/>
      <c r="D62" s="420"/>
      <c r="E62" s="420"/>
      <c r="F62" s="420"/>
      <c r="G62" s="420"/>
      <c r="H62" s="420"/>
      <c r="I62" s="420"/>
      <c r="J62" s="420"/>
      <c r="K62" s="420"/>
      <c r="L62" s="420"/>
      <c r="M62" s="420"/>
      <c r="N62" s="420"/>
      <c r="O62" s="420"/>
      <c r="P62" s="420"/>
      <c r="Q62" s="19"/>
    </row>
    <row r="63" spans="2:17">
      <c r="B63" s="187"/>
      <c r="C63" s="420"/>
      <c r="D63" s="420"/>
      <c r="E63" s="420"/>
      <c r="F63" s="420"/>
      <c r="G63" s="420"/>
      <c r="H63" s="420"/>
      <c r="I63" s="420"/>
      <c r="J63" s="420"/>
      <c r="K63" s="420"/>
      <c r="L63" s="420"/>
      <c r="M63" s="420"/>
      <c r="N63" s="420"/>
      <c r="O63" s="420"/>
      <c r="P63" s="420"/>
      <c r="Q63" s="19"/>
    </row>
    <row r="64" spans="2:17">
      <c r="B64" s="187"/>
      <c r="C64" s="420"/>
      <c r="D64" s="420"/>
      <c r="E64" s="420"/>
      <c r="F64" s="420"/>
      <c r="G64" s="420"/>
      <c r="H64" s="420"/>
      <c r="I64" s="420"/>
      <c r="J64" s="420"/>
      <c r="K64" s="420"/>
      <c r="L64" s="420"/>
      <c r="M64" s="420"/>
      <c r="N64" s="420"/>
      <c r="O64" s="420"/>
      <c r="P64" s="420"/>
      <c r="Q64" s="19"/>
    </row>
    <row r="65" spans="2:17">
      <c r="B65" s="187"/>
      <c r="C65" s="420"/>
      <c r="D65" s="420"/>
      <c r="E65" s="420"/>
      <c r="F65" s="420"/>
      <c r="G65" s="420"/>
      <c r="H65" s="420"/>
      <c r="I65" s="420"/>
      <c r="J65" s="420"/>
      <c r="K65" s="420"/>
      <c r="L65" s="420"/>
      <c r="M65" s="420"/>
      <c r="N65" s="420"/>
      <c r="O65" s="420"/>
      <c r="P65" s="420"/>
      <c r="Q65" s="19"/>
    </row>
    <row r="66" spans="2:17">
      <c r="B66" s="187"/>
      <c r="C66" s="420"/>
      <c r="D66" s="420"/>
      <c r="E66" s="420"/>
      <c r="F66" s="420"/>
      <c r="G66" s="420"/>
      <c r="H66" s="420"/>
      <c r="I66" s="420"/>
      <c r="J66" s="420"/>
      <c r="K66" s="420"/>
      <c r="L66" s="420"/>
      <c r="M66" s="420"/>
      <c r="N66" s="420"/>
      <c r="O66" s="420"/>
      <c r="P66" s="420"/>
      <c r="Q66" s="19"/>
    </row>
    <row r="67" spans="2:17">
      <c r="B67" s="187"/>
      <c r="C67" s="420"/>
      <c r="D67" s="420"/>
      <c r="E67" s="420"/>
      <c r="F67" s="420"/>
      <c r="G67" s="420"/>
      <c r="H67" s="420"/>
      <c r="I67" s="420"/>
      <c r="J67" s="420"/>
      <c r="K67" s="420"/>
      <c r="L67" s="420"/>
      <c r="M67" s="420"/>
      <c r="N67" s="420"/>
      <c r="O67" s="420"/>
      <c r="P67" s="420"/>
      <c r="Q67" s="19"/>
    </row>
    <row r="68" spans="2:17">
      <c r="B68" s="187"/>
      <c r="C68" s="10"/>
      <c r="D68" s="10"/>
      <c r="E68" s="10"/>
      <c r="F68" s="10"/>
      <c r="G68" s="10"/>
      <c r="H68" s="10"/>
      <c r="I68" s="10"/>
      <c r="J68" s="10"/>
      <c r="K68" s="10"/>
      <c r="L68" s="10"/>
      <c r="M68" s="10"/>
      <c r="N68" s="10"/>
      <c r="O68" s="10"/>
      <c r="P68" s="10"/>
      <c r="Q68" s="19"/>
    </row>
    <row r="69" spans="2:17">
      <c r="B69" s="187"/>
      <c r="C69" s="266" t="s">
        <v>1828</v>
      </c>
      <c r="D69" s="10"/>
      <c r="E69" s="10"/>
      <c r="F69" s="10"/>
      <c r="G69" s="10"/>
      <c r="H69" s="10"/>
      <c r="I69" s="10"/>
      <c r="J69" s="10"/>
      <c r="K69" s="10"/>
      <c r="L69" s="10"/>
      <c r="M69" s="10"/>
      <c r="N69" s="10"/>
      <c r="O69" s="10"/>
      <c r="P69" s="10"/>
      <c r="Q69" s="19"/>
    </row>
    <row r="70" spans="2:17">
      <c r="B70" s="187"/>
      <c r="C70" s="10"/>
      <c r="D70" s="10"/>
      <c r="E70" s="10"/>
      <c r="F70" s="10"/>
      <c r="G70" s="10"/>
      <c r="H70" s="10"/>
      <c r="I70" s="10"/>
      <c r="J70" s="10"/>
      <c r="K70" s="10"/>
      <c r="L70" s="10"/>
      <c r="M70" s="10"/>
      <c r="N70" s="10"/>
      <c r="O70" s="10"/>
      <c r="P70" s="10"/>
      <c r="Q70" s="19"/>
    </row>
    <row r="71" spans="2:17" ht="15.95" customHeight="1">
      <c r="B71" s="187"/>
      <c r="C71" s="420" t="s">
        <v>1765</v>
      </c>
      <c r="D71" s="420"/>
      <c r="E71" s="420"/>
      <c r="F71" s="420"/>
      <c r="G71" s="420"/>
      <c r="H71" s="420"/>
      <c r="I71" s="420"/>
      <c r="J71" s="420"/>
      <c r="K71" s="420"/>
      <c r="L71" s="420"/>
      <c r="M71" s="420"/>
      <c r="N71" s="420"/>
      <c r="O71" s="420"/>
      <c r="P71" s="420"/>
      <c r="Q71" s="19"/>
    </row>
    <row r="72" spans="2:17">
      <c r="B72" s="187"/>
      <c r="C72" s="420"/>
      <c r="D72" s="420"/>
      <c r="E72" s="420"/>
      <c r="F72" s="420"/>
      <c r="G72" s="420"/>
      <c r="H72" s="420"/>
      <c r="I72" s="420"/>
      <c r="J72" s="420"/>
      <c r="K72" s="420"/>
      <c r="L72" s="420"/>
      <c r="M72" s="420"/>
      <c r="N72" s="420"/>
      <c r="O72" s="420"/>
      <c r="P72" s="420"/>
      <c r="Q72" s="19"/>
    </row>
    <row r="73" spans="2:17">
      <c r="B73" s="187"/>
      <c r="C73" s="420"/>
      <c r="D73" s="420"/>
      <c r="E73" s="420"/>
      <c r="F73" s="420"/>
      <c r="G73" s="420"/>
      <c r="H73" s="420"/>
      <c r="I73" s="420"/>
      <c r="J73" s="420"/>
      <c r="K73" s="420"/>
      <c r="L73" s="420"/>
      <c r="M73" s="420"/>
      <c r="N73" s="420"/>
      <c r="O73" s="420"/>
      <c r="P73" s="420"/>
      <c r="Q73" s="19"/>
    </row>
    <row r="74" spans="2:17">
      <c r="B74" s="187"/>
      <c r="C74" s="10"/>
      <c r="D74" s="10"/>
      <c r="E74" s="10"/>
      <c r="F74" s="10"/>
      <c r="G74" s="10"/>
      <c r="H74" s="10"/>
      <c r="I74" s="10"/>
      <c r="J74" s="10"/>
      <c r="K74" s="10"/>
      <c r="L74" s="10"/>
      <c r="M74" s="10"/>
      <c r="N74" s="10"/>
      <c r="O74" s="10"/>
      <c r="P74" s="10"/>
      <c r="Q74" s="19"/>
    </row>
    <row r="75" spans="2:17">
      <c r="B75" s="187"/>
      <c r="C75" s="420" t="s">
        <v>1766</v>
      </c>
      <c r="D75" s="420"/>
      <c r="E75" s="420"/>
      <c r="F75" s="420"/>
      <c r="G75" s="420"/>
      <c r="H75" s="420"/>
      <c r="I75" s="420"/>
      <c r="J75" s="420"/>
      <c r="K75" s="420"/>
      <c r="L75" s="420"/>
      <c r="M75" s="420"/>
      <c r="N75" s="420"/>
      <c r="O75" s="420"/>
      <c r="P75" s="420"/>
      <c r="Q75" s="19"/>
    </row>
    <row r="76" spans="2:17">
      <c r="B76" s="187"/>
      <c r="C76" s="420"/>
      <c r="D76" s="420"/>
      <c r="E76" s="420"/>
      <c r="F76" s="420"/>
      <c r="G76" s="420"/>
      <c r="H76" s="420"/>
      <c r="I76" s="420"/>
      <c r="J76" s="420"/>
      <c r="K76" s="420"/>
      <c r="L76" s="420"/>
      <c r="M76" s="420"/>
      <c r="N76" s="420"/>
      <c r="O76" s="420"/>
      <c r="P76" s="420"/>
      <c r="Q76" s="19"/>
    </row>
    <row r="77" spans="2:17">
      <c r="B77" s="187"/>
      <c r="C77" s="420"/>
      <c r="D77" s="420"/>
      <c r="E77" s="420"/>
      <c r="F77" s="420"/>
      <c r="G77" s="420"/>
      <c r="H77" s="420"/>
      <c r="I77" s="420"/>
      <c r="J77" s="420"/>
      <c r="K77" s="420"/>
      <c r="L77" s="420"/>
      <c r="M77" s="420"/>
      <c r="N77" s="420"/>
      <c r="O77" s="420"/>
      <c r="P77" s="420"/>
      <c r="Q77" s="19"/>
    </row>
    <row r="78" spans="2:17">
      <c r="B78" s="187"/>
      <c r="C78" s="420"/>
      <c r="D78" s="420"/>
      <c r="E78" s="420"/>
      <c r="F78" s="420"/>
      <c r="G78" s="420"/>
      <c r="H78" s="420"/>
      <c r="I78" s="420"/>
      <c r="J78" s="420"/>
      <c r="K78" s="420"/>
      <c r="L78" s="420"/>
      <c r="M78" s="420"/>
      <c r="N78" s="420"/>
      <c r="O78" s="420"/>
      <c r="P78" s="420"/>
      <c r="Q78" s="19"/>
    </row>
    <row r="79" spans="2:17">
      <c r="B79" s="187"/>
      <c r="C79" s="10"/>
      <c r="D79" s="10"/>
      <c r="E79" s="10"/>
      <c r="F79" s="10"/>
      <c r="G79" s="10"/>
      <c r="H79" s="10"/>
      <c r="I79" s="10"/>
      <c r="J79" s="10"/>
      <c r="K79" s="10"/>
      <c r="L79" s="10"/>
      <c r="M79" s="10"/>
      <c r="N79" s="10"/>
      <c r="O79" s="10"/>
      <c r="P79" s="10"/>
      <c r="Q79" s="19"/>
    </row>
    <row r="80" spans="2:17">
      <c r="B80" s="187"/>
      <c r="C80" s="420" t="s">
        <v>1767</v>
      </c>
      <c r="D80" s="420"/>
      <c r="E80" s="420"/>
      <c r="F80" s="420"/>
      <c r="G80" s="420"/>
      <c r="H80" s="420"/>
      <c r="I80" s="420"/>
      <c r="J80" s="420"/>
      <c r="K80" s="420"/>
      <c r="L80" s="420"/>
      <c r="M80" s="420"/>
      <c r="N80" s="420"/>
      <c r="O80" s="420"/>
      <c r="P80" s="420"/>
      <c r="Q80" s="19"/>
    </row>
    <row r="81" spans="2:17">
      <c r="B81" s="187"/>
      <c r="C81" s="420"/>
      <c r="D81" s="420"/>
      <c r="E81" s="420"/>
      <c r="F81" s="420"/>
      <c r="G81" s="420"/>
      <c r="H81" s="420"/>
      <c r="I81" s="420"/>
      <c r="J81" s="420"/>
      <c r="K81" s="420"/>
      <c r="L81" s="420"/>
      <c r="M81" s="420"/>
      <c r="N81" s="420"/>
      <c r="O81" s="420"/>
      <c r="P81" s="420"/>
      <c r="Q81" s="19"/>
    </row>
    <row r="82" spans="2:17">
      <c r="B82" s="187"/>
      <c r="C82" s="420"/>
      <c r="D82" s="420"/>
      <c r="E82" s="420"/>
      <c r="F82" s="420"/>
      <c r="G82" s="420"/>
      <c r="H82" s="420"/>
      <c r="I82" s="420"/>
      <c r="J82" s="420"/>
      <c r="K82" s="420"/>
      <c r="L82" s="420"/>
      <c r="M82" s="420"/>
      <c r="N82" s="420"/>
      <c r="O82" s="420"/>
      <c r="P82" s="420"/>
      <c r="Q82" s="19"/>
    </row>
    <row r="83" spans="2:17">
      <c r="B83" s="187"/>
      <c r="C83" s="420"/>
      <c r="D83" s="420"/>
      <c r="E83" s="420"/>
      <c r="F83" s="420"/>
      <c r="G83" s="420"/>
      <c r="H83" s="420"/>
      <c r="I83" s="420"/>
      <c r="J83" s="420"/>
      <c r="K83" s="420"/>
      <c r="L83" s="420"/>
      <c r="M83" s="420"/>
      <c r="N83" s="420"/>
      <c r="O83" s="420"/>
      <c r="P83" s="420"/>
      <c r="Q83" s="19"/>
    </row>
    <row r="84" spans="2:17">
      <c r="B84" s="187"/>
      <c r="C84" s="420"/>
      <c r="D84" s="420"/>
      <c r="E84" s="420"/>
      <c r="F84" s="420"/>
      <c r="G84" s="420"/>
      <c r="H84" s="420"/>
      <c r="I84" s="420"/>
      <c r="J84" s="420"/>
      <c r="K84" s="420"/>
      <c r="L84" s="420"/>
      <c r="M84" s="420"/>
      <c r="N84" s="420"/>
      <c r="O84" s="420"/>
      <c r="P84" s="420"/>
      <c r="Q84" s="19"/>
    </row>
    <row r="85" spans="2:17">
      <c r="B85" s="187"/>
      <c r="C85" s="420"/>
      <c r="D85" s="420"/>
      <c r="E85" s="420"/>
      <c r="F85" s="420"/>
      <c r="G85" s="420"/>
      <c r="H85" s="420"/>
      <c r="I85" s="420"/>
      <c r="J85" s="420"/>
      <c r="K85" s="420"/>
      <c r="L85" s="420"/>
      <c r="M85" s="420"/>
      <c r="N85" s="420"/>
      <c r="O85" s="420"/>
      <c r="P85" s="420"/>
      <c r="Q85" s="19"/>
    </row>
    <row r="86" spans="2:17">
      <c r="B86" s="187"/>
      <c r="C86" s="420"/>
      <c r="D86" s="420"/>
      <c r="E86" s="420"/>
      <c r="F86" s="420"/>
      <c r="G86" s="420"/>
      <c r="H86" s="420"/>
      <c r="I86" s="420"/>
      <c r="J86" s="420"/>
      <c r="K86" s="420"/>
      <c r="L86" s="420"/>
      <c r="M86" s="420"/>
      <c r="N86" s="420"/>
      <c r="O86" s="420"/>
      <c r="P86" s="420"/>
      <c r="Q86" s="19"/>
    </row>
    <row r="87" spans="2:17">
      <c r="B87" s="187"/>
      <c r="C87" s="10"/>
      <c r="D87" s="10"/>
      <c r="E87" s="10"/>
      <c r="F87" s="10"/>
      <c r="G87" s="10"/>
      <c r="H87" s="10"/>
      <c r="I87" s="10"/>
      <c r="J87" s="10"/>
      <c r="K87" s="10"/>
      <c r="L87" s="10"/>
      <c r="M87" s="10"/>
      <c r="N87" s="10"/>
      <c r="O87" s="10"/>
      <c r="P87" s="10"/>
      <c r="Q87" s="19"/>
    </row>
    <row r="88" spans="2:17">
      <c r="B88" s="187"/>
      <c r="C88" s="420" t="s">
        <v>1768</v>
      </c>
      <c r="D88" s="420"/>
      <c r="E88" s="420"/>
      <c r="F88" s="420"/>
      <c r="G88" s="420"/>
      <c r="H88" s="420"/>
      <c r="I88" s="420"/>
      <c r="J88" s="420"/>
      <c r="K88" s="420"/>
      <c r="L88" s="420"/>
      <c r="M88" s="420"/>
      <c r="N88" s="420"/>
      <c r="O88" s="420"/>
      <c r="P88" s="420"/>
      <c r="Q88" s="19"/>
    </row>
    <row r="89" spans="2:17">
      <c r="B89" s="187"/>
      <c r="C89" s="420"/>
      <c r="D89" s="420"/>
      <c r="E89" s="420"/>
      <c r="F89" s="420"/>
      <c r="G89" s="420"/>
      <c r="H89" s="420"/>
      <c r="I89" s="420"/>
      <c r="J89" s="420"/>
      <c r="K89" s="420"/>
      <c r="L89" s="420"/>
      <c r="M89" s="420"/>
      <c r="N89" s="420"/>
      <c r="O89" s="420"/>
      <c r="P89" s="420"/>
      <c r="Q89" s="19"/>
    </row>
    <row r="90" spans="2:17">
      <c r="B90" s="187"/>
      <c r="C90" s="420"/>
      <c r="D90" s="420"/>
      <c r="E90" s="420"/>
      <c r="F90" s="420"/>
      <c r="G90" s="420"/>
      <c r="H90" s="420"/>
      <c r="I90" s="420"/>
      <c r="J90" s="420"/>
      <c r="K90" s="420"/>
      <c r="L90" s="420"/>
      <c r="M90" s="420"/>
      <c r="N90" s="420"/>
      <c r="O90" s="420"/>
      <c r="P90" s="420"/>
      <c r="Q90" s="19"/>
    </row>
    <row r="91" spans="2:17">
      <c r="B91" s="187"/>
      <c r="C91" s="420"/>
      <c r="D91" s="420"/>
      <c r="E91" s="420"/>
      <c r="F91" s="420"/>
      <c r="G91" s="420"/>
      <c r="H91" s="420"/>
      <c r="I91" s="420"/>
      <c r="J91" s="420"/>
      <c r="K91" s="420"/>
      <c r="L91" s="420"/>
      <c r="M91" s="420"/>
      <c r="N91" s="420"/>
      <c r="O91" s="420"/>
      <c r="P91" s="420"/>
      <c r="Q91" s="19"/>
    </row>
    <row r="92" spans="2:17" ht="16.5" thickBot="1">
      <c r="B92" s="191"/>
      <c r="C92" s="22"/>
      <c r="D92" s="22"/>
      <c r="E92" s="22"/>
      <c r="F92" s="22"/>
      <c r="G92" s="22"/>
      <c r="H92" s="22"/>
      <c r="I92" s="22"/>
      <c r="J92" s="22"/>
      <c r="K92" s="22"/>
      <c r="L92" s="22"/>
      <c r="M92" s="22"/>
      <c r="N92" s="22"/>
      <c r="O92" s="22"/>
      <c r="P92" s="22"/>
      <c r="Q92" s="23"/>
    </row>
    <row r="93" spans="2:17" ht="16.5" thickBot="1"/>
    <row r="94" spans="2:17" ht="21" thickBot="1">
      <c r="B94" s="414" t="s">
        <v>1813</v>
      </c>
      <c r="C94" s="415"/>
      <c r="D94" s="416"/>
      <c r="E94" s="365"/>
      <c r="F94" s="365"/>
      <c r="G94" s="365"/>
      <c r="H94" s="365"/>
      <c r="I94" s="365"/>
      <c r="J94" s="365"/>
      <c r="K94" s="365"/>
      <c r="L94" s="365"/>
      <c r="M94" s="365"/>
      <c r="N94" s="365"/>
      <c r="O94" s="365"/>
      <c r="P94" s="365"/>
      <c r="Q94" s="365"/>
    </row>
    <row r="96" spans="2:17">
      <c r="B96" s="366" t="s">
        <v>1850</v>
      </c>
    </row>
    <row r="97" spans="2:17">
      <c r="C97" s="11" t="s">
        <v>1808</v>
      </c>
    </row>
    <row r="99" spans="2:17">
      <c r="B99" s="366" t="s">
        <v>1804</v>
      </c>
      <c r="C99" s="366"/>
    </row>
    <row r="100" spans="2:17">
      <c r="C100" s="11" t="s">
        <v>1805</v>
      </c>
    </row>
    <row r="102" spans="2:17">
      <c r="B102" s="366" t="s">
        <v>1806</v>
      </c>
      <c r="C102" s="366"/>
    </row>
    <row r="103" spans="2:17">
      <c r="C103" s="11" t="s">
        <v>1807</v>
      </c>
    </row>
    <row r="105" spans="2:17">
      <c r="B105" s="366" t="s">
        <v>1810</v>
      </c>
    </row>
    <row r="106" spans="2:17">
      <c r="C106" s="11" t="s">
        <v>1809</v>
      </c>
    </row>
    <row r="108" spans="2:17">
      <c r="B108" s="366" t="s">
        <v>1812</v>
      </c>
    </row>
    <row r="109" spans="2:17">
      <c r="C109" s="11" t="s">
        <v>1811</v>
      </c>
    </row>
    <row r="110" spans="2:17" ht="16.5" thickBot="1"/>
    <row r="111" spans="2:17" ht="21" thickBot="1">
      <c r="B111" s="414" t="s">
        <v>1772</v>
      </c>
      <c r="C111" s="415"/>
      <c r="D111" s="416"/>
      <c r="E111" s="365"/>
      <c r="F111" s="365"/>
      <c r="G111" s="365"/>
      <c r="H111" s="365"/>
      <c r="I111" s="365"/>
      <c r="J111" s="365"/>
      <c r="K111" s="365"/>
      <c r="L111" s="365"/>
      <c r="M111" s="365"/>
      <c r="N111" s="365"/>
      <c r="O111" s="365"/>
      <c r="P111" s="365"/>
      <c r="Q111" s="365"/>
    </row>
    <row r="113" spans="2:3" s="366" customFormat="1">
      <c r="B113" s="366" t="s">
        <v>1739</v>
      </c>
    </row>
    <row r="114" spans="2:3">
      <c r="C114" s="11" t="s">
        <v>1740</v>
      </c>
    </row>
    <row r="115" spans="2:3">
      <c r="C115" s="11" t="s">
        <v>1741</v>
      </c>
    </row>
    <row r="116" spans="2:3">
      <c r="C116" s="11" t="s">
        <v>1742</v>
      </c>
    </row>
    <row r="118" spans="2:3">
      <c r="B118" s="366" t="s">
        <v>1746</v>
      </c>
    </row>
    <row r="119" spans="2:3">
      <c r="C119" s="11" t="s">
        <v>1747</v>
      </c>
    </row>
    <row r="120" spans="2:3">
      <c r="C120" s="363" t="s">
        <v>1748</v>
      </c>
    </row>
    <row r="122" spans="2:3">
      <c r="B122" s="366" t="s">
        <v>1762</v>
      </c>
    </row>
    <row r="123" spans="2:3">
      <c r="C123" s="11" t="s">
        <v>1832</v>
      </c>
    </row>
    <row r="125" spans="2:3">
      <c r="B125" s="366" t="s">
        <v>1764</v>
      </c>
    </row>
    <row r="126" spans="2:3">
      <c r="C126" s="11" t="s">
        <v>1743</v>
      </c>
    </row>
    <row r="127" spans="2:3">
      <c r="C127" s="11" t="s">
        <v>1744</v>
      </c>
    </row>
    <row r="128" spans="2:3">
      <c r="C128" s="11" t="s">
        <v>1745</v>
      </c>
    </row>
    <row r="129" spans="2:3">
      <c r="C129" s="11" t="s">
        <v>1833</v>
      </c>
    </row>
    <row r="130" spans="2:3">
      <c r="C130" s="11" t="s">
        <v>1759</v>
      </c>
    </row>
    <row r="131" spans="2:3">
      <c r="C131" s="11" t="s">
        <v>1752</v>
      </c>
    </row>
    <row r="132" spans="2:3">
      <c r="C132" s="11" t="s">
        <v>1753</v>
      </c>
    </row>
    <row r="133" spans="2:3">
      <c r="C133" s="11" t="s">
        <v>1754</v>
      </c>
    </row>
    <row r="134" spans="2:3">
      <c r="C134" s="11" t="s">
        <v>1755</v>
      </c>
    </row>
    <row r="135" spans="2:3">
      <c r="C135" s="11" t="s">
        <v>1756</v>
      </c>
    </row>
    <row r="136" spans="2:3">
      <c r="C136" s="11" t="s">
        <v>1757</v>
      </c>
    </row>
    <row r="137" spans="2:3">
      <c r="C137" s="11" t="s">
        <v>1760</v>
      </c>
    </row>
    <row r="138" spans="2:3">
      <c r="C138" s="11" t="s">
        <v>1761</v>
      </c>
    </row>
    <row r="139" spans="2:3">
      <c r="C139" s="11" t="s">
        <v>1758</v>
      </c>
    </row>
    <row r="140" spans="2:3">
      <c r="C140" s="11" t="s">
        <v>1777</v>
      </c>
    </row>
    <row r="142" spans="2:3">
      <c r="B142" s="366" t="s">
        <v>1750</v>
      </c>
    </row>
    <row r="143" spans="2:3">
      <c r="C143" s="11" t="s">
        <v>1751</v>
      </c>
    </row>
    <row r="145" spans="2:3">
      <c r="B145" s="366" t="s">
        <v>1749</v>
      </c>
    </row>
    <row r="146" spans="2:3">
      <c r="C146" s="11" t="s">
        <v>1763</v>
      </c>
    </row>
  </sheetData>
  <sheetProtection sheet="1" objects="1" scenarios="1"/>
  <mergeCells count="13">
    <mergeCell ref="B33:D33"/>
    <mergeCell ref="B19:D19"/>
    <mergeCell ref="J33:L33"/>
    <mergeCell ref="C51:P52"/>
    <mergeCell ref="C88:P91"/>
    <mergeCell ref="B111:D111"/>
    <mergeCell ref="B49:D49"/>
    <mergeCell ref="C71:P73"/>
    <mergeCell ref="C75:P78"/>
    <mergeCell ref="C80:P86"/>
    <mergeCell ref="B94:D94"/>
    <mergeCell ref="C58:P67"/>
    <mergeCell ref="C56:P56"/>
  </mergeCells>
  <dataValidations count="2">
    <dataValidation type="list" allowBlank="1" showInputMessage="1" showErrorMessage="1" sqref="D39" xr:uid="{00000000-0002-0000-0000-000000000000}">
      <formula1>"To be,Not to be"</formula1>
    </dataValidation>
    <dataValidation type="list" allowBlank="1" showInputMessage="1" showErrorMessage="1" sqref="D40" xr:uid="{00000000-0002-0000-0000-000001000000}">
      <formula1>"Tomato,Tomato"</formula1>
    </dataValidation>
  </dataValidations>
  <hyperlinks>
    <hyperlink ref="C120" r:id="rId1" xr:uid="{48D45A0F-C861-9C4A-9391-6A8D68BEBF16}"/>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B1:Q54"/>
  <sheetViews>
    <sheetView workbookViewId="0">
      <pane ySplit="1" topLeftCell="A2" activePane="bottomLeft" state="frozenSplit"/>
      <selection pane="bottomLeft" activeCell="K38" sqref="K38"/>
    </sheetView>
  </sheetViews>
  <sheetFormatPr defaultColWidth="10.875" defaultRowHeight="15.75" outlineLevelCol="1"/>
  <cols>
    <col min="1" max="2" width="2.5" style="50" customWidth="1"/>
    <col min="3" max="3" width="23.5" style="50" customWidth="1"/>
    <col min="4" max="4" width="8.875" style="50" bestFit="1" customWidth="1"/>
    <col min="5" max="5" width="2.5" style="50" customWidth="1"/>
    <col min="6" max="6" width="4.875" style="50" customWidth="1"/>
    <col min="7" max="9" width="2.5" style="50" customWidth="1"/>
    <col min="10" max="10" width="30.625" style="50" customWidth="1"/>
    <col min="11" max="11" width="19.125" style="50" bestFit="1" customWidth="1"/>
    <col min="12" max="13" width="4.875" style="50" hidden="1" customWidth="1" outlineLevel="1"/>
    <col min="14" max="14" width="7.125" style="50" customWidth="1" collapsed="1"/>
    <col min="15" max="15" width="2.5" style="50" customWidth="1"/>
    <col min="16" max="16" width="6" style="50" customWidth="1"/>
    <col min="17" max="17" width="2.5" style="50" customWidth="1"/>
    <col min="18" max="16384" width="10.875" style="50"/>
  </cols>
  <sheetData>
    <row r="1" spans="2:17" s="36" customFormat="1" ht="24" customHeight="1">
      <c r="B1" s="107" t="str">
        <f>"CatCost v"&amp;Version&amp;": "&amp;EstimateName</f>
        <v>CatCost v1.0.4: Test1</v>
      </c>
      <c r="E1" s="10"/>
      <c r="N1" s="108" t="s">
        <v>44</v>
      </c>
    </row>
    <row r="2" spans="2:17" ht="16.5" thickBot="1"/>
    <row r="3" spans="2:17" ht="21" thickBot="1">
      <c r="B3" s="414" t="s">
        <v>410</v>
      </c>
      <c r="C3" s="415"/>
      <c r="D3" s="415"/>
      <c r="E3" s="415"/>
      <c r="F3" s="415"/>
      <c r="G3" s="416"/>
      <c r="I3" s="414" t="s">
        <v>904</v>
      </c>
      <c r="J3" s="415"/>
      <c r="K3" s="415"/>
      <c r="L3" s="415"/>
      <c r="M3" s="415"/>
      <c r="N3" s="415"/>
      <c r="O3" s="415"/>
      <c r="P3" s="415"/>
      <c r="Q3" s="416"/>
    </row>
    <row r="4" spans="2:17">
      <c r="B4" s="32"/>
      <c r="C4" s="33"/>
      <c r="D4" s="33"/>
      <c r="E4" s="33"/>
      <c r="F4" s="33"/>
      <c r="G4" s="34"/>
      <c r="I4" s="152"/>
      <c r="J4" s="153"/>
      <c r="K4" s="235"/>
      <c r="L4" s="153"/>
      <c r="M4" s="153"/>
      <c r="N4" s="153"/>
      <c r="O4" s="153"/>
      <c r="P4" s="153"/>
      <c r="Q4" s="154"/>
    </row>
    <row r="5" spans="2:17">
      <c r="B5" s="32"/>
      <c r="C5" s="17" t="s">
        <v>43</v>
      </c>
      <c r="D5" s="57"/>
      <c r="E5" s="33"/>
      <c r="F5" s="33"/>
      <c r="G5" s="34"/>
      <c r="I5" s="32"/>
      <c r="J5" s="17" t="s">
        <v>1735</v>
      </c>
      <c r="K5" s="35"/>
      <c r="L5" s="33"/>
      <c r="M5" s="33"/>
      <c r="N5" s="33"/>
      <c r="O5" s="33"/>
      <c r="P5" s="33"/>
      <c r="Q5" s="34"/>
    </row>
    <row r="6" spans="2:17">
      <c r="B6" s="32"/>
      <c r="C6" s="43" t="s">
        <v>1854</v>
      </c>
      <c r="D6" s="33"/>
      <c r="E6" s="33"/>
      <c r="F6" s="33"/>
      <c r="G6" s="34"/>
      <c r="I6" s="32"/>
      <c r="J6" s="33" t="s">
        <v>1711</v>
      </c>
      <c r="K6" s="35"/>
      <c r="L6" s="33"/>
      <c r="M6" s="33"/>
      <c r="N6" s="33"/>
      <c r="O6" s="33"/>
      <c r="P6" s="33"/>
      <c r="Q6" s="34"/>
    </row>
    <row r="7" spans="2:17">
      <c r="B7" s="32"/>
      <c r="C7" s="33"/>
      <c r="D7" s="33"/>
      <c r="E7" s="33"/>
      <c r="F7" s="33"/>
      <c r="G7" s="34"/>
      <c r="I7" s="32"/>
      <c r="J7" s="33" t="s">
        <v>1727</v>
      </c>
      <c r="K7" s="35"/>
      <c r="L7" s="33"/>
      <c r="M7" s="33"/>
      <c r="N7" s="33"/>
      <c r="O7" s="33"/>
      <c r="P7" s="33"/>
      <c r="Q7" s="34"/>
    </row>
    <row r="8" spans="2:17">
      <c r="B8" s="32"/>
      <c r="C8" s="17" t="s">
        <v>0</v>
      </c>
      <c r="D8" s="33"/>
      <c r="E8" s="33"/>
      <c r="F8" s="33"/>
      <c r="G8" s="34"/>
      <c r="I8" s="32"/>
      <c r="J8" s="362" t="s">
        <v>1721</v>
      </c>
      <c r="K8" s="35"/>
      <c r="L8" s="33"/>
      <c r="M8" s="33"/>
      <c r="N8" s="33"/>
      <c r="O8" s="33"/>
      <c r="P8" s="33"/>
      <c r="Q8" s="34"/>
    </row>
    <row r="9" spans="2:17">
      <c r="B9" s="32"/>
      <c r="C9" s="33" t="s">
        <v>966</v>
      </c>
      <c r="D9" s="43">
        <v>2016</v>
      </c>
      <c r="E9" s="33"/>
      <c r="F9" s="42" t="s">
        <v>160</v>
      </c>
      <c r="G9" s="34"/>
      <c r="I9" s="32"/>
      <c r="J9" s="33" t="s">
        <v>1728</v>
      </c>
      <c r="K9" s="35"/>
      <c r="L9" s="33"/>
      <c r="M9" s="33"/>
      <c r="N9" s="33"/>
      <c r="O9" s="33"/>
      <c r="P9" s="33"/>
      <c r="Q9" s="34"/>
    </row>
    <row r="10" spans="2:17">
      <c r="B10" s="32"/>
      <c r="C10" s="33" t="s">
        <v>1</v>
      </c>
      <c r="D10" s="43" t="s">
        <v>10</v>
      </c>
      <c r="E10" s="33"/>
      <c r="F10" s="42" t="s">
        <v>160</v>
      </c>
      <c r="G10" s="34"/>
      <c r="I10" s="32"/>
      <c r="J10" s="362" t="s">
        <v>1729</v>
      </c>
      <c r="K10" s="35"/>
      <c r="L10" s="33"/>
      <c r="M10" s="33"/>
      <c r="N10" s="33"/>
      <c r="O10" s="33"/>
      <c r="P10" s="33"/>
      <c r="Q10" s="34"/>
    </row>
    <row r="11" spans="2:17">
      <c r="B11" s="32"/>
      <c r="C11" s="33" t="s">
        <v>42</v>
      </c>
      <c r="D11" s="43" t="str">
        <f>IF(D10="USD ($)","$","Enter Currency")</f>
        <v>$</v>
      </c>
      <c r="E11" s="33"/>
      <c r="F11" s="33"/>
      <c r="G11" s="34"/>
      <c r="I11" s="32"/>
      <c r="J11" s="33"/>
      <c r="K11" s="35"/>
      <c r="L11" s="33"/>
      <c r="M11" s="33"/>
      <c r="N11" s="33"/>
      <c r="O11" s="33"/>
      <c r="P11" s="33"/>
      <c r="Q11" s="34"/>
    </row>
    <row r="12" spans="2:17">
      <c r="B12" s="32"/>
      <c r="C12" s="33"/>
      <c r="D12" s="35"/>
      <c r="E12" s="33"/>
      <c r="F12" s="33"/>
      <c r="G12" s="34"/>
      <c r="I12" s="32"/>
      <c r="J12" s="33" t="s">
        <v>1725</v>
      </c>
      <c r="K12" s="35"/>
      <c r="L12" s="33"/>
      <c r="M12" s="33"/>
      <c r="N12" s="33"/>
      <c r="O12" s="33"/>
      <c r="P12" s="33"/>
      <c r="Q12" s="34"/>
    </row>
    <row r="13" spans="2:17">
      <c r="B13" s="32"/>
      <c r="C13" s="17" t="s">
        <v>5</v>
      </c>
      <c r="D13" s="37"/>
      <c r="E13" s="33"/>
      <c r="F13" s="33"/>
      <c r="G13" s="34"/>
      <c r="I13" s="32"/>
      <c r="J13" s="33" t="s">
        <v>1726</v>
      </c>
      <c r="K13" s="35"/>
      <c r="L13" s="33"/>
      <c r="M13" s="33"/>
      <c r="N13" s="33"/>
      <c r="O13" s="33"/>
      <c r="P13" s="33"/>
      <c r="Q13" s="34"/>
    </row>
    <row r="14" spans="2:17">
      <c r="B14" s="32"/>
      <c r="C14" s="33" t="s">
        <v>2</v>
      </c>
      <c r="D14" s="43" t="s">
        <v>71</v>
      </c>
      <c r="E14" s="33"/>
      <c r="F14" s="42" t="s">
        <v>160</v>
      </c>
      <c r="G14" s="34"/>
      <c r="I14" s="32"/>
      <c r="J14" s="33" t="s">
        <v>1722</v>
      </c>
      <c r="K14" s="35"/>
      <c r="L14" s="33"/>
      <c r="M14" s="33"/>
      <c r="N14" s="33"/>
      <c r="O14" s="33"/>
      <c r="P14" s="33"/>
      <c r="Q14" s="34"/>
    </row>
    <row r="15" spans="2:17" ht="16.5" thickBot="1">
      <c r="B15" s="39"/>
      <c r="C15" s="40"/>
      <c r="D15" s="233"/>
      <c r="E15" s="40"/>
      <c r="F15" s="40"/>
      <c r="G15" s="41"/>
      <c r="I15" s="32"/>
      <c r="J15" s="33" t="s">
        <v>1847</v>
      </c>
      <c r="K15" s="35"/>
      <c r="L15" s="33"/>
      <c r="M15" s="33"/>
      <c r="N15" s="33"/>
      <c r="O15" s="33"/>
      <c r="P15" s="33"/>
      <c r="Q15" s="34"/>
    </row>
    <row r="16" spans="2:17">
      <c r="I16" s="32"/>
      <c r="J16" s="33" t="s">
        <v>1848</v>
      </c>
      <c r="K16" s="35"/>
      <c r="L16" s="33"/>
      <c r="M16" s="33"/>
      <c r="N16" s="33"/>
      <c r="O16" s="33"/>
      <c r="P16" s="33"/>
      <c r="Q16" s="34"/>
    </row>
    <row r="17" spans="9:17" ht="16.5" thickBot="1">
      <c r="I17" s="39"/>
      <c r="J17" s="40"/>
      <c r="K17" s="233"/>
      <c r="L17" s="40"/>
      <c r="M17" s="40"/>
      <c r="N17" s="40"/>
      <c r="O17" s="40"/>
      <c r="P17" s="40"/>
      <c r="Q17" s="41"/>
    </row>
    <row r="18" spans="9:17">
      <c r="I18" s="32"/>
      <c r="J18" s="33"/>
      <c r="K18" s="35"/>
      <c r="L18" s="33"/>
      <c r="M18" s="33"/>
      <c r="N18" s="33"/>
      <c r="O18" s="33"/>
      <c r="P18" s="33"/>
      <c r="Q18" s="34"/>
    </row>
    <row r="19" spans="9:17">
      <c r="I19" s="32"/>
      <c r="J19" s="17" t="s">
        <v>1723</v>
      </c>
      <c r="K19" s="238"/>
      <c r="L19" s="33"/>
      <c r="M19" s="33"/>
      <c r="N19" s="33"/>
      <c r="O19" s="33"/>
      <c r="P19" s="33"/>
      <c r="Q19" s="34"/>
    </row>
    <row r="20" spans="9:17">
      <c r="I20" s="32"/>
      <c r="J20" s="17"/>
      <c r="K20" s="238"/>
      <c r="L20" s="33"/>
      <c r="M20" s="33"/>
      <c r="N20" s="33"/>
      <c r="O20" s="33"/>
      <c r="P20" s="33"/>
      <c r="Q20" s="34"/>
    </row>
    <row r="21" spans="9:17">
      <c r="I21" s="32"/>
      <c r="J21" s="17" t="s">
        <v>1730</v>
      </c>
      <c r="K21" s="65" t="s">
        <v>39</v>
      </c>
      <c r="L21" s="65" t="s">
        <v>40</v>
      </c>
      <c r="M21" s="65" t="s">
        <v>41</v>
      </c>
      <c r="N21" s="33"/>
      <c r="O21" s="33"/>
      <c r="P21" s="33"/>
      <c r="Q21" s="34"/>
    </row>
    <row r="22" spans="9:17">
      <c r="I22" s="32"/>
      <c r="J22" s="33" t="s">
        <v>905</v>
      </c>
      <c r="K22" s="236">
        <v>100</v>
      </c>
      <c r="L22" s="60"/>
      <c r="M22" s="60"/>
      <c r="N22" s="47" t="s">
        <v>401</v>
      </c>
      <c r="O22" s="33"/>
      <c r="P22" s="33"/>
      <c r="Q22" s="34"/>
    </row>
    <row r="23" spans="9:17">
      <c r="I23" s="32"/>
      <c r="J23" s="33" t="s">
        <v>906</v>
      </c>
      <c r="K23" s="51" t="str">
        <f>IF($K$22&lt;1,"",IF($K$22&lt;5,"Small (1 ton/day)",IF($K$22&lt;70,"Medium (10 ton/day)","Large (150 ton/day)")))</f>
        <v>Large (150 ton/day)</v>
      </c>
      <c r="L23" s="48"/>
      <c r="M23" s="48"/>
      <c r="N23" s="48"/>
      <c r="O23" s="33"/>
      <c r="P23" s="33"/>
      <c r="Q23" s="34"/>
    </row>
    <row r="24" spans="9:17">
      <c r="I24" s="32"/>
      <c r="J24" s="234" t="s">
        <v>907</v>
      </c>
      <c r="K24" s="237">
        <f>IF($K$22&lt;1,"",IF($K$22&lt;5,$K$22,IF($K$22&lt;70,$K$22/10,$K$22/150)))</f>
        <v>0.66666666666666663</v>
      </c>
      <c r="L24" s="48"/>
      <c r="M24" s="48"/>
      <c r="N24" s="48" t="s">
        <v>948</v>
      </c>
      <c r="O24" s="33"/>
      <c r="P24" s="33"/>
      <c r="Q24" s="34"/>
    </row>
    <row r="25" spans="9:17">
      <c r="I25" s="32"/>
      <c r="J25" s="234" t="s">
        <v>908</v>
      </c>
      <c r="K25" s="237">
        <f>IF($K$22&lt;1,"",IF($K$22&lt;5,0.5,1))</f>
        <v>1</v>
      </c>
      <c r="L25" s="48"/>
      <c r="M25" s="48"/>
      <c r="N25" s="48" t="s">
        <v>948</v>
      </c>
      <c r="O25" s="33"/>
      <c r="P25" s="33"/>
      <c r="Q25" s="34"/>
    </row>
    <row r="26" spans="9:17">
      <c r="I26" s="32"/>
      <c r="J26" s="33" t="s">
        <v>1731</v>
      </c>
      <c r="K26" s="237">
        <f>IFERROR(K24+K25,"")</f>
        <v>1.6666666666666665</v>
      </c>
      <c r="L26" s="48"/>
      <c r="M26" s="48"/>
      <c r="N26" s="48" t="s">
        <v>948</v>
      </c>
      <c r="O26" s="33"/>
      <c r="P26" s="33"/>
      <c r="Q26" s="34"/>
    </row>
    <row r="27" spans="9:17">
      <c r="I27" s="32"/>
      <c r="J27" s="33"/>
      <c r="K27" s="237"/>
      <c r="L27" s="48"/>
      <c r="M27" s="48"/>
      <c r="N27" s="48"/>
      <c r="O27" s="33"/>
      <c r="P27" s="33"/>
      <c r="Q27" s="34"/>
    </row>
    <row r="28" spans="9:17">
      <c r="I28" s="32"/>
      <c r="J28" s="17" t="s">
        <v>1734</v>
      </c>
      <c r="K28" s="237"/>
      <c r="L28" s="48"/>
      <c r="M28" s="48"/>
      <c r="N28" s="48"/>
      <c r="O28" s="33"/>
      <c r="P28" s="33"/>
      <c r="Q28" s="34"/>
    </row>
    <row r="29" spans="9:17">
      <c r="I29" s="32"/>
      <c r="J29" s="33" t="s">
        <v>1732</v>
      </c>
      <c r="K29" s="236">
        <v>5</v>
      </c>
      <c r="L29" s="60"/>
      <c r="M29" s="60"/>
      <c r="N29" s="47" t="s">
        <v>9</v>
      </c>
      <c r="O29" s="33"/>
      <c r="P29" s="42" t="s">
        <v>160</v>
      </c>
      <c r="Q29" s="34"/>
    </row>
    <row r="30" spans="9:17">
      <c r="I30" s="32"/>
      <c r="J30" s="33" t="s">
        <v>1733</v>
      </c>
      <c r="K30" s="236">
        <v>5</v>
      </c>
      <c r="L30" s="60"/>
      <c r="M30" s="60"/>
      <c r="N30" s="47" t="s">
        <v>9</v>
      </c>
      <c r="O30" s="33"/>
      <c r="P30" s="42" t="s">
        <v>160</v>
      </c>
      <c r="Q30" s="34"/>
    </row>
    <row r="31" spans="9:17">
      <c r="I31" s="32"/>
      <c r="J31" s="33" t="s">
        <v>909</v>
      </c>
      <c r="K31" s="237">
        <f>IFERROR(60.976*K22^-0.28632,"")</f>
        <v>16.31244015601488</v>
      </c>
      <c r="L31" s="48"/>
      <c r="M31" s="48"/>
      <c r="N31" s="48" t="s">
        <v>9</v>
      </c>
      <c r="O31" s="33"/>
      <c r="P31" s="42" t="s">
        <v>160</v>
      </c>
      <c r="Q31" s="34"/>
    </row>
    <row r="32" spans="9:17" ht="16.5" thickBot="1">
      <c r="I32" s="39"/>
      <c r="J32" s="40"/>
      <c r="K32" s="233"/>
      <c r="L32" s="40"/>
      <c r="M32" s="40"/>
      <c r="N32" s="40"/>
      <c r="O32" s="40"/>
      <c r="P32" s="40"/>
      <c r="Q32" s="41"/>
    </row>
    <row r="33" spans="9:17">
      <c r="I33" s="32"/>
      <c r="J33" s="33"/>
      <c r="K33" s="35"/>
      <c r="L33" s="33"/>
      <c r="M33" s="33"/>
      <c r="N33" s="33"/>
      <c r="O33" s="33"/>
      <c r="P33" s="33"/>
      <c r="Q33" s="34"/>
    </row>
    <row r="34" spans="9:17">
      <c r="I34" s="32"/>
      <c r="J34" s="17" t="s">
        <v>1724</v>
      </c>
      <c r="K34" s="35"/>
      <c r="L34" s="33"/>
      <c r="M34" s="33"/>
      <c r="N34" s="33"/>
      <c r="O34" s="33"/>
      <c r="P34" s="33"/>
      <c r="Q34" s="34"/>
    </row>
    <row r="35" spans="9:17">
      <c r="I35" s="32"/>
      <c r="J35" s="33"/>
      <c r="K35" s="35"/>
      <c r="L35" s="33"/>
      <c r="M35" s="33"/>
      <c r="N35" s="33"/>
      <c r="O35" s="33"/>
      <c r="P35" s="33"/>
      <c r="Q35" s="34"/>
    </row>
    <row r="36" spans="9:17">
      <c r="I36" s="32"/>
      <c r="J36" s="17" t="s">
        <v>384</v>
      </c>
      <c r="K36" s="65" t="s">
        <v>39</v>
      </c>
      <c r="L36" s="65" t="s">
        <v>40</v>
      </c>
      <c r="M36" s="65" t="s">
        <v>41</v>
      </c>
      <c r="N36" s="33"/>
      <c r="O36" s="33"/>
      <c r="P36" s="33"/>
      <c r="Q36" s="34"/>
    </row>
    <row r="37" spans="9:17">
      <c r="I37" s="32"/>
      <c r="J37" s="33" t="s">
        <v>12</v>
      </c>
      <c r="K37" s="44">
        <v>10000</v>
      </c>
      <c r="L37" s="59"/>
      <c r="M37" s="59"/>
      <c r="N37" s="47" t="str">
        <f>IF(OutMassUnit="","",OutMassUnit)</f>
        <v>kg</v>
      </c>
      <c r="O37" s="33"/>
      <c r="P37" s="42" t="s">
        <v>160</v>
      </c>
      <c r="Q37" s="34"/>
    </row>
    <row r="38" spans="9:17">
      <c r="I38" s="32"/>
      <c r="J38" s="33" t="s">
        <v>6</v>
      </c>
      <c r="K38" s="45">
        <v>100</v>
      </c>
      <c r="L38" s="60">
        <v>80</v>
      </c>
      <c r="M38" s="60">
        <v>105</v>
      </c>
      <c r="N38" s="47" t="s">
        <v>9</v>
      </c>
      <c r="O38" s="33"/>
      <c r="P38" s="42" t="s">
        <v>160</v>
      </c>
      <c r="Q38" s="34"/>
    </row>
    <row r="39" spans="9:17">
      <c r="I39" s="32"/>
      <c r="J39" s="33" t="s">
        <v>14</v>
      </c>
      <c r="K39" s="49">
        <f>K37*K38/100</f>
        <v>10000</v>
      </c>
      <c r="L39" s="38"/>
      <c r="M39" s="38"/>
      <c r="N39" s="48" t="str">
        <f>IF(OutMassUnit="","",OutMassUnit)</f>
        <v>kg</v>
      </c>
      <c r="O39" s="33"/>
      <c r="P39" s="42" t="s">
        <v>160</v>
      </c>
      <c r="Q39" s="34"/>
    </row>
    <row r="40" spans="9:17">
      <c r="I40" s="32"/>
      <c r="J40" s="33"/>
      <c r="K40" s="35"/>
      <c r="L40" s="33"/>
      <c r="M40" s="33"/>
      <c r="N40" s="33"/>
      <c r="O40" s="33"/>
      <c r="P40" s="33"/>
      <c r="Q40" s="34"/>
    </row>
    <row r="41" spans="9:17">
      <c r="I41" s="32"/>
      <c r="J41" s="17" t="s">
        <v>15</v>
      </c>
      <c r="K41" s="35"/>
      <c r="L41" s="33"/>
      <c r="M41" s="33"/>
      <c r="N41" s="33"/>
      <c r="O41" s="33"/>
      <c r="P41" s="33"/>
      <c r="Q41" s="34"/>
    </row>
    <row r="42" spans="9:17">
      <c r="I42" s="32"/>
      <c r="J42" s="33" t="s">
        <v>11</v>
      </c>
      <c r="K42" s="45">
        <f>365*24</f>
        <v>8760</v>
      </c>
      <c r="L42" s="60"/>
      <c r="M42" s="60"/>
      <c r="N42" s="47" t="s">
        <v>7</v>
      </c>
      <c r="O42" s="33"/>
      <c r="P42" s="42" t="s">
        <v>160</v>
      </c>
      <c r="Q42" s="34"/>
    </row>
    <row r="43" spans="9:17">
      <c r="I43" s="32"/>
      <c r="J43" s="33" t="s">
        <v>903</v>
      </c>
      <c r="K43" s="45">
        <v>90</v>
      </c>
      <c r="L43" s="60"/>
      <c r="M43" s="60"/>
      <c r="N43" s="47" t="s">
        <v>9</v>
      </c>
      <c r="O43" s="33"/>
      <c r="P43" s="42" t="s">
        <v>160</v>
      </c>
      <c r="Q43" s="34"/>
    </row>
    <row r="44" spans="9:17">
      <c r="I44" s="32"/>
      <c r="J44" s="33" t="s">
        <v>13</v>
      </c>
      <c r="K44" s="51">
        <f>K42*K43/100</f>
        <v>7884</v>
      </c>
      <c r="L44" s="33"/>
      <c r="M44" s="33"/>
      <c r="N44" s="48" t="s">
        <v>7</v>
      </c>
      <c r="O44" s="33"/>
      <c r="P44" s="42" t="s">
        <v>160</v>
      </c>
      <c r="Q44" s="34"/>
    </row>
    <row r="45" spans="9:17">
      <c r="I45" s="32"/>
      <c r="J45" s="33" t="s">
        <v>16</v>
      </c>
      <c r="K45" s="49">
        <f>K37/K44</f>
        <v>1.2683916793505834</v>
      </c>
      <c r="L45" s="38"/>
      <c r="M45" s="38"/>
      <c r="N45" s="48" t="str">
        <f>IF(OutMassUnit="","",OutMassUnit&amp;"/hr")</f>
        <v>kg/hr</v>
      </c>
      <c r="O45" s="33"/>
      <c r="P45" s="42" t="s">
        <v>160</v>
      </c>
      <c r="Q45" s="34"/>
    </row>
    <row r="46" spans="9:17">
      <c r="I46" s="32"/>
      <c r="J46" s="33"/>
      <c r="K46" s="49"/>
      <c r="L46" s="38"/>
      <c r="M46" s="38"/>
      <c r="N46" s="48"/>
      <c r="O46" s="33"/>
      <c r="P46" s="33"/>
      <c r="Q46" s="34"/>
    </row>
    <row r="47" spans="9:17">
      <c r="I47" s="32"/>
      <c r="J47" s="17" t="s">
        <v>1108</v>
      </c>
      <c r="K47" s="49"/>
      <c r="L47" s="38"/>
      <c r="M47" s="38"/>
      <c r="N47" s="48"/>
      <c r="O47" s="33"/>
      <c r="P47" s="33"/>
      <c r="Q47" s="34"/>
    </row>
    <row r="48" spans="9:17">
      <c r="I48" s="32"/>
      <c r="J48" s="33" t="s">
        <v>1109</v>
      </c>
      <c r="K48" s="45">
        <v>10</v>
      </c>
      <c r="L48" s="60"/>
      <c r="M48" s="60"/>
      <c r="N48" s="47" t="s">
        <v>8</v>
      </c>
      <c r="O48" s="33"/>
      <c r="P48" s="42" t="s">
        <v>160</v>
      </c>
      <c r="Q48" s="34"/>
    </row>
    <row r="49" spans="9:17">
      <c r="I49" s="32"/>
      <c r="J49" s="33"/>
      <c r="K49" s="49"/>
      <c r="L49" s="38"/>
      <c r="M49" s="38"/>
      <c r="N49" s="48"/>
      <c r="O49" s="33"/>
      <c r="P49" s="33"/>
      <c r="Q49" s="34"/>
    </row>
    <row r="50" spans="9:17">
      <c r="I50" s="32"/>
      <c r="J50" s="17" t="s">
        <v>909</v>
      </c>
      <c r="K50" s="49"/>
      <c r="L50" s="38"/>
      <c r="M50" s="38"/>
      <c r="N50" s="48"/>
      <c r="O50" s="33"/>
      <c r="P50" s="33"/>
      <c r="Q50" s="34"/>
    </row>
    <row r="51" spans="9:17">
      <c r="I51" s="32"/>
      <c r="J51" s="33" t="s">
        <v>910</v>
      </c>
      <c r="K51" s="43" t="s">
        <v>1803</v>
      </c>
      <c r="L51" s="38"/>
      <c r="M51" s="38"/>
      <c r="N51" s="48"/>
      <c r="O51" s="33"/>
      <c r="P51" s="33"/>
      <c r="Q51" s="34"/>
    </row>
    <row r="52" spans="9:17">
      <c r="I52" s="32"/>
      <c r="J52" s="33" t="s">
        <v>1106</v>
      </c>
      <c r="K52" s="45">
        <v>25</v>
      </c>
      <c r="L52" s="60">
        <v>20</v>
      </c>
      <c r="M52" s="60">
        <v>30</v>
      </c>
      <c r="N52" s="47" t="s">
        <v>1846</v>
      </c>
      <c r="O52" s="33"/>
      <c r="P52" s="33"/>
      <c r="Q52" s="34"/>
    </row>
    <row r="53" spans="9:17">
      <c r="I53" s="32"/>
      <c r="J53" s="33" t="s">
        <v>911</v>
      </c>
      <c r="K53" s="45"/>
      <c r="L53" s="60"/>
      <c r="M53" s="60"/>
      <c r="N53" s="47" t="s">
        <v>9</v>
      </c>
      <c r="O53" s="33"/>
      <c r="P53" s="33"/>
      <c r="Q53" s="34"/>
    </row>
    <row r="54" spans="9:17" ht="16.5" thickBot="1">
      <c r="I54" s="39"/>
      <c r="J54" s="40"/>
      <c r="K54" s="40"/>
      <c r="L54" s="40"/>
      <c r="M54" s="40"/>
      <c r="N54" s="40"/>
      <c r="O54" s="40"/>
      <c r="P54" s="40"/>
      <c r="Q54" s="41"/>
    </row>
  </sheetData>
  <mergeCells count="2">
    <mergeCell ref="B3:G3"/>
    <mergeCell ref="I3:Q3"/>
  </mergeCells>
  <conditionalFormatting sqref="D9 K37:K38 K42:K43 D11 C6">
    <cfRule type="containsBlanks" dxfId="229" priority="17">
      <formula>LEN(TRIM(C6))=0</formula>
    </cfRule>
  </conditionalFormatting>
  <conditionalFormatting sqref="K22">
    <cfRule type="containsBlanks" dxfId="228" priority="14">
      <formula>LEN(TRIM(K22))=0</formula>
    </cfRule>
  </conditionalFormatting>
  <conditionalFormatting sqref="K52">
    <cfRule type="containsBlanks" dxfId="227" priority="12">
      <formula>LEN(TRIM(K52))=0</formula>
    </cfRule>
  </conditionalFormatting>
  <conditionalFormatting sqref="K53">
    <cfRule type="containsBlanks" dxfId="226" priority="11">
      <formula>LEN(TRIM(K53))=0</formula>
    </cfRule>
  </conditionalFormatting>
  <conditionalFormatting sqref="D10">
    <cfRule type="containsBlanks" dxfId="225" priority="10">
      <formula>LEN(TRIM(D10))=0</formula>
    </cfRule>
  </conditionalFormatting>
  <conditionalFormatting sqref="D14">
    <cfRule type="containsBlanks" dxfId="224" priority="9">
      <formula>LEN(TRIM(D14))=0</formula>
    </cfRule>
  </conditionalFormatting>
  <conditionalFormatting sqref="K51">
    <cfRule type="containsBlanks" dxfId="223" priority="7">
      <formula>LEN(TRIM(K51))=0</formula>
    </cfRule>
  </conditionalFormatting>
  <conditionalFormatting sqref="K48">
    <cfRule type="containsBlanks" dxfId="222" priority="6">
      <formula>LEN(TRIM(K48))=0</formula>
    </cfRule>
  </conditionalFormatting>
  <conditionalFormatting sqref="K53:M53">
    <cfRule type="expression" dxfId="221" priority="3">
      <formula>$K$51="ROI"</formula>
    </cfRule>
  </conditionalFormatting>
  <conditionalFormatting sqref="K29">
    <cfRule type="containsBlanks" dxfId="220" priority="2">
      <formula>LEN(TRIM(K29))=0</formula>
    </cfRule>
  </conditionalFormatting>
  <conditionalFormatting sqref="K30">
    <cfRule type="containsBlanks" dxfId="219" priority="1">
      <formula>LEN(TRIM(K30))=0</formula>
    </cfRule>
  </conditionalFormatting>
  <conditionalFormatting sqref="K52:M52">
    <cfRule type="expression" dxfId="218" priority="5">
      <formula>$K$51="% of costs"</formula>
    </cfRule>
  </conditionalFormatting>
  <dataValidations count="4">
    <dataValidation type="list" allowBlank="1" showInputMessage="1" showErrorMessage="1" sqref="D10" xr:uid="{00000000-0002-0000-0100-000000000000}">
      <formula1>"USD ($)"</formula1>
    </dataValidation>
    <dataValidation type="list" allowBlank="1" showInputMessage="1" showErrorMessage="1" sqref="D14" xr:uid="{00000000-0002-0000-0100-000001000000}">
      <formula1>MassUnits</formula1>
    </dataValidation>
    <dataValidation type="list" allowBlank="1" showInputMessage="1" showErrorMessage="1" sqref="K51" xr:uid="{13AC2474-234D-4249-BB65-6C46E196390E}">
      <formula1>"ROI,% of costs,Both"</formula1>
    </dataValidation>
    <dataValidation type="list" allowBlank="1" showInputMessage="1" showErrorMessage="1" sqref="D9" xr:uid="{24F36F29-DF67-A14B-904A-13B5FF49A1E7}">
      <formula1>BasisYearRange</formula1>
    </dataValidation>
  </dataValidations>
  <pageMargins left="0.75" right="0.75" top="1" bottom="1" header="0.5" footer="0.5"/>
  <pageSetup orientation="portrait" horizontalDpi="4294967292" verticalDpi="4294967292"/>
  <ignoredErrors>
    <ignoredError sqref="A1:XFD5 A10:XFD13 A9:C9 E9:XFD9 A17:XFD21 A14:C14 E14:XFD14 A23:XFD36 A22:J22 L22:XFD22 A54:XFD1048576 A53:J53 L53:XFD53 A52:M52 A51:J51 L51:XFD51 A38:XFD50 A37:J37 L37:XFD37 O52:XFD52 A15:I15 K15:XFD15 A16:I16 K16:XFD16 A7:XFD8 A6:B6 D6:XFD6" emptyCellReference="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T56"/>
  <sheetViews>
    <sheetView zoomScaleNormal="100" workbookViewId="0">
      <pane ySplit="1" topLeftCell="A2" activePane="bottomLeft" state="frozenSplit"/>
      <selection sqref="A1:XFD1"/>
      <selection pane="bottomLeft" activeCell="D44" sqref="D44"/>
    </sheetView>
  </sheetViews>
  <sheetFormatPr defaultColWidth="11" defaultRowHeight="15.75" outlineLevelCol="1"/>
  <cols>
    <col min="1" max="2" width="2.5" style="11" customWidth="1"/>
    <col min="3" max="3" width="34.625" style="11" customWidth="1"/>
    <col min="4" max="4" width="12.375" style="11" customWidth="1"/>
    <col min="5" max="6" width="11.375" style="11" hidden="1" customWidth="1" outlineLevel="1"/>
    <col min="7" max="7" width="8.125" style="11" customWidth="1" collapsed="1"/>
    <col min="8" max="8" width="2.5" style="11" customWidth="1"/>
    <col min="9" max="9" width="11.375" style="11" bestFit="1" customWidth="1"/>
    <col min="10" max="10" width="2.5" style="11" customWidth="1"/>
    <col min="11" max="11" width="13.375" style="11" customWidth="1"/>
    <col min="12" max="12" width="25.875" style="11" bestFit="1" customWidth="1"/>
    <col min="13" max="13" width="23.875" style="11" customWidth="1"/>
    <col min="14" max="15" width="11.875" style="11" hidden="1" customWidth="1" outlineLevel="1"/>
    <col min="16" max="16" width="2.5" style="11" customWidth="1" collapsed="1"/>
    <col min="17" max="17" width="22.125" style="11" customWidth="1"/>
    <col min="18" max="18" width="19" style="11" customWidth="1"/>
    <col min="19" max="19" width="2.5" style="11" customWidth="1"/>
    <col min="20" max="16384" width="11" style="11"/>
  </cols>
  <sheetData>
    <row r="1" spans="2:19" s="10" customFormat="1" ht="24" customHeight="1">
      <c r="B1" s="107" t="str">
        <f>"CatCost v"&amp;Version&amp;": "&amp;EstimateName</f>
        <v>CatCost v1.0.4: Test1</v>
      </c>
      <c r="G1" s="108" t="s">
        <v>44</v>
      </c>
      <c r="H1" s="109"/>
      <c r="I1" s="109"/>
      <c r="J1" s="109"/>
      <c r="K1" s="109"/>
      <c r="L1" s="109"/>
      <c r="M1" s="109"/>
      <c r="N1" s="109"/>
      <c r="O1" s="109"/>
      <c r="P1" s="109"/>
      <c r="Q1" s="108" t="s">
        <v>44</v>
      </c>
      <c r="R1" s="109"/>
    </row>
    <row r="2" spans="2:19" ht="16.5" thickBot="1"/>
    <row r="3" spans="2:19" ht="21" thickBot="1">
      <c r="B3" s="414" t="s">
        <v>411</v>
      </c>
      <c r="C3" s="415"/>
      <c r="D3" s="416"/>
      <c r="E3" s="97"/>
      <c r="F3" s="97"/>
      <c r="G3" s="97"/>
      <c r="H3" s="97"/>
      <c r="I3" s="97"/>
      <c r="J3" s="97"/>
      <c r="K3" s="55"/>
    </row>
    <row r="4" spans="2:19" ht="15.95" customHeight="1">
      <c r="B4" s="16"/>
      <c r="C4" s="52"/>
      <c r="D4" s="52"/>
      <c r="E4" s="52"/>
      <c r="F4" s="52"/>
      <c r="G4" s="52"/>
      <c r="H4" s="52"/>
      <c r="I4" s="52"/>
      <c r="J4" s="53"/>
    </row>
    <row r="5" spans="2:19" ht="15.95" customHeight="1">
      <c r="B5" s="16"/>
      <c r="C5" s="17" t="s">
        <v>24</v>
      </c>
      <c r="D5" s="112" t="s">
        <v>39</v>
      </c>
      <c r="E5" s="112" t="s">
        <v>40</v>
      </c>
      <c r="F5" s="112" t="s">
        <v>41</v>
      </c>
      <c r="G5" s="64" t="s">
        <v>173</v>
      </c>
      <c r="H5" s="18"/>
      <c r="I5" s="18"/>
      <c r="J5" s="19"/>
    </row>
    <row r="6" spans="2:19" ht="15.95" customHeight="1">
      <c r="B6" s="16"/>
      <c r="C6" s="18" t="s">
        <v>27</v>
      </c>
      <c r="D6" s="43" t="s">
        <v>382</v>
      </c>
      <c r="E6" s="18"/>
      <c r="F6" s="18"/>
      <c r="G6" s="18"/>
      <c r="H6" s="18"/>
      <c r="I6" s="42" t="s">
        <v>160</v>
      </c>
      <c r="J6" s="19"/>
    </row>
    <row r="7" spans="2:19" ht="15.95" customHeight="1">
      <c r="B7" s="16"/>
      <c r="C7" s="18" t="str">
        <f>IF($D$6="% Yield","% Yield of Finished Catalyst",IF($D$6="AP Mass","Active Phase Mass Yield",IF($D$6="Catalyst Mass","Finished Catalyst Mass Yield","&gt;&gt;&gt; Select a Yield Type")))</f>
        <v>Finished Catalyst Mass Yield</v>
      </c>
      <c r="D7" s="45">
        <v>1000</v>
      </c>
      <c r="E7" s="60"/>
      <c r="F7" s="60"/>
      <c r="G7" s="47" t="str">
        <f>IF($D$6="% Yield","%",IF(OutMassUnit="","",IF($D$6="AP Mass",OutMassUnit,IF($D$6="Catalyst Mass",OutMassUnit,""))))</f>
        <v>kg</v>
      </c>
      <c r="H7" s="18"/>
      <c r="I7" s="18"/>
      <c r="J7" s="19"/>
    </row>
    <row r="8" spans="2:19" ht="15.95" customHeight="1">
      <c r="B8" s="16"/>
      <c r="C8" s="18" t="s">
        <v>35</v>
      </c>
      <c r="D8" s="56"/>
      <c r="E8" s="338"/>
      <c r="F8" s="62"/>
      <c r="G8" s="47" t="s">
        <v>1072</v>
      </c>
      <c r="H8" s="18"/>
      <c r="I8" s="42" t="s">
        <v>160</v>
      </c>
      <c r="J8" s="19"/>
    </row>
    <row r="9" spans="2:19" ht="15.95" customHeight="1">
      <c r="B9" s="16"/>
      <c r="C9" s="18" t="s">
        <v>26</v>
      </c>
      <c r="D9" s="56"/>
      <c r="E9" s="63"/>
      <c r="F9" s="63"/>
      <c r="G9" s="47" t="s">
        <v>122</v>
      </c>
      <c r="H9" s="18"/>
      <c r="I9" s="42" t="s">
        <v>160</v>
      </c>
      <c r="J9" s="19"/>
    </row>
    <row r="10" spans="2:19" ht="15.95" customHeight="1" thickBot="1">
      <c r="B10" s="16"/>
      <c r="C10" s="18" t="s">
        <v>25</v>
      </c>
      <c r="D10" s="45">
        <v>10</v>
      </c>
      <c r="E10" s="60"/>
      <c r="F10" s="60"/>
      <c r="G10" s="58" t="s">
        <v>9</v>
      </c>
      <c r="H10" s="18"/>
      <c r="I10" s="42" t="s">
        <v>160</v>
      </c>
      <c r="J10" s="19"/>
    </row>
    <row r="11" spans="2:19" ht="21" thickBot="1">
      <c r="B11" s="16"/>
      <c r="C11" s="18" t="s">
        <v>33</v>
      </c>
      <c r="D11" s="54">
        <f>IF($D$6="% Yield",IFERROR(SUM(K21:K25)*D7/100*D8*D9*VLOOKUP("g",UnitConv[],5,FALSE)/VLOOKUP(OutMassUnit,UnitConv[],5,FALSE),"---"),IF($D$6="AP Mass",$D$7,IF($D$6="Catalyst Mass",$D$7*$D$10/100,"")))</f>
        <v>100</v>
      </c>
      <c r="E11" s="48"/>
      <c r="F11" s="48"/>
      <c r="G11" s="48" t="str">
        <f>IF(OutMassUnit="","",OutMassUnit)</f>
        <v>kg</v>
      </c>
      <c r="H11" s="18"/>
      <c r="I11" s="18"/>
      <c r="J11" s="19"/>
      <c r="P11" s="414" t="s">
        <v>412</v>
      </c>
      <c r="Q11" s="415"/>
      <c r="R11" s="415"/>
      <c r="S11" s="416"/>
    </row>
    <row r="12" spans="2:19">
      <c r="B12" s="16"/>
      <c r="C12" s="18" t="s">
        <v>34</v>
      </c>
      <c r="D12" s="54">
        <f>IFERROR($D$11/$D$10*100,"---")</f>
        <v>1000</v>
      </c>
      <c r="E12" s="48"/>
      <c r="F12" s="48"/>
      <c r="G12" s="48" t="str">
        <f>IF(OutMassUnit="","",OutMassUnit)</f>
        <v>kg</v>
      </c>
      <c r="H12" s="18"/>
      <c r="I12" s="18"/>
      <c r="J12" s="19"/>
      <c r="P12" s="13"/>
      <c r="Q12" s="14"/>
      <c r="R12" s="14"/>
      <c r="S12" s="15"/>
    </row>
    <row r="13" spans="2:19">
      <c r="B13" s="16"/>
      <c r="C13" s="18"/>
      <c r="D13" s="18"/>
      <c r="E13" s="18"/>
      <c r="F13" s="18"/>
      <c r="G13" s="18"/>
      <c r="H13" s="18"/>
      <c r="I13" s="18"/>
      <c r="J13" s="19"/>
      <c r="P13" s="16"/>
      <c r="Q13" s="90" t="str">
        <f>"Cost ("&amp;CurrencySymbol&amp;"/"&amp;OutMassUnit&amp;" catalyst)"</f>
        <v>Cost ($/kg catalyst)</v>
      </c>
      <c r="R13" s="91" t="str">
        <f>"Cost ("&amp;CurrencySymbol&amp;"/year)"</f>
        <v>Cost ($/year)</v>
      </c>
      <c r="S13" s="19"/>
    </row>
    <row r="14" spans="2:19">
      <c r="B14" s="16"/>
      <c r="C14" s="20" t="s">
        <v>216</v>
      </c>
      <c r="D14" s="45">
        <v>3</v>
      </c>
      <c r="E14" s="60">
        <v>2</v>
      </c>
      <c r="F14" s="60">
        <v>4</v>
      </c>
      <c r="G14" s="47" t="s">
        <v>9</v>
      </c>
      <c r="H14" s="18"/>
      <c r="I14" s="42" t="s">
        <v>160</v>
      </c>
      <c r="J14" s="19"/>
      <c r="P14" s="16"/>
      <c r="Q14" s="92">
        <f>SUM(Q21:Q25,Q32:Q36,Q43:Q55)</f>
        <v>730.71759744270571</v>
      </c>
      <c r="R14" s="93">
        <f>SUM(R21:R25,R32:R36,R43:R55)</f>
        <v>7307175.9744270574</v>
      </c>
      <c r="S14" s="19"/>
    </row>
    <row r="15" spans="2:19" ht="16.5" thickBot="1">
      <c r="B15" s="21"/>
      <c r="C15" s="22"/>
      <c r="D15" s="22"/>
      <c r="E15" s="22"/>
      <c r="F15" s="22"/>
      <c r="G15" s="22"/>
      <c r="H15" s="22"/>
      <c r="I15" s="22"/>
      <c r="J15" s="23"/>
      <c r="P15" s="21"/>
      <c r="Q15" s="22"/>
      <c r="R15" s="22"/>
      <c r="S15" s="23"/>
    </row>
    <row r="16" spans="2:19" ht="16.5" thickBot="1"/>
    <row r="17" spans="2:19" ht="21" thickBot="1">
      <c r="B17" s="414" t="s">
        <v>434</v>
      </c>
      <c r="C17" s="415"/>
      <c r="D17" s="416"/>
      <c r="E17" s="97"/>
    </row>
    <row r="18" spans="2:19" ht="15" customHeight="1">
      <c r="B18" s="68"/>
      <c r="C18" s="14"/>
      <c r="D18" s="14"/>
      <c r="E18" s="18"/>
      <c r="F18" s="14"/>
      <c r="G18" s="14"/>
      <c r="H18" s="14"/>
      <c r="I18" s="14"/>
      <c r="J18" s="14"/>
      <c r="K18" s="14"/>
      <c r="L18" s="14"/>
      <c r="M18" s="14"/>
      <c r="N18" s="14"/>
      <c r="O18" s="14"/>
      <c r="P18" s="14"/>
      <c r="Q18" s="14"/>
      <c r="R18" s="14"/>
      <c r="S18" s="15"/>
    </row>
    <row r="19" spans="2:19" ht="18.75">
      <c r="B19" s="16"/>
      <c r="C19" s="421" t="s">
        <v>21</v>
      </c>
      <c r="D19" s="421"/>
      <c r="E19" s="421"/>
      <c r="F19" s="421"/>
      <c r="G19" s="421"/>
      <c r="H19" s="86"/>
      <c r="I19" s="421" t="s">
        <v>23</v>
      </c>
      <c r="J19" s="421"/>
      <c r="K19" s="421"/>
      <c r="L19" s="421"/>
      <c r="M19" s="421"/>
      <c r="N19" s="421"/>
      <c r="O19" s="421"/>
      <c r="P19" s="87"/>
      <c r="Q19" s="421" t="s">
        <v>215</v>
      </c>
      <c r="R19" s="421"/>
      <c r="S19" s="19"/>
    </row>
    <row r="20" spans="2:19">
      <c r="B20" s="16"/>
      <c r="C20" s="64" t="s">
        <v>17</v>
      </c>
      <c r="D20" s="64" t="s">
        <v>22</v>
      </c>
      <c r="E20" s="65" t="s">
        <v>37</v>
      </c>
      <c r="F20" s="65" t="s">
        <v>38</v>
      </c>
      <c r="G20" s="64" t="s">
        <v>18</v>
      </c>
      <c r="H20" s="64"/>
      <c r="I20" s="64" t="str">
        <f>"Q in "&amp;OutMassUnit</f>
        <v>Q in kg</v>
      </c>
      <c r="J20" s="64"/>
      <c r="K20" s="64" t="s">
        <v>36</v>
      </c>
      <c r="L20" s="64" t="str">
        <f>"Q ("&amp;OutMassUnit&amp;"/"&amp;OutMassUnit&amp;" catalyst)"</f>
        <v>Q (kg/kg catalyst)</v>
      </c>
      <c r="M20" s="64" t="str">
        <f>"Unit Price ("&amp;BasisYear&amp;" "&amp;CurrencySymbol&amp;"/"&amp;OutMassUnit&amp;")"</f>
        <v>Unit Price (2016 $/kg)</v>
      </c>
      <c r="N20" s="65" t="s">
        <v>45</v>
      </c>
      <c r="O20" s="65" t="s">
        <v>46</v>
      </c>
      <c r="P20" s="64"/>
      <c r="Q20" s="64" t="str">
        <f>"Cost ("&amp;CurrencySymbol&amp;"/"&amp;OutMassUnit&amp;" catalyst)"</f>
        <v>Cost ($/kg catalyst)</v>
      </c>
      <c r="R20" s="64" t="str">
        <f>"Cost ("&amp;CurrencySymbol&amp;"/year)"</f>
        <v>Cost ($/year)</v>
      </c>
      <c r="S20" s="19"/>
    </row>
    <row r="21" spans="2:19">
      <c r="B21" s="16"/>
      <c r="C21" s="69" t="s">
        <v>182</v>
      </c>
      <c r="D21" s="71">
        <v>10</v>
      </c>
      <c r="E21" s="72"/>
      <c r="F21" s="72"/>
      <c r="G21" s="74" t="s">
        <v>71</v>
      </c>
      <c r="H21" s="73"/>
      <c r="I21" s="75">
        <f>IFERROR(IF(VLOOKUP(G21,UnitConv[],6,FALSE)="Yes",IF(ISBLANK(INDEX(RawMaterials[],MATCH($C21,RawMaterials[[Material Name]:[Material Name]],0),MATCH("Density (g/mL)",RawMaterials[#Headers],0))),"No Density",D21*VLOOKUP(G21,UnitConv[],7,FALSE)*INDEX(RawMaterials[],MATCH($C21,RawMaterials[[Material Name]:[Material Name]],0),MATCH("Density (g/mL)",RawMaterials[#Headers],0))/VLOOKUP(OutMassUnit,UnitConv[],5,FALSE)),D21*VLOOKUP(G21,UnitConv[],5,FALSE)/VLOOKUP(OutMassUnit,UnitConv[],5,FALSE)),"")</f>
        <v>10</v>
      </c>
      <c r="J21" s="75"/>
      <c r="K21" s="75" t="str">
        <f>IF(I21="","",IFERROR(I21*VLOOKUP(OutMassUnit,UnitConv[],5,FALSE)/VLOOKUP("g",UnitConv[],5,FALSE)/INDEX(RawMaterials[],MATCH(C21,RawMaterials[[Material Name]:[Material Name]],0),MATCH("MW (g/mol)",RawMaterials[#Headers],0)),"n/a"))</f>
        <v>n/a</v>
      </c>
      <c r="L21" s="76">
        <f>IFERROR(I21/$D$12,"")</f>
        <v>0.01</v>
      </c>
      <c r="M21" s="77">
        <f>IFERROR(INDEX(RawMaterials[],MATCH($C21,RawMaterials[[Material Name]:[Material Name]],0),MATCH("Unit Price",RawMaterials[#Headers],0)),"")</f>
        <v>70733.932403349245</v>
      </c>
      <c r="N21" s="88">
        <f>IFERROR(0.7*$M21,"")</f>
        <v>49513.752682344471</v>
      </c>
      <c r="O21" s="89">
        <f>IFERROR(1.3*$M21,"")</f>
        <v>91954.112124354026</v>
      </c>
      <c r="P21" s="78"/>
      <c r="Q21" s="79">
        <f>IFERROR(L21*M21*(100+$D$14)/100,"")</f>
        <v>728.55950375449731</v>
      </c>
      <c r="R21" s="80">
        <f>IFERROR(Q21*ActualProduction,"")</f>
        <v>7285595.0375449732</v>
      </c>
      <c r="S21" s="19"/>
    </row>
    <row r="22" spans="2:19">
      <c r="B22" s="16"/>
      <c r="C22" s="69"/>
      <c r="D22" s="71"/>
      <c r="E22" s="72"/>
      <c r="F22" s="72"/>
      <c r="G22" s="74"/>
      <c r="H22" s="73"/>
      <c r="I22" s="75" t="str">
        <f>IFERROR(IF(VLOOKUP(G22,UnitConv[],6,FALSE)="Yes",IF(ISBLANK(INDEX(RawMaterials[],MATCH($C22,RawMaterials[[Material Name]:[Material Name]],0),MATCH("Density (g/mL)",RawMaterials[#Headers],0))),"No Density",D22*VLOOKUP(G22,UnitConv[],7,FALSE)*INDEX(RawMaterials[],MATCH($C22,RawMaterials[[Material Name]:[Material Name]],0),MATCH("Density (g/mL)",RawMaterials[#Headers],0))/VLOOKUP(OutMassUnit,UnitConv[],5,FALSE)),D22*VLOOKUP(G22,UnitConv[],5,FALSE)/VLOOKUP(OutMassUnit,UnitConv[],5,FALSE)),"")</f>
        <v/>
      </c>
      <c r="J22" s="75"/>
      <c r="K22" s="75" t="str">
        <f>IF(I22="","",IFERROR(I22*VLOOKUP(OutMassUnit,UnitConv[],5,FALSE)/VLOOKUP("g",UnitConv[],5,FALSE)/INDEX(RawMaterials[],MATCH(C22,RawMaterials[[Material Name]:[Material Name]],0),MATCH("MW (g/mol)",RawMaterials[#Headers],0)),"n/a"))</f>
        <v/>
      </c>
      <c r="L22" s="76" t="str">
        <f>IFERROR(I22/$D$12,"")</f>
        <v/>
      </c>
      <c r="M22" s="77" t="str">
        <f>IFERROR(INDEX(RawMaterials[],MATCH($C22,RawMaterials[[Material Name]:[Material Name]],0),MATCH("Unit Price",RawMaterials[#Headers],0)),"")</f>
        <v/>
      </c>
      <c r="N22" s="88" t="str">
        <f t="shared" ref="N22:N25" si="0">IFERROR(0.7*$M22,"")</f>
        <v/>
      </c>
      <c r="O22" s="89" t="str">
        <f t="shared" ref="O22:O25" si="1">IFERROR(1.3*$M22,"")</f>
        <v/>
      </c>
      <c r="P22" s="78"/>
      <c r="Q22" s="79" t="str">
        <f t="shared" ref="Q22:Q25" si="2">IFERROR(L22*M22*(100+$D$14)/100,"")</f>
        <v/>
      </c>
      <c r="R22" s="80" t="str">
        <f>IFERROR(Q22*ActualProduction,"")</f>
        <v/>
      </c>
      <c r="S22" s="19"/>
    </row>
    <row r="23" spans="2:19">
      <c r="B23" s="16"/>
      <c r="C23" s="69"/>
      <c r="D23" s="71"/>
      <c r="E23" s="72"/>
      <c r="F23" s="72"/>
      <c r="G23" s="74"/>
      <c r="H23" s="73"/>
      <c r="I23" s="75" t="str">
        <f>IFERROR(IF(VLOOKUP(G23,UnitConv[],6,FALSE)="Yes",IF(ISBLANK(INDEX(RawMaterials[],MATCH($C23,RawMaterials[[Material Name]:[Material Name]],0),MATCH("Density (g/mL)",RawMaterials[#Headers],0))),"No Density",D23*VLOOKUP(G23,UnitConv[],7,FALSE)*INDEX(RawMaterials[],MATCH($C23,RawMaterials[[Material Name]:[Material Name]],0),MATCH("Density (g/mL)",RawMaterials[#Headers],0))/VLOOKUP(OutMassUnit,UnitConv[],5,FALSE)),D23*VLOOKUP(G23,UnitConv[],5,FALSE)/VLOOKUP(OutMassUnit,UnitConv[],5,FALSE)),"")</f>
        <v/>
      </c>
      <c r="J23" s="75"/>
      <c r="K23" s="75" t="str">
        <f>IF(I23="","",IFERROR(I23*VLOOKUP(OutMassUnit,UnitConv[],5,FALSE)/VLOOKUP("g",UnitConv[],5,FALSE)/INDEX(RawMaterials[],MATCH(C23,RawMaterials[[Material Name]:[Material Name]],0),MATCH("MW (g/mol)",RawMaterials[#Headers],0)),"n/a"))</f>
        <v/>
      </c>
      <c r="L23" s="76" t="str">
        <f>IFERROR(I23/$D$12,"")</f>
        <v/>
      </c>
      <c r="M23" s="77" t="str">
        <f>IFERROR(INDEX(RawMaterials[],MATCH($C23,RawMaterials[[Material Name]:[Material Name]],0),MATCH("Unit Price",RawMaterials[#Headers],0)),"")</f>
        <v/>
      </c>
      <c r="N23" s="88" t="str">
        <f t="shared" si="0"/>
        <v/>
      </c>
      <c r="O23" s="89" t="str">
        <f t="shared" si="1"/>
        <v/>
      </c>
      <c r="P23" s="78"/>
      <c r="Q23" s="79" t="str">
        <f t="shared" si="2"/>
        <v/>
      </c>
      <c r="R23" s="80" t="str">
        <f>IFERROR(Q23*ActualProduction,"")</f>
        <v/>
      </c>
      <c r="S23" s="19"/>
    </row>
    <row r="24" spans="2:19">
      <c r="B24" s="16"/>
      <c r="C24" s="69"/>
      <c r="D24" s="71"/>
      <c r="E24" s="72"/>
      <c r="F24" s="72"/>
      <c r="G24" s="74"/>
      <c r="H24" s="73"/>
      <c r="I24" s="75" t="str">
        <f>IFERROR(IF(VLOOKUP(G24,UnitConv[],6,FALSE)="Yes",IF(ISBLANK(INDEX(RawMaterials[],MATCH($C24,RawMaterials[[Material Name]:[Material Name]],0),MATCH("Density (g/mL)",RawMaterials[#Headers],0))),"No Density",D24*VLOOKUP(G24,UnitConv[],7,FALSE)*INDEX(RawMaterials[],MATCH($C24,RawMaterials[[Material Name]:[Material Name]],0),MATCH("Density (g/mL)",RawMaterials[#Headers],0))/VLOOKUP(OutMassUnit,UnitConv[],5,FALSE)),D24*VLOOKUP(G24,UnitConv[],5,FALSE)/VLOOKUP(OutMassUnit,UnitConv[],5,FALSE)),"")</f>
        <v/>
      </c>
      <c r="J24" s="75"/>
      <c r="K24" s="75" t="str">
        <f>IF(I24="","",IFERROR(I24*VLOOKUP(OutMassUnit,UnitConv[],5,FALSE)/VLOOKUP("g",UnitConv[],5,FALSE)/INDEX(RawMaterials[],MATCH(C24,RawMaterials[[Material Name]:[Material Name]],0),MATCH("MW (g/mol)",RawMaterials[#Headers],0)),"n/a"))</f>
        <v/>
      </c>
      <c r="L24" s="76" t="str">
        <f>IFERROR(I24/$D$12,"")</f>
        <v/>
      </c>
      <c r="M24" s="77" t="str">
        <f>IFERROR(INDEX(RawMaterials[],MATCH($C24,RawMaterials[[Material Name]:[Material Name]],0),MATCH("Unit Price",RawMaterials[#Headers],0)),"")</f>
        <v/>
      </c>
      <c r="N24" s="88" t="str">
        <f t="shared" si="0"/>
        <v/>
      </c>
      <c r="O24" s="89" t="str">
        <f t="shared" si="1"/>
        <v/>
      </c>
      <c r="P24" s="78"/>
      <c r="Q24" s="79" t="str">
        <f t="shared" si="2"/>
        <v/>
      </c>
      <c r="R24" s="80" t="str">
        <f>IFERROR(Q24*ActualProduction,"")</f>
        <v/>
      </c>
      <c r="S24" s="19"/>
    </row>
    <row r="25" spans="2:19">
      <c r="B25" s="16"/>
      <c r="C25" s="69"/>
      <c r="D25" s="71"/>
      <c r="E25" s="72"/>
      <c r="F25" s="72"/>
      <c r="G25" s="74"/>
      <c r="H25" s="73"/>
      <c r="I25" s="75" t="str">
        <f>IFERROR(IF(VLOOKUP(G25,UnitConv[],6,FALSE)="Yes",IF(ISBLANK(INDEX(RawMaterials[],MATCH($C25,RawMaterials[[Material Name]:[Material Name]],0),MATCH("Density (g/mL)",RawMaterials[#Headers],0))),"No Density",D25*VLOOKUP(G25,UnitConv[],7,FALSE)*INDEX(RawMaterials[],MATCH($C25,RawMaterials[[Material Name]:[Material Name]],0),MATCH("Density (g/mL)",RawMaterials[#Headers],0))/VLOOKUP(OutMassUnit,UnitConv[],5,FALSE)),D25*VLOOKUP(G25,UnitConv[],5,FALSE)/VLOOKUP(OutMassUnit,UnitConv[],5,FALSE)),"")</f>
        <v/>
      </c>
      <c r="J25" s="75"/>
      <c r="K25" s="75" t="str">
        <f>IF(I25="","",IFERROR(I25*VLOOKUP(OutMassUnit,UnitConv[],5,FALSE)/VLOOKUP("g",UnitConv[],5,FALSE)/INDEX(RawMaterials[],MATCH(C25,RawMaterials[[Material Name]:[Material Name]],0),MATCH("MW (g/mol)",RawMaterials[#Headers],0)),"n/a"))</f>
        <v/>
      </c>
      <c r="L25" s="76" t="str">
        <f>IFERROR(I25/$D$12,"")</f>
        <v/>
      </c>
      <c r="M25" s="77" t="str">
        <f>IFERROR(INDEX(RawMaterials[],MATCH($C25,RawMaterials[[Material Name]:[Material Name]],0),MATCH("Unit Price",RawMaterials[#Headers],0)),"")</f>
        <v/>
      </c>
      <c r="N25" s="88" t="str">
        <f t="shared" si="0"/>
        <v/>
      </c>
      <c r="O25" s="89" t="str">
        <f t="shared" si="1"/>
        <v/>
      </c>
      <c r="P25" s="78"/>
      <c r="Q25" s="79" t="str">
        <f t="shared" si="2"/>
        <v/>
      </c>
      <c r="R25" s="80" t="str">
        <f>IFERROR(Q25*ActualProduction,"")</f>
        <v/>
      </c>
      <c r="S25" s="19"/>
    </row>
    <row r="26" spans="2:19" ht="16.5" thickBot="1">
      <c r="B26" s="21"/>
      <c r="C26" s="67"/>
      <c r="D26" s="67"/>
      <c r="E26" s="67"/>
      <c r="F26" s="67"/>
      <c r="G26" s="67"/>
      <c r="H26" s="67"/>
      <c r="I26" s="67"/>
      <c r="J26" s="67"/>
      <c r="K26" s="67"/>
      <c r="L26" s="67"/>
      <c r="M26" s="67"/>
      <c r="N26" s="67"/>
      <c r="O26" s="67"/>
      <c r="P26" s="67"/>
      <c r="Q26" s="67"/>
      <c r="R26" s="67"/>
      <c r="S26" s="23"/>
    </row>
    <row r="27" spans="2:19" ht="16.5" thickBot="1">
      <c r="C27" s="94"/>
      <c r="D27" s="94"/>
      <c r="E27" s="94"/>
      <c r="F27" s="94"/>
      <c r="G27" s="94"/>
      <c r="H27" s="94"/>
      <c r="I27" s="94"/>
      <c r="J27" s="94"/>
      <c r="K27" s="94"/>
      <c r="L27" s="94"/>
      <c r="M27" s="94"/>
      <c r="N27" s="94"/>
      <c r="O27" s="94"/>
      <c r="P27" s="94"/>
      <c r="Q27" s="94"/>
      <c r="R27" s="94"/>
    </row>
    <row r="28" spans="2:19" ht="21" thickBot="1">
      <c r="B28" s="414" t="s">
        <v>435</v>
      </c>
      <c r="C28" s="415"/>
      <c r="D28" s="416"/>
      <c r="E28" s="97"/>
      <c r="F28" s="94"/>
      <c r="G28" s="94"/>
      <c r="H28" s="94"/>
      <c r="I28" s="94"/>
      <c r="J28" s="94"/>
      <c r="K28" s="94"/>
      <c r="L28" s="94"/>
      <c r="M28" s="94"/>
      <c r="N28" s="94"/>
      <c r="O28" s="94"/>
      <c r="P28" s="94"/>
      <c r="Q28" s="94"/>
      <c r="R28" s="94"/>
    </row>
    <row r="29" spans="2:19" ht="15" customHeight="1">
      <c r="B29" s="68"/>
      <c r="C29" s="14"/>
      <c r="D29" s="14"/>
      <c r="E29" s="18"/>
      <c r="F29" s="14"/>
      <c r="G29" s="14"/>
      <c r="H29" s="14"/>
      <c r="I29" s="14"/>
      <c r="J29" s="14"/>
      <c r="K29" s="14"/>
      <c r="L29" s="14"/>
      <c r="M29" s="14"/>
      <c r="N29" s="14"/>
      <c r="O29" s="14"/>
      <c r="P29" s="14"/>
      <c r="Q29" s="14"/>
      <c r="R29" s="14"/>
      <c r="S29" s="15"/>
    </row>
    <row r="30" spans="2:19" ht="18.75">
      <c r="B30" s="16"/>
      <c r="C30" s="421" t="s">
        <v>21</v>
      </c>
      <c r="D30" s="421"/>
      <c r="E30" s="421"/>
      <c r="F30" s="421"/>
      <c r="G30" s="421"/>
      <c r="H30" s="86"/>
      <c r="I30" s="421" t="s">
        <v>23</v>
      </c>
      <c r="J30" s="421"/>
      <c r="K30" s="421"/>
      <c r="L30" s="421"/>
      <c r="M30" s="421"/>
      <c r="N30" s="421"/>
      <c r="O30" s="421"/>
      <c r="P30" s="87"/>
      <c r="Q30" s="421" t="s">
        <v>215</v>
      </c>
      <c r="R30" s="421"/>
      <c r="S30" s="19"/>
    </row>
    <row r="31" spans="2:19">
      <c r="B31" s="16"/>
      <c r="C31" s="64" t="s">
        <v>17</v>
      </c>
      <c r="D31" s="64" t="s">
        <v>22</v>
      </c>
      <c r="E31" s="65" t="s">
        <v>37</v>
      </c>
      <c r="F31" s="65" t="s">
        <v>38</v>
      </c>
      <c r="G31" s="64" t="s">
        <v>18</v>
      </c>
      <c r="H31" s="64"/>
      <c r="I31" s="64" t="str">
        <f>"Q in "&amp;OutMassUnit</f>
        <v>Q in kg</v>
      </c>
      <c r="J31" s="64"/>
      <c r="K31" s="64" t="s">
        <v>36</v>
      </c>
      <c r="L31" s="64" t="str">
        <f>"Q ("&amp;OutMassUnit&amp;"/"&amp;OutMassUnit&amp;" catalyst)"</f>
        <v>Q (kg/kg catalyst)</v>
      </c>
      <c r="M31" s="64" t="str">
        <f>"Unit Price ("&amp;BasisYear&amp;" "&amp;CurrencySymbol&amp;"/"&amp;OutMassUnit&amp;")"</f>
        <v>Unit Price (2016 $/kg)</v>
      </c>
      <c r="N31" s="65" t="s">
        <v>45</v>
      </c>
      <c r="O31" s="65" t="s">
        <v>46</v>
      </c>
      <c r="P31" s="64"/>
      <c r="Q31" s="64" t="str">
        <f>"Cost ("&amp;CurrencySymbol&amp;"/"&amp;OutMassUnit&amp;" catalyst)"</f>
        <v>Cost ($/kg catalyst)</v>
      </c>
      <c r="R31" s="64" t="str">
        <f>"Cost ("&amp;CurrencySymbol&amp;"/year)"</f>
        <v>Cost ($/year)</v>
      </c>
      <c r="S31" s="19"/>
    </row>
    <row r="32" spans="2:19">
      <c r="B32" s="16"/>
      <c r="C32" s="69" t="s">
        <v>1151</v>
      </c>
      <c r="D32" s="71">
        <f>IFERROR(D12-D11,0)</f>
        <v>900</v>
      </c>
      <c r="E32" s="72"/>
      <c r="F32" s="72"/>
      <c r="G32" s="74" t="str">
        <f>IFERROR(G12,"")</f>
        <v>kg</v>
      </c>
      <c r="H32" s="73"/>
      <c r="I32" s="75">
        <f>IFERROR(IF(VLOOKUP(G32,UnitConv[],6,FALSE)="Yes",IF(ISBLANK(INDEX(RawMaterials[],MATCH($C32,RawMaterials[[Material Name]:[Material Name]],0),MATCH("Density (g/mL)",RawMaterials[#Headers],0))),"No Density",D32*VLOOKUP(G32,UnitConv[],7,FALSE)*INDEX(RawMaterials[],MATCH($C32,RawMaterials[[Material Name]:[Material Name]],0),MATCH("Density (g/mL)",RawMaterials[#Headers],0))/VLOOKUP(OutMassUnit,UnitConv[],5,FALSE)),D32*VLOOKUP(G32,UnitConv[],5,FALSE)/VLOOKUP(OutMassUnit,UnitConv[],5,FALSE)),"")</f>
        <v>900</v>
      </c>
      <c r="J32" s="75"/>
      <c r="K32" s="75" t="str">
        <f>IF(I32="","",IFERROR(I32*VLOOKUP(OutMassUnit,UnitConv[],5,FALSE)/VLOOKUP("g",UnitConv[],5,FALSE)/INDEX(RawMaterials[],MATCH(C32,RawMaterials[[Material Name]:[Material Name]],0),MATCH("MW (g/mol)",RawMaterials[#Headers],0)),"n/a"))</f>
        <v>n/a</v>
      </c>
      <c r="L32" s="76">
        <f>IFERROR(I32/$D$12,"")</f>
        <v>0.9</v>
      </c>
      <c r="M32" s="77">
        <f>IFERROR(INDEX(RawMaterials[],MATCH($C32,RawMaterials[[Material Name]:[Material Name]],0),MATCH("Unit Price",RawMaterials[#Headers],0)),"")</f>
        <v>2.3189146050774965</v>
      </c>
      <c r="N32" s="88">
        <f>IFERROR(0.7*$M32,"")</f>
        <v>1.6232402235542474</v>
      </c>
      <c r="O32" s="89">
        <f>IFERROR(1.3*$M32,"")</f>
        <v>3.0145889866007454</v>
      </c>
      <c r="P32" s="78"/>
      <c r="Q32" s="79">
        <f>IFERROR(L32*M32*(100+$D$14)/100,"")</f>
        <v>2.1496338389068388</v>
      </c>
      <c r="R32" s="80">
        <f>IFERROR(Q32*ActualProduction,"")</f>
        <v>21496.338389068387</v>
      </c>
      <c r="S32" s="19"/>
    </row>
    <row r="33" spans="2:20">
      <c r="B33" s="16"/>
      <c r="C33" s="69"/>
      <c r="D33" s="71"/>
      <c r="E33" s="72"/>
      <c r="F33" s="72"/>
      <c r="G33" s="74"/>
      <c r="H33" s="73"/>
      <c r="I33" s="75" t="str">
        <f>IFERROR(IF(VLOOKUP(G33,UnitConv[],6,FALSE)="Yes",IF(ISBLANK(INDEX(RawMaterials[],MATCH($C33,RawMaterials[[Material Name]:[Material Name]],0),MATCH("Density (g/mL)",RawMaterials[#Headers],0))),"No Density",D33*VLOOKUP(G33,UnitConv[],7,FALSE)*INDEX(RawMaterials[],MATCH($C33,RawMaterials[[Material Name]:[Material Name]],0),MATCH("Density (g/mL)",RawMaterials[#Headers],0))/VLOOKUP(OutMassUnit,UnitConv[],5,FALSE)),D33*VLOOKUP(G33,UnitConv[],5,FALSE)/VLOOKUP(OutMassUnit,UnitConv[],5,FALSE)),"")</f>
        <v/>
      </c>
      <c r="J33" s="75"/>
      <c r="K33" s="75" t="str">
        <f>IF(I33="","",IFERROR(I33*VLOOKUP(OutMassUnit,UnitConv[],5,FALSE)/VLOOKUP("g",UnitConv[],5,FALSE)/INDEX(RawMaterials[],MATCH(C33,RawMaterials[[Material Name]:[Material Name]],0),MATCH("MW (g/mol)",RawMaterials[#Headers],0)),"n/a"))</f>
        <v/>
      </c>
      <c r="L33" s="76" t="str">
        <f>IFERROR(I33/$D$12,"")</f>
        <v/>
      </c>
      <c r="M33" s="77" t="str">
        <f>IFERROR(INDEX(RawMaterials[],MATCH($C33,RawMaterials[[Material Name]:[Material Name]],0),MATCH("Unit Price",RawMaterials[#Headers],0)),"")</f>
        <v/>
      </c>
      <c r="N33" s="88" t="str">
        <f t="shared" ref="N33:N36" si="3">IFERROR(0.7*$M33,"")</f>
        <v/>
      </c>
      <c r="O33" s="89" t="str">
        <f t="shared" ref="O33:O36" si="4">IFERROR(1.3*$M33,"")</f>
        <v/>
      </c>
      <c r="P33" s="78"/>
      <c r="Q33" s="79" t="str">
        <f t="shared" ref="Q33:Q36" si="5">IFERROR(L33*M33*(100+$D$14)/100,"")</f>
        <v/>
      </c>
      <c r="R33" s="80" t="str">
        <f>IFERROR(Q33*ActualProduction,"")</f>
        <v/>
      </c>
      <c r="S33" s="19"/>
    </row>
    <row r="34" spans="2:20">
      <c r="B34" s="16"/>
      <c r="C34" s="69"/>
      <c r="D34" s="71"/>
      <c r="E34" s="72"/>
      <c r="F34" s="72"/>
      <c r="G34" s="74"/>
      <c r="H34" s="73"/>
      <c r="I34" s="75" t="str">
        <f>IFERROR(IF(VLOOKUP(G34,UnitConv[],6,FALSE)="Yes",IF(ISBLANK(INDEX(RawMaterials[],MATCH($C34,RawMaterials[[Material Name]:[Material Name]],0),MATCH("Density (g/mL)",RawMaterials[#Headers],0))),"No Density",D34*VLOOKUP(G34,UnitConv[],7,FALSE)*INDEX(RawMaterials[],MATCH($C34,RawMaterials[[Material Name]:[Material Name]],0),MATCH("Density (g/mL)",RawMaterials[#Headers],0))/VLOOKUP(OutMassUnit,UnitConv[],5,FALSE)),D34*VLOOKUP(G34,UnitConv[],5,FALSE)/VLOOKUP(OutMassUnit,UnitConv[],5,FALSE)),"")</f>
        <v/>
      </c>
      <c r="J34" s="75"/>
      <c r="K34" s="75" t="str">
        <f>IF(I34="","",IFERROR(I34*VLOOKUP(OutMassUnit,UnitConv[],5,FALSE)/VLOOKUP("g",UnitConv[],5,FALSE)/INDEX(RawMaterials[],MATCH(C34,RawMaterials[[Material Name]:[Material Name]],0),MATCH("MW (g/mol)",RawMaterials[#Headers],0)),"n/a"))</f>
        <v/>
      </c>
      <c r="L34" s="76" t="str">
        <f>IFERROR(I34/$D$12,"")</f>
        <v/>
      </c>
      <c r="M34" s="77" t="str">
        <f>IFERROR(INDEX(RawMaterials[],MATCH($C34,RawMaterials[[Material Name]:[Material Name]],0),MATCH("Unit Price",RawMaterials[#Headers],0)),"")</f>
        <v/>
      </c>
      <c r="N34" s="88" t="str">
        <f t="shared" si="3"/>
        <v/>
      </c>
      <c r="O34" s="89" t="str">
        <f t="shared" si="4"/>
        <v/>
      </c>
      <c r="P34" s="78"/>
      <c r="Q34" s="79" t="str">
        <f t="shared" si="5"/>
        <v/>
      </c>
      <c r="R34" s="80" t="str">
        <f>IFERROR(Q34*ActualProduction,"")</f>
        <v/>
      </c>
      <c r="S34" s="19"/>
    </row>
    <row r="35" spans="2:20">
      <c r="B35" s="16"/>
      <c r="C35" s="69"/>
      <c r="D35" s="71"/>
      <c r="E35" s="72"/>
      <c r="F35" s="72"/>
      <c r="G35" s="74"/>
      <c r="H35" s="73"/>
      <c r="I35" s="75" t="str">
        <f>IFERROR(IF(VLOOKUP(G35,UnitConv[],6,FALSE)="Yes",IF(ISBLANK(INDEX(RawMaterials[],MATCH($C35,RawMaterials[[Material Name]:[Material Name]],0),MATCH("Density (g/mL)",RawMaterials[#Headers],0))),"No Density",D35*VLOOKUP(G35,UnitConv[],7,FALSE)*INDEX(RawMaterials[],MATCH($C35,RawMaterials[[Material Name]:[Material Name]],0),MATCH("Density (g/mL)",RawMaterials[#Headers],0))/VLOOKUP(OutMassUnit,UnitConv[],5,FALSE)),D35*VLOOKUP(G35,UnitConv[],5,FALSE)/VLOOKUP(OutMassUnit,UnitConv[],5,FALSE)),"")</f>
        <v/>
      </c>
      <c r="J35" s="75"/>
      <c r="K35" s="75" t="str">
        <f>IF(I35="","",IFERROR(I35*VLOOKUP(OutMassUnit,UnitConv[],5,FALSE)/VLOOKUP("g",UnitConv[],5,FALSE)/INDEX(RawMaterials[],MATCH(C35,RawMaterials[[Material Name]:[Material Name]],0),MATCH("MW (g/mol)",RawMaterials[#Headers],0)),"n/a"))</f>
        <v/>
      </c>
      <c r="L35" s="76" t="str">
        <f>IFERROR(I35/$D$12,"")</f>
        <v/>
      </c>
      <c r="M35" s="77" t="str">
        <f>IFERROR(INDEX(RawMaterials[],MATCH($C35,RawMaterials[[Material Name]:[Material Name]],0),MATCH("Unit Price",RawMaterials[#Headers],0)),"")</f>
        <v/>
      </c>
      <c r="N35" s="88" t="str">
        <f t="shared" si="3"/>
        <v/>
      </c>
      <c r="O35" s="89" t="str">
        <f t="shared" si="4"/>
        <v/>
      </c>
      <c r="P35" s="78"/>
      <c r="Q35" s="79" t="str">
        <f t="shared" si="5"/>
        <v/>
      </c>
      <c r="R35" s="80" t="str">
        <f>IFERROR(Q35*ActualProduction,"")</f>
        <v/>
      </c>
      <c r="S35" s="19"/>
    </row>
    <row r="36" spans="2:20">
      <c r="B36" s="16"/>
      <c r="C36" s="69"/>
      <c r="D36" s="71"/>
      <c r="E36" s="72"/>
      <c r="F36" s="72"/>
      <c r="G36" s="74"/>
      <c r="H36" s="73"/>
      <c r="I36" s="75" t="str">
        <f>IFERROR(IF(VLOOKUP(G36,UnitConv[],6,FALSE)="Yes",IF(ISBLANK(INDEX(RawMaterials[],MATCH($C36,RawMaterials[[Material Name]:[Material Name]],0),MATCH("Density (g/mL)",RawMaterials[#Headers],0))),"No Density",D36*VLOOKUP(G36,UnitConv[],7,FALSE)*INDEX(RawMaterials[],MATCH($C36,RawMaterials[[Material Name]:[Material Name]],0),MATCH("Density (g/mL)",RawMaterials[#Headers],0))/VLOOKUP(OutMassUnit,UnitConv[],5,FALSE)),D36*VLOOKUP(G36,UnitConv[],5,FALSE)/VLOOKUP(OutMassUnit,UnitConv[],5,FALSE)),"")</f>
        <v/>
      </c>
      <c r="J36" s="75"/>
      <c r="K36" s="75" t="str">
        <f>IF(I36="","",IFERROR(I36*VLOOKUP(OutMassUnit,UnitConv[],5,FALSE)/VLOOKUP("g",UnitConv[],5,FALSE)/INDEX(RawMaterials[],MATCH(C36,RawMaterials[[Material Name]:[Material Name]],0),MATCH("MW (g/mol)",RawMaterials[#Headers],0)),"n/a"))</f>
        <v/>
      </c>
      <c r="L36" s="76" t="str">
        <f>IFERROR(I36/$D$12,"")</f>
        <v/>
      </c>
      <c r="M36" s="77" t="str">
        <f>IFERROR(INDEX(RawMaterials[],MATCH($C36,RawMaterials[[Material Name]:[Material Name]],0),MATCH("Unit Price",RawMaterials[#Headers],0)),"")</f>
        <v/>
      </c>
      <c r="N36" s="88" t="str">
        <f t="shared" si="3"/>
        <v/>
      </c>
      <c r="O36" s="89" t="str">
        <f t="shared" si="4"/>
        <v/>
      </c>
      <c r="P36" s="78"/>
      <c r="Q36" s="79" t="str">
        <f t="shared" si="5"/>
        <v/>
      </c>
      <c r="R36" s="80" t="str">
        <f>IFERROR(Q36*ActualProduction,"")</f>
        <v/>
      </c>
      <c r="S36" s="19"/>
    </row>
    <row r="37" spans="2:20" ht="16.5" thickBot="1">
      <c r="B37" s="21"/>
      <c r="C37" s="67"/>
      <c r="D37" s="67"/>
      <c r="E37" s="67"/>
      <c r="F37" s="67"/>
      <c r="G37" s="67"/>
      <c r="H37" s="67"/>
      <c r="I37" s="67"/>
      <c r="J37" s="67"/>
      <c r="K37" s="67"/>
      <c r="L37" s="67"/>
      <c r="M37" s="67"/>
      <c r="N37" s="67"/>
      <c r="O37" s="67"/>
      <c r="P37" s="67"/>
      <c r="Q37" s="67"/>
      <c r="R37" s="67"/>
      <c r="S37" s="23"/>
    </row>
    <row r="38" spans="2:20" ht="16.5" thickBot="1">
      <c r="C38" s="94"/>
      <c r="D38" s="94"/>
      <c r="E38" s="94"/>
      <c r="F38" s="94"/>
      <c r="G38" s="94"/>
      <c r="H38" s="94"/>
      <c r="I38" s="94"/>
      <c r="J38" s="94"/>
      <c r="K38" s="94"/>
      <c r="L38" s="94"/>
      <c r="M38" s="94"/>
      <c r="N38" s="94"/>
      <c r="O38" s="94"/>
      <c r="P38" s="94"/>
      <c r="Q38" s="94"/>
      <c r="R38" s="94"/>
    </row>
    <row r="39" spans="2:20" ht="21" thickBot="1">
      <c r="B39" s="414" t="s">
        <v>1816</v>
      </c>
      <c r="C39" s="415"/>
      <c r="D39" s="416"/>
      <c r="E39" s="97"/>
      <c r="F39" s="94"/>
      <c r="G39" s="94"/>
      <c r="H39" s="94"/>
      <c r="I39" s="94"/>
      <c r="J39" s="94"/>
      <c r="K39" s="94"/>
      <c r="L39" s="94"/>
      <c r="M39" s="94"/>
      <c r="N39" s="94"/>
      <c r="O39" s="94"/>
      <c r="P39" s="94"/>
      <c r="Q39" s="94"/>
      <c r="R39" s="94"/>
    </row>
    <row r="40" spans="2:20" ht="15" customHeight="1">
      <c r="B40" s="13"/>
      <c r="C40" s="81"/>
      <c r="D40" s="82"/>
      <c r="E40" s="73"/>
      <c r="F40" s="82"/>
      <c r="G40" s="82"/>
      <c r="H40" s="82"/>
      <c r="I40" s="82"/>
      <c r="J40" s="82"/>
      <c r="K40" s="82"/>
      <c r="L40" s="82"/>
      <c r="M40" s="82"/>
      <c r="N40" s="82"/>
      <c r="O40" s="82"/>
      <c r="P40" s="82"/>
      <c r="Q40" s="82"/>
      <c r="R40" s="82"/>
      <c r="S40" s="15"/>
    </row>
    <row r="41" spans="2:20" ht="18.75">
      <c r="B41" s="16"/>
      <c r="C41" s="421" t="s">
        <v>21</v>
      </c>
      <c r="D41" s="421"/>
      <c r="E41" s="421"/>
      <c r="F41" s="421"/>
      <c r="G41" s="421"/>
      <c r="H41" s="86"/>
      <c r="I41" s="421" t="s">
        <v>23</v>
      </c>
      <c r="J41" s="421"/>
      <c r="K41" s="421"/>
      <c r="L41" s="421"/>
      <c r="M41" s="421"/>
      <c r="N41" s="421"/>
      <c r="O41" s="421"/>
      <c r="P41" s="87"/>
      <c r="Q41" s="421" t="s">
        <v>215</v>
      </c>
      <c r="R41" s="421"/>
      <c r="S41" s="19"/>
    </row>
    <row r="42" spans="2:20">
      <c r="B42" s="16"/>
      <c r="C42" s="64" t="s">
        <v>17</v>
      </c>
      <c r="D42" s="64" t="s">
        <v>22</v>
      </c>
      <c r="E42" s="65" t="s">
        <v>37</v>
      </c>
      <c r="F42" s="65" t="s">
        <v>38</v>
      </c>
      <c r="G42" s="64" t="s">
        <v>18</v>
      </c>
      <c r="H42" s="64"/>
      <c r="I42" s="64" t="str">
        <f>"Q in "&amp;OutMassUnit</f>
        <v>Q in kg</v>
      </c>
      <c r="J42" s="64"/>
      <c r="K42" s="64" t="s">
        <v>36</v>
      </c>
      <c r="L42" s="64" t="str">
        <f>"Q ("&amp;OutMassUnit&amp;"/"&amp;OutMassUnit&amp;" catalyst)"</f>
        <v>Q (kg/kg catalyst)</v>
      </c>
      <c r="M42" s="64" t="str">
        <f>"Unit Price ("&amp;BasisYear&amp;" "&amp;CurrencySymbol&amp;"/"&amp;OutMassUnit&amp;")"</f>
        <v>Unit Price (2016 $/kg)</v>
      </c>
      <c r="N42" s="65" t="s">
        <v>45</v>
      </c>
      <c r="O42" s="65" t="s">
        <v>46</v>
      </c>
      <c r="P42" s="64"/>
      <c r="Q42" s="64" t="str">
        <f>"Cost ("&amp;CurrencySymbol&amp;"/"&amp;OutMassUnit&amp;" catalyst)"</f>
        <v>Cost ($/kg catalyst)</v>
      </c>
      <c r="R42" s="64" t="str">
        <f>"Cost ("&amp;CurrencySymbol&amp;"/year)"</f>
        <v>Cost ($/year)</v>
      </c>
      <c r="S42" s="19"/>
    </row>
    <row r="43" spans="2:20">
      <c r="B43" s="16"/>
      <c r="C43" s="69" t="s">
        <v>1361</v>
      </c>
      <c r="D43" s="83">
        <v>90</v>
      </c>
      <c r="E43" s="72"/>
      <c r="F43" s="72"/>
      <c r="G43" s="74" t="s">
        <v>71</v>
      </c>
      <c r="H43" s="73"/>
      <c r="I43" s="75">
        <f>IFERROR(IF(VLOOKUP(G43,UnitConv[],6,FALSE)="Yes",IF(ISBLANK(INDEX(RawMaterials[],MATCH($C43,RawMaterials[[Material Name]:[Material Name]],0),MATCH("Density (g/mL)",RawMaterials[#Headers],0))),"No Density",D43*VLOOKUP(G43,UnitConv[],7,FALSE)*INDEX(RawMaterials[],MATCH($C43,RawMaterials[[Material Name]:[Material Name]],0),MATCH("Density (g/mL)",RawMaterials[#Headers],0))/VLOOKUP(OutMassUnit,UnitConv[],5,FALSE)),D43*VLOOKUP(G43,UnitConv[],5,FALSE)/VLOOKUP(OutMassUnit,UnitConv[],5,FALSE)),"")</f>
        <v>90</v>
      </c>
      <c r="J43" s="75"/>
      <c r="K43" s="75" t="str">
        <f>IF(I43="","",IFERROR(I43*VLOOKUP(OutMassUnit,UnitConv[],5,FALSE)/VLOOKUP("g",UnitConv[],5,FALSE)/INDEX(RawMaterials[],MATCH(C43,RawMaterials[[Material Name]:[Material Name]],0),MATCH("MW (g/mol)",RawMaterials[#Headers],0)),"n/a"))</f>
        <v>n/a</v>
      </c>
      <c r="L43" s="75">
        <f t="shared" ref="L43:L55" si="6">IFERROR(I43/$D$12,"")</f>
        <v>0.09</v>
      </c>
      <c r="M43" s="77">
        <f>IFERROR(INDEX(RawMaterials[],MATCH($C43,RawMaterials[[Material Name]:[Material Name]],0),MATCH("Unit Price",RawMaterials[#Headers],0)),"")</f>
        <v>9.1260510264340192E-2</v>
      </c>
      <c r="N43" s="88">
        <f>IFERROR(0.7*$M43,"")</f>
        <v>6.3882357185038124E-2</v>
      </c>
      <c r="O43" s="89">
        <f>IFERROR(1.3*$M43,"")</f>
        <v>0.11863866334364226</v>
      </c>
      <c r="P43" s="66"/>
      <c r="Q43" s="84">
        <f t="shared" ref="Q43:Q55" si="7">IFERROR(L43*M43*(100+$D$14)/100,"")</f>
        <v>8.4598493015043356E-3</v>
      </c>
      <c r="R43" s="85">
        <f t="shared" ref="R43:R55" si="8">IFERROR(Q43*ActualProduction,"")</f>
        <v>84.59849301504336</v>
      </c>
      <c r="S43" s="19"/>
      <c r="T43" s="95"/>
    </row>
    <row r="44" spans="2:20">
      <c r="B44" s="16"/>
      <c r="C44" s="69"/>
      <c r="D44" s="83"/>
      <c r="E44" s="72"/>
      <c r="F44" s="72"/>
      <c r="G44" s="74"/>
      <c r="H44" s="73"/>
      <c r="I44" s="75" t="str">
        <f>IFERROR(IF(VLOOKUP(G44,UnitConv[],6,FALSE)="Yes",IF(ISBLANK(INDEX(RawMaterials[],MATCH($C44,RawMaterials[[Material Name]:[Material Name]],0),MATCH("Density (g/mL)",RawMaterials[#Headers],0))),"No Density",D44*VLOOKUP(G44,UnitConv[],7,FALSE)*INDEX(RawMaterials[],MATCH($C44,RawMaterials[[Material Name]:[Material Name]],0),MATCH("Density (g/mL)",RawMaterials[#Headers],0))/VLOOKUP(OutMassUnit,UnitConv[],5,FALSE)),D44*VLOOKUP(G44,UnitConv[],5,FALSE)/VLOOKUP(OutMassUnit,UnitConv[],5,FALSE)),"")</f>
        <v/>
      </c>
      <c r="J44" s="75"/>
      <c r="K44" s="75" t="str">
        <f>IF(I44="","",IFERROR(I44*VLOOKUP(OutMassUnit,UnitConv[],5,FALSE)/VLOOKUP("g",UnitConv[],5,FALSE)/INDEX(RawMaterials[],MATCH(C44,RawMaterials[[Material Name]:[Material Name]],0),MATCH("MW (g/mol)",RawMaterials[#Headers],0)),"n/a"))</f>
        <v/>
      </c>
      <c r="L44" s="75" t="str">
        <f t="shared" si="6"/>
        <v/>
      </c>
      <c r="M44" s="77" t="str">
        <f>IFERROR(INDEX(RawMaterials[],MATCH($C44,RawMaterials[[Material Name]:[Material Name]],0),MATCH("Unit Price",RawMaterials[#Headers],0)),"")</f>
        <v/>
      </c>
      <c r="N44" s="88" t="str">
        <f t="shared" ref="N44:N55" si="9">IFERROR(0.7*$M44,"")</f>
        <v/>
      </c>
      <c r="O44" s="89" t="str">
        <f t="shared" ref="O44:O55" si="10">IFERROR(1.3*$M44,"")</f>
        <v/>
      </c>
      <c r="P44" s="66"/>
      <c r="Q44" s="84" t="str">
        <f t="shared" si="7"/>
        <v/>
      </c>
      <c r="R44" s="85" t="str">
        <f t="shared" si="8"/>
        <v/>
      </c>
      <c r="S44" s="19"/>
      <c r="T44" s="95"/>
    </row>
    <row r="45" spans="2:20">
      <c r="B45" s="16"/>
      <c r="C45" s="69"/>
      <c r="D45" s="83"/>
      <c r="E45" s="72"/>
      <c r="F45" s="72"/>
      <c r="G45" s="74"/>
      <c r="H45" s="73"/>
      <c r="I45" s="75" t="str">
        <f>IFERROR(IF(VLOOKUP(G45,UnitConv[],6,FALSE)="Yes",IF(ISBLANK(INDEX(RawMaterials[],MATCH($C45,RawMaterials[[Material Name]:[Material Name]],0),MATCH("Density (g/mL)",RawMaterials[#Headers],0))),"No Density",D45*VLOOKUP(G45,UnitConv[],7,FALSE)*INDEX(RawMaterials[],MATCH($C45,RawMaterials[[Material Name]:[Material Name]],0),MATCH("Density (g/mL)",RawMaterials[#Headers],0))/VLOOKUP(OutMassUnit,UnitConv[],5,FALSE)),D45*VLOOKUP(G45,UnitConv[],5,FALSE)/VLOOKUP(OutMassUnit,UnitConv[],5,FALSE)),"")</f>
        <v/>
      </c>
      <c r="J45" s="75"/>
      <c r="K45" s="75" t="str">
        <f>IF(I45="","",IFERROR(I45*VLOOKUP(OutMassUnit,UnitConv[],5,FALSE)/VLOOKUP("g",UnitConv[],5,FALSE)/INDEX(RawMaterials[],MATCH(C45,RawMaterials[[Material Name]:[Material Name]],0),MATCH("MW (g/mol)",RawMaterials[#Headers],0)),"n/a"))</f>
        <v/>
      </c>
      <c r="L45" s="75" t="str">
        <f t="shared" si="6"/>
        <v/>
      </c>
      <c r="M45" s="77" t="str">
        <f>IFERROR(INDEX(RawMaterials[],MATCH($C45,RawMaterials[[Material Name]:[Material Name]],0),MATCH("Unit Price",RawMaterials[#Headers],0)),"")</f>
        <v/>
      </c>
      <c r="N45" s="88" t="str">
        <f t="shared" si="9"/>
        <v/>
      </c>
      <c r="O45" s="89" t="str">
        <f t="shared" si="10"/>
        <v/>
      </c>
      <c r="P45" s="66"/>
      <c r="Q45" s="84" t="str">
        <f t="shared" si="7"/>
        <v/>
      </c>
      <c r="R45" s="85" t="str">
        <f t="shared" si="8"/>
        <v/>
      </c>
      <c r="S45" s="19"/>
      <c r="T45" s="95"/>
    </row>
    <row r="46" spans="2:20">
      <c r="B46" s="16"/>
      <c r="C46" s="69"/>
      <c r="D46" s="83"/>
      <c r="E46" s="72"/>
      <c r="F46" s="72"/>
      <c r="G46" s="74"/>
      <c r="H46" s="73"/>
      <c r="I46" s="75" t="str">
        <f>IFERROR(IF(VLOOKUP(G46,UnitConv[],6,FALSE)="Yes",IF(ISBLANK(INDEX(RawMaterials[],MATCH($C46,RawMaterials[[Material Name]:[Material Name]],0),MATCH("Density (g/mL)",RawMaterials[#Headers],0))),"No Density",D46*VLOOKUP(G46,UnitConv[],7,FALSE)*INDEX(RawMaterials[],MATCH($C46,RawMaterials[[Material Name]:[Material Name]],0),MATCH("Density (g/mL)",RawMaterials[#Headers],0))/VLOOKUP(OutMassUnit,UnitConv[],5,FALSE)),D46*VLOOKUP(G46,UnitConv[],5,FALSE)/VLOOKUP(OutMassUnit,UnitConv[],5,FALSE)),"")</f>
        <v/>
      </c>
      <c r="J46" s="75"/>
      <c r="K46" s="75" t="str">
        <f>IF(I46="","",IFERROR(I46*VLOOKUP(OutMassUnit,UnitConv[],5,FALSE)/VLOOKUP("g",UnitConv[],5,FALSE)/INDEX(RawMaterials[],MATCH(C46,RawMaterials[[Material Name]:[Material Name]],0),MATCH("MW (g/mol)",RawMaterials[#Headers],0)),"n/a"))</f>
        <v/>
      </c>
      <c r="L46" s="75" t="str">
        <f t="shared" si="6"/>
        <v/>
      </c>
      <c r="M46" s="77" t="str">
        <f>IFERROR(INDEX(RawMaterials[],MATCH($C46,RawMaterials[[Material Name]:[Material Name]],0),MATCH("Unit Price",RawMaterials[#Headers],0)),"")</f>
        <v/>
      </c>
      <c r="N46" s="88" t="str">
        <f t="shared" si="9"/>
        <v/>
      </c>
      <c r="O46" s="89" t="str">
        <f t="shared" si="10"/>
        <v/>
      </c>
      <c r="P46" s="66"/>
      <c r="Q46" s="84" t="str">
        <f t="shared" si="7"/>
        <v/>
      </c>
      <c r="R46" s="85" t="str">
        <f t="shared" si="8"/>
        <v/>
      </c>
      <c r="S46" s="19"/>
      <c r="T46" s="95"/>
    </row>
    <row r="47" spans="2:20">
      <c r="B47" s="16"/>
      <c r="C47" s="69"/>
      <c r="D47" s="83"/>
      <c r="E47" s="72"/>
      <c r="F47" s="72"/>
      <c r="G47" s="74"/>
      <c r="H47" s="73"/>
      <c r="I47" s="75" t="str">
        <f>IFERROR(IF(VLOOKUP(G47,UnitConv[],6,FALSE)="Yes",IF(ISBLANK(INDEX(RawMaterials[],MATCH($C47,RawMaterials[[Material Name]:[Material Name]],0),MATCH("Density (g/mL)",RawMaterials[#Headers],0))),"No Density",D47*VLOOKUP(G47,UnitConv[],7,FALSE)*INDEX(RawMaterials[],MATCH($C47,RawMaterials[[Material Name]:[Material Name]],0),MATCH("Density (g/mL)",RawMaterials[#Headers],0))/VLOOKUP(OutMassUnit,UnitConv[],5,FALSE)),D47*VLOOKUP(G47,UnitConv[],5,FALSE)/VLOOKUP(OutMassUnit,UnitConv[],5,FALSE)),"")</f>
        <v/>
      </c>
      <c r="J47" s="75"/>
      <c r="K47" s="75" t="str">
        <f>IF(I47="","",IFERROR(I47*VLOOKUP(OutMassUnit,UnitConv[],5,FALSE)/VLOOKUP("g",UnitConv[],5,FALSE)/INDEX(RawMaterials[],MATCH(C47,RawMaterials[[Material Name]:[Material Name]],0),MATCH("MW (g/mol)",RawMaterials[#Headers],0)),"n/a"))</f>
        <v/>
      </c>
      <c r="L47" s="75" t="str">
        <f t="shared" si="6"/>
        <v/>
      </c>
      <c r="M47" s="77" t="str">
        <f>IFERROR(INDEX(RawMaterials[],MATCH($C47,RawMaterials[[Material Name]:[Material Name]],0),MATCH("Unit Price",RawMaterials[#Headers],0)),"")</f>
        <v/>
      </c>
      <c r="N47" s="88" t="str">
        <f t="shared" si="9"/>
        <v/>
      </c>
      <c r="O47" s="89" t="str">
        <f t="shared" si="10"/>
        <v/>
      </c>
      <c r="P47" s="66"/>
      <c r="Q47" s="84" t="str">
        <f t="shared" si="7"/>
        <v/>
      </c>
      <c r="R47" s="85" t="str">
        <f t="shared" si="8"/>
        <v/>
      </c>
      <c r="S47" s="19"/>
      <c r="T47" s="95"/>
    </row>
    <row r="48" spans="2:20">
      <c r="B48" s="16"/>
      <c r="C48" s="69"/>
      <c r="D48" s="83"/>
      <c r="E48" s="72"/>
      <c r="F48" s="72"/>
      <c r="G48" s="74"/>
      <c r="H48" s="73"/>
      <c r="I48" s="75" t="str">
        <f>IFERROR(IF(VLOOKUP(G48,UnitConv[],6,FALSE)="Yes",IF(ISBLANK(INDEX(RawMaterials[],MATCH($C48,RawMaterials[[Material Name]:[Material Name]],0),MATCH("Density (g/mL)",RawMaterials[#Headers],0))),"No Density",D48*VLOOKUP(G48,UnitConv[],7,FALSE)*INDEX(RawMaterials[],MATCH($C48,RawMaterials[[Material Name]:[Material Name]],0),MATCH("Density (g/mL)",RawMaterials[#Headers],0))/VLOOKUP(OutMassUnit,UnitConv[],5,FALSE)),D48*VLOOKUP(G48,UnitConv[],5,FALSE)/VLOOKUP(OutMassUnit,UnitConv[],5,FALSE)),"")</f>
        <v/>
      </c>
      <c r="J48" s="75"/>
      <c r="K48" s="75" t="str">
        <f>IF(I48="","",IFERROR(I48*VLOOKUP(OutMassUnit,UnitConv[],5,FALSE)/VLOOKUP("g",UnitConv[],5,FALSE)/INDEX(RawMaterials[],MATCH(C48,RawMaterials[[Material Name]:[Material Name]],0),MATCH("MW (g/mol)",RawMaterials[#Headers],0)),"n/a"))</f>
        <v/>
      </c>
      <c r="L48" s="75" t="str">
        <f t="shared" si="6"/>
        <v/>
      </c>
      <c r="M48" s="77" t="str">
        <f>IFERROR(INDEX(RawMaterials[],MATCH($C48,RawMaterials[[Material Name]:[Material Name]],0),MATCH("Unit Price",RawMaterials[#Headers],0)),"")</f>
        <v/>
      </c>
      <c r="N48" s="88" t="str">
        <f t="shared" si="9"/>
        <v/>
      </c>
      <c r="O48" s="89" t="str">
        <f t="shared" si="10"/>
        <v/>
      </c>
      <c r="P48" s="66"/>
      <c r="Q48" s="84" t="str">
        <f t="shared" si="7"/>
        <v/>
      </c>
      <c r="R48" s="85" t="str">
        <f t="shared" si="8"/>
        <v/>
      </c>
      <c r="S48" s="19"/>
      <c r="T48" s="95"/>
    </row>
    <row r="49" spans="2:20">
      <c r="B49" s="16"/>
      <c r="C49" s="69"/>
      <c r="D49" s="83"/>
      <c r="E49" s="72"/>
      <c r="F49" s="72"/>
      <c r="G49" s="74"/>
      <c r="H49" s="73"/>
      <c r="I49" s="75" t="str">
        <f>IFERROR(IF(VLOOKUP(G49,UnitConv[],6,FALSE)="Yes",IF(ISBLANK(INDEX(RawMaterials[],MATCH($C49,RawMaterials[[Material Name]:[Material Name]],0),MATCH("Density (g/mL)",RawMaterials[#Headers],0))),"No Density",D49*VLOOKUP(G49,UnitConv[],7,FALSE)*INDEX(RawMaterials[],MATCH($C49,RawMaterials[[Material Name]:[Material Name]],0),MATCH("Density (g/mL)",RawMaterials[#Headers],0))/VLOOKUP(OutMassUnit,UnitConv[],5,FALSE)),D49*VLOOKUP(G49,UnitConv[],5,FALSE)/VLOOKUP(OutMassUnit,UnitConv[],5,FALSE)),"")</f>
        <v/>
      </c>
      <c r="J49" s="75"/>
      <c r="K49" s="75" t="str">
        <f>IF(I49="","",IFERROR(I49*VLOOKUP(OutMassUnit,UnitConv[],5,FALSE)/VLOOKUP("g",UnitConv[],5,FALSE)/INDEX(RawMaterials[],MATCH(C49,RawMaterials[[Material Name]:[Material Name]],0),MATCH("MW (g/mol)",RawMaterials[#Headers],0)),"n/a"))</f>
        <v/>
      </c>
      <c r="L49" s="75" t="str">
        <f t="shared" si="6"/>
        <v/>
      </c>
      <c r="M49" s="77" t="str">
        <f>IFERROR(INDEX(RawMaterials[],MATCH($C49,RawMaterials[[Material Name]:[Material Name]],0),MATCH("Unit Price",RawMaterials[#Headers],0)),"")</f>
        <v/>
      </c>
      <c r="N49" s="88" t="str">
        <f t="shared" si="9"/>
        <v/>
      </c>
      <c r="O49" s="89" t="str">
        <f t="shared" si="10"/>
        <v/>
      </c>
      <c r="P49" s="66"/>
      <c r="Q49" s="84" t="str">
        <f t="shared" si="7"/>
        <v/>
      </c>
      <c r="R49" s="85" t="str">
        <f t="shared" si="8"/>
        <v/>
      </c>
      <c r="S49" s="19"/>
      <c r="T49" s="95"/>
    </row>
    <row r="50" spans="2:20">
      <c r="B50" s="16"/>
      <c r="C50" s="69"/>
      <c r="D50" s="83"/>
      <c r="E50" s="72"/>
      <c r="F50" s="72"/>
      <c r="G50" s="74"/>
      <c r="H50" s="73"/>
      <c r="I50" s="75" t="str">
        <f>IFERROR(IF(VLOOKUP(G50,UnitConv[],6,FALSE)="Yes",IF(ISBLANK(INDEX(RawMaterials[],MATCH($C50,RawMaterials[[Material Name]:[Material Name]],0),MATCH("Density (g/mL)",RawMaterials[#Headers],0))),"No Density",D50*VLOOKUP(G50,UnitConv[],7,FALSE)*INDEX(RawMaterials[],MATCH($C50,RawMaterials[[Material Name]:[Material Name]],0),MATCH("Density (g/mL)",RawMaterials[#Headers],0))/VLOOKUP(OutMassUnit,UnitConv[],5,FALSE)),D50*VLOOKUP(G50,UnitConv[],5,FALSE)/VLOOKUP(OutMassUnit,UnitConv[],5,FALSE)),"")</f>
        <v/>
      </c>
      <c r="J50" s="75"/>
      <c r="K50" s="75" t="str">
        <f>IF(I50="","",IFERROR(I50*VLOOKUP(OutMassUnit,UnitConv[],5,FALSE)/VLOOKUP("g",UnitConv[],5,FALSE)/INDEX(RawMaterials[],MATCH(C50,RawMaterials[[Material Name]:[Material Name]],0),MATCH("MW (g/mol)",RawMaterials[#Headers],0)),"n/a"))</f>
        <v/>
      </c>
      <c r="L50" s="75" t="str">
        <f t="shared" si="6"/>
        <v/>
      </c>
      <c r="M50" s="77" t="str">
        <f>IFERROR(INDEX(RawMaterials[],MATCH($C50,RawMaterials[[Material Name]:[Material Name]],0),MATCH("Unit Price",RawMaterials[#Headers],0)),"")</f>
        <v/>
      </c>
      <c r="N50" s="88" t="str">
        <f t="shared" si="9"/>
        <v/>
      </c>
      <c r="O50" s="89" t="str">
        <f t="shared" si="10"/>
        <v/>
      </c>
      <c r="P50" s="66"/>
      <c r="Q50" s="84" t="str">
        <f t="shared" si="7"/>
        <v/>
      </c>
      <c r="R50" s="85" t="str">
        <f t="shared" si="8"/>
        <v/>
      </c>
      <c r="S50" s="19"/>
      <c r="T50" s="96"/>
    </row>
    <row r="51" spans="2:20">
      <c r="B51" s="16"/>
      <c r="C51" s="69"/>
      <c r="D51" s="83"/>
      <c r="E51" s="72"/>
      <c r="F51" s="72"/>
      <c r="G51" s="74"/>
      <c r="H51" s="73"/>
      <c r="I51" s="75" t="str">
        <f>IFERROR(IF(VLOOKUP(G51,UnitConv[],6,FALSE)="Yes",IF(ISBLANK(INDEX(RawMaterials[],MATCH($C51,RawMaterials[[Material Name]:[Material Name]],0),MATCH("Density (g/mL)",RawMaterials[#Headers],0))),"No Density",D51*VLOOKUP(G51,UnitConv[],7,FALSE)*INDEX(RawMaterials[],MATCH($C51,RawMaterials[[Material Name]:[Material Name]],0),MATCH("Density (g/mL)",RawMaterials[#Headers],0))/VLOOKUP(OutMassUnit,UnitConv[],5,FALSE)),D51*VLOOKUP(G51,UnitConv[],5,FALSE)/VLOOKUP(OutMassUnit,UnitConv[],5,FALSE)),"")</f>
        <v/>
      </c>
      <c r="J51" s="75"/>
      <c r="K51" s="75" t="str">
        <f>IF(I51="","",IFERROR(I51*VLOOKUP(OutMassUnit,UnitConv[],5,FALSE)/VLOOKUP("g",UnitConv[],5,FALSE)/INDEX(RawMaterials[],MATCH(C51,RawMaterials[[Material Name]:[Material Name]],0),MATCH("MW (g/mol)",RawMaterials[#Headers],0)),"n/a"))</f>
        <v/>
      </c>
      <c r="L51" s="75" t="str">
        <f t="shared" si="6"/>
        <v/>
      </c>
      <c r="M51" s="77" t="str">
        <f>IFERROR(INDEX(RawMaterials[],MATCH($C51,RawMaterials[[Material Name]:[Material Name]],0),MATCH("Unit Price",RawMaterials[#Headers],0)),"")</f>
        <v/>
      </c>
      <c r="N51" s="88" t="str">
        <f t="shared" si="9"/>
        <v/>
      </c>
      <c r="O51" s="89" t="str">
        <f t="shared" si="10"/>
        <v/>
      </c>
      <c r="P51" s="66"/>
      <c r="Q51" s="84" t="str">
        <f t="shared" si="7"/>
        <v/>
      </c>
      <c r="R51" s="85" t="str">
        <f t="shared" si="8"/>
        <v/>
      </c>
      <c r="S51" s="19"/>
      <c r="T51" s="95"/>
    </row>
    <row r="52" spans="2:20">
      <c r="B52" s="16"/>
      <c r="C52" s="69"/>
      <c r="D52" s="83"/>
      <c r="E52" s="72"/>
      <c r="F52" s="72"/>
      <c r="G52" s="74"/>
      <c r="H52" s="73"/>
      <c r="I52" s="75" t="str">
        <f>IFERROR(IF(VLOOKUP(G52,UnitConv[],6,FALSE)="Yes",IF(ISBLANK(INDEX(RawMaterials[],MATCH($C52,RawMaterials[[Material Name]:[Material Name]],0),MATCH("Density (g/mL)",RawMaterials[#Headers],0))),"No Density",D52*VLOOKUP(G52,UnitConv[],7,FALSE)*INDEX(RawMaterials[],MATCH($C52,RawMaterials[[Material Name]:[Material Name]],0),MATCH("Density (g/mL)",RawMaterials[#Headers],0))/VLOOKUP(OutMassUnit,UnitConv[],5,FALSE)),D52*VLOOKUP(G52,UnitConv[],5,FALSE)/VLOOKUP(OutMassUnit,UnitConv[],5,FALSE)),"")</f>
        <v/>
      </c>
      <c r="J52" s="75"/>
      <c r="K52" s="75" t="str">
        <f>IF(I52="","",IFERROR(I52*VLOOKUP(OutMassUnit,UnitConv[],5,FALSE)/VLOOKUP("g",UnitConv[],5,FALSE)/INDEX(RawMaterials[],MATCH(C52,RawMaterials[[Material Name]:[Material Name]],0),MATCH("MW (g/mol)",RawMaterials[#Headers],0)),"n/a"))</f>
        <v/>
      </c>
      <c r="L52" s="75" t="str">
        <f t="shared" si="6"/>
        <v/>
      </c>
      <c r="M52" s="77" t="str">
        <f>IFERROR(INDEX(RawMaterials[],MATCH($C52,RawMaterials[[Material Name]:[Material Name]],0),MATCH("Unit Price",RawMaterials[#Headers],0)),"")</f>
        <v/>
      </c>
      <c r="N52" s="88" t="str">
        <f t="shared" si="9"/>
        <v/>
      </c>
      <c r="O52" s="89" t="str">
        <f t="shared" si="10"/>
        <v/>
      </c>
      <c r="P52" s="66"/>
      <c r="Q52" s="84" t="str">
        <f t="shared" si="7"/>
        <v/>
      </c>
      <c r="R52" s="85" t="str">
        <f t="shared" si="8"/>
        <v/>
      </c>
      <c r="S52" s="19"/>
      <c r="T52" s="95"/>
    </row>
    <row r="53" spans="2:20">
      <c r="B53" s="16"/>
      <c r="C53" s="69"/>
      <c r="D53" s="83"/>
      <c r="E53" s="72"/>
      <c r="F53" s="72"/>
      <c r="G53" s="74"/>
      <c r="H53" s="73"/>
      <c r="I53" s="75" t="str">
        <f>IFERROR(IF(VLOOKUP(G53,UnitConv[],6,FALSE)="Yes",IF(ISBLANK(INDEX(RawMaterials[],MATCH($C53,RawMaterials[[Material Name]:[Material Name]],0),MATCH("Density (g/mL)",RawMaterials[#Headers],0))),"No Density",D53*VLOOKUP(G53,UnitConv[],7,FALSE)*INDEX(RawMaterials[],MATCH($C53,RawMaterials[[Material Name]:[Material Name]],0),MATCH("Density (g/mL)",RawMaterials[#Headers],0))/VLOOKUP(OutMassUnit,UnitConv[],5,FALSE)),D53*VLOOKUP(G53,UnitConv[],5,FALSE)/VLOOKUP(OutMassUnit,UnitConv[],5,FALSE)),"")</f>
        <v/>
      </c>
      <c r="J53" s="75"/>
      <c r="K53" s="75" t="str">
        <f>IF(I53="","",IFERROR(I53*VLOOKUP(OutMassUnit,UnitConv[],5,FALSE)/VLOOKUP("g",UnitConv[],5,FALSE)/INDEX(RawMaterials[],MATCH(C53,RawMaterials[[Material Name]:[Material Name]],0),MATCH("MW (g/mol)",RawMaterials[#Headers],0)),"n/a"))</f>
        <v/>
      </c>
      <c r="L53" s="75" t="str">
        <f t="shared" si="6"/>
        <v/>
      </c>
      <c r="M53" s="77" t="str">
        <f>IFERROR(INDEX(RawMaterials[],MATCH($C53,RawMaterials[[Material Name]:[Material Name]],0),MATCH("Unit Price",RawMaterials[#Headers],0)),"")</f>
        <v/>
      </c>
      <c r="N53" s="88" t="str">
        <f t="shared" si="9"/>
        <v/>
      </c>
      <c r="O53" s="89" t="str">
        <f t="shared" si="10"/>
        <v/>
      </c>
      <c r="P53" s="66"/>
      <c r="Q53" s="84" t="str">
        <f t="shared" si="7"/>
        <v/>
      </c>
      <c r="R53" s="85" t="str">
        <f t="shared" si="8"/>
        <v/>
      </c>
      <c r="S53" s="19"/>
      <c r="T53" s="95"/>
    </row>
    <row r="54" spans="2:20">
      <c r="B54" s="16"/>
      <c r="C54" s="69"/>
      <c r="D54" s="83"/>
      <c r="E54" s="72"/>
      <c r="F54" s="72"/>
      <c r="G54" s="74"/>
      <c r="H54" s="73"/>
      <c r="I54" s="75" t="str">
        <f>IFERROR(IF(VLOOKUP(G54,UnitConv[],6,FALSE)="Yes",IF(ISBLANK(INDEX(RawMaterials[],MATCH($C54,RawMaterials[[Material Name]:[Material Name]],0),MATCH("Density (g/mL)",RawMaterials[#Headers],0))),"No Density",D54*VLOOKUP(G54,UnitConv[],7,FALSE)*INDEX(RawMaterials[],MATCH($C54,RawMaterials[[Material Name]:[Material Name]],0),MATCH("Density (g/mL)",RawMaterials[#Headers],0))/VLOOKUP(OutMassUnit,UnitConv[],5,FALSE)),D54*VLOOKUP(G54,UnitConv[],5,FALSE)/VLOOKUP(OutMassUnit,UnitConv[],5,FALSE)),"")</f>
        <v/>
      </c>
      <c r="J54" s="75"/>
      <c r="K54" s="75" t="str">
        <f>IF(I54="","",IFERROR(I54*VLOOKUP(OutMassUnit,UnitConv[],5,FALSE)/VLOOKUP("g",UnitConv[],5,FALSE)/INDEX(RawMaterials[],MATCH(C54,RawMaterials[[Material Name]:[Material Name]],0),MATCH("MW (g/mol)",RawMaterials[#Headers],0)),"n/a"))</f>
        <v/>
      </c>
      <c r="L54" s="75" t="str">
        <f t="shared" si="6"/>
        <v/>
      </c>
      <c r="M54" s="77" t="str">
        <f>IFERROR(INDEX(RawMaterials[],MATCH($C54,RawMaterials[[Material Name]:[Material Name]],0),MATCH("Unit Price",RawMaterials[#Headers],0)),"")</f>
        <v/>
      </c>
      <c r="N54" s="88" t="str">
        <f t="shared" si="9"/>
        <v/>
      </c>
      <c r="O54" s="89" t="str">
        <f t="shared" si="10"/>
        <v/>
      </c>
      <c r="P54" s="66"/>
      <c r="Q54" s="84" t="str">
        <f t="shared" si="7"/>
        <v/>
      </c>
      <c r="R54" s="85" t="str">
        <f t="shared" si="8"/>
        <v/>
      </c>
      <c r="S54" s="19"/>
      <c r="T54" s="95"/>
    </row>
    <row r="55" spans="2:20">
      <c r="B55" s="16"/>
      <c r="C55" s="69"/>
      <c r="D55" s="83"/>
      <c r="E55" s="72"/>
      <c r="F55" s="72"/>
      <c r="G55" s="74"/>
      <c r="H55" s="73"/>
      <c r="I55" s="75" t="str">
        <f>IFERROR(IF(VLOOKUP(G55,UnitConv[],6,FALSE)="Yes",IF(ISBLANK(INDEX(RawMaterials[],MATCH($C55,RawMaterials[[Material Name]:[Material Name]],0),MATCH("Density (g/mL)",RawMaterials[#Headers],0))),"No Density",D55*VLOOKUP(G55,UnitConv[],7,FALSE)*INDEX(RawMaterials[],MATCH($C55,RawMaterials[[Material Name]:[Material Name]],0),MATCH("Density (g/mL)",RawMaterials[#Headers],0))/VLOOKUP(OutMassUnit,UnitConv[],5,FALSE)),D55*VLOOKUP(G55,UnitConv[],5,FALSE)/VLOOKUP(OutMassUnit,UnitConv[],5,FALSE)),"")</f>
        <v/>
      </c>
      <c r="J55" s="75"/>
      <c r="K55" s="75" t="str">
        <f>IF(I55="","",IFERROR(I55*VLOOKUP(OutMassUnit,UnitConv[],5,FALSE)/VLOOKUP("g",UnitConv[],5,FALSE)/INDEX(RawMaterials[],MATCH(C55,RawMaterials[[Material Name]:[Material Name]],0),MATCH("MW (g/mol)",RawMaterials[#Headers],0)),"n/a"))</f>
        <v/>
      </c>
      <c r="L55" s="75" t="str">
        <f t="shared" si="6"/>
        <v/>
      </c>
      <c r="M55" s="77" t="str">
        <f>IFERROR(INDEX(RawMaterials[],MATCH($C55,RawMaterials[[Material Name]:[Material Name]],0),MATCH("Unit Price",RawMaterials[#Headers],0)),"")</f>
        <v/>
      </c>
      <c r="N55" s="88" t="str">
        <f t="shared" si="9"/>
        <v/>
      </c>
      <c r="O55" s="89" t="str">
        <f t="shared" si="10"/>
        <v/>
      </c>
      <c r="P55" s="66"/>
      <c r="Q55" s="84" t="str">
        <f t="shared" si="7"/>
        <v/>
      </c>
      <c r="R55" s="85" t="str">
        <f t="shared" si="8"/>
        <v/>
      </c>
      <c r="S55" s="19"/>
    </row>
    <row r="56" spans="2:20" ht="16.5" thickBot="1">
      <c r="B56" s="21"/>
      <c r="C56" s="22"/>
      <c r="D56" s="22"/>
      <c r="E56" s="22"/>
      <c r="F56" s="22"/>
      <c r="G56" s="22"/>
      <c r="H56" s="22"/>
      <c r="I56" s="22"/>
      <c r="J56" s="22"/>
      <c r="K56" s="22"/>
      <c r="L56" s="22"/>
      <c r="M56" s="22"/>
      <c r="N56" s="22"/>
      <c r="O56" s="22"/>
      <c r="P56" s="22"/>
      <c r="Q56" s="22"/>
      <c r="R56" s="22"/>
      <c r="S56" s="23"/>
    </row>
  </sheetData>
  <mergeCells count="14">
    <mergeCell ref="Q19:R19"/>
    <mergeCell ref="B39:D39"/>
    <mergeCell ref="Q30:R30"/>
    <mergeCell ref="P11:S11"/>
    <mergeCell ref="C41:G41"/>
    <mergeCell ref="I41:O41"/>
    <mergeCell ref="Q41:R41"/>
    <mergeCell ref="C30:G30"/>
    <mergeCell ref="I30:O30"/>
    <mergeCell ref="B3:D3"/>
    <mergeCell ref="B17:D17"/>
    <mergeCell ref="B28:D28"/>
    <mergeCell ref="I19:O19"/>
    <mergeCell ref="C19:G19"/>
  </mergeCells>
  <conditionalFormatting sqref="D8:D9 D14 D7 D10 D6">
    <cfRule type="containsBlanks" dxfId="217" priority="6">
      <formula>LEN(TRIM(D6))=0</formula>
    </cfRule>
  </conditionalFormatting>
  <conditionalFormatting sqref="C21:D25 C43:D55 G21:G25 G32:G36 G43:G55 C32:D36">
    <cfRule type="containsBlanks" dxfId="216" priority="8">
      <formula>LEN(TRIM(C21))=0</formula>
    </cfRule>
  </conditionalFormatting>
  <conditionalFormatting sqref="D8:D9">
    <cfRule type="expression" dxfId="215" priority="4">
      <formula>$D$6&lt;&gt;"% Yield"</formula>
    </cfRule>
  </conditionalFormatting>
  <conditionalFormatting sqref="C21:G21">
    <cfRule type="expression" dxfId="214" priority="3">
      <formula>AND($D$6="% Yield",ISBLANK(C21))</formula>
    </cfRule>
  </conditionalFormatting>
  <conditionalFormatting sqref="E32:F32">
    <cfRule type="expression" dxfId="213" priority="2">
      <formula>AND($D$6="% Yield",ISBLANK(E32))</formula>
    </cfRule>
  </conditionalFormatting>
  <conditionalFormatting sqref="E43:F43">
    <cfRule type="expression" dxfId="212" priority="1">
      <formula>AND($D$6="% Yield",ISBLANK(E43))</formula>
    </cfRule>
  </conditionalFormatting>
  <dataValidations count="3">
    <dataValidation type="list" allowBlank="1" showInputMessage="1" showErrorMessage="1" sqref="D6" xr:uid="{00000000-0002-0000-0200-000000000000}">
      <formula1>"% Yield,AP Mass,Catalyst Mass"</formula1>
    </dataValidation>
    <dataValidation type="list" allowBlank="1" showInputMessage="1" showErrorMessage="1" sqref="G21:G25 G43:G55 G32:G36" xr:uid="{00000000-0002-0000-0200-000001000000}">
      <formula1>Units</formula1>
    </dataValidation>
    <dataValidation type="list" allowBlank="1" showInputMessage="1" showErrorMessage="1" sqref="C21:C25 C32:C36 C43:C55" xr:uid="{00000000-0002-0000-0200-000002000000}">
      <formula1>RawMaterialNames</formula1>
    </dataValidation>
  </dataValidations>
  <pageMargins left="0.75" right="0.75" top="1" bottom="1" header="0.5" footer="0.5"/>
  <pageSetup orientation="portrait" horizontalDpi="4294967292" verticalDpi="4294967292"/>
  <ignoredErrors>
    <ignoredError sqref="A1:XFD5 A8:XFD9 A7:C7 G7:XFD7 A16:XFD16 A10:C10 G10:XFD10 A26:XFD27 A21:B21 H21 A63:XFD1048576 A58:O62 T58:XFD62 A11:O15 T11:XFD15 A6:C6 E6:XFD6 A40:XFD42 A39 C39:XFD39 A18:XFD20 A17 C17:XFD17 A29:XFD31 A28 C28:XFD28 J21:XFD21 A22:H24 J22:XFD25 A37:XFD38 A32:B32 J32:XFD32 A33:H33 J33:XFD36 A56:XFD57 A43:B43 J43:XFD43 A44:H45 J44:XFD55 E32:F32 H32 A35:H36 A34:D34 F34:H34 A47:D55 A46:D46 F46:H46 A25:D25 F25:H25 G47:H55 E43:F43 H43" emptyCellReference="1"/>
  </ignoredError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AA457"/>
  <sheetViews>
    <sheetView zoomScaleNormal="100" workbookViewId="0">
      <pane ySplit="1" topLeftCell="A2" activePane="bottomLeft" state="frozenSplit"/>
      <selection pane="bottomLeft" activeCell="C12" sqref="C12:D12"/>
    </sheetView>
  </sheetViews>
  <sheetFormatPr defaultColWidth="10.875" defaultRowHeight="15.75" outlineLevelRow="1"/>
  <cols>
    <col min="1" max="2" width="2.5" style="11" customWidth="1"/>
    <col min="3" max="3" width="33.5" style="11" bestFit="1" customWidth="1"/>
    <col min="4" max="5" width="18.875" style="11" bestFit="1" customWidth="1"/>
    <col min="6" max="7" width="18.875" style="11" customWidth="1"/>
    <col min="8" max="8" width="2.5" style="11" customWidth="1"/>
    <col min="9" max="9" width="45" style="11" bestFit="1" customWidth="1"/>
    <col min="10" max="10" width="2.5" style="11" customWidth="1"/>
    <col min="11" max="16384" width="10.875" style="11"/>
  </cols>
  <sheetData>
    <row r="1" spans="1:27" s="109" customFormat="1" ht="24" customHeight="1">
      <c r="A1" s="10"/>
      <c r="B1" s="107" t="str">
        <f>"CatCost v"&amp;Version&amp;": "&amp;EstimateName</f>
        <v>CatCost v1.0.4: Test1</v>
      </c>
      <c r="C1" s="10"/>
      <c r="D1" s="10"/>
      <c r="E1" s="10"/>
      <c r="F1" s="10"/>
      <c r="G1" s="108"/>
      <c r="H1" s="108"/>
      <c r="X1" s="10" t="s">
        <v>1078</v>
      </c>
      <c r="AA1" s="109" t="str">
        <f t="array" ref="AA1:AA29" ca="1">IF(ROW()&gt;COUNTIF($C$1:$C$10208,"Step Method Template Name"),"",OFFSET($C$1,SMALL(IF($C$1:$C$10208="Step Method Template Name",ROW($C$1:$C$10208)),ROW()),0))</f>
        <v>Custom Step Process</v>
      </c>
    </row>
    <row r="2" spans="1:27" ht="16.5" thickBot="1">
      <c r="AA2" s="11" t="str">
        <f ca="1"/>
        <v>FCC Catalyst (USY w/ RE)</v>
      </c>
    </row>
    <row r="3" spans="1:27" ht="21" thickBot="1">
      <c r="B3" s="414" t="s">
        <v>1053</v>
      </c>
      <c r="C3" s="415"/>
      <c r="D3" s="415"/>
      <c r="E3" s="416"/>
      <c r="AA3" s="11" t="str">
        <f ca="1"/>
        <v>Magnesia/Alumina</v>
      </c>
    </row>
    <row r="4" spans="1:27">
      <c r="B4" s="13"/>
      <c r="C4" s="14"/>
      <c r="D4" s="14"/>
      <c r="E4" s="15"/>
      <c r="AA4" s="11" t="str">
        <f ca="1"/>
        <v>Metal Carbide (Bulk)</v>
      </c>
    </row>
    <row r="5" spans="1:27">
      <c r="B5" s="16"/>
      <c r="C5" s="17" t="s">
        <v>1719</v>
      </c>
      <c r="D5" s="18"/>
      <c r="E5" s="19"/>
      <c r="AA5" s="11" t="str">
        <f ca="1"/>
        <v>Metal Carbide on Metal Oxide</v>
      </c>
    </row>
    <row r="6" spans="1:27">
      <c r="B6" s="16"/>
      <c r="C6" s="137" t="s">
        <v>950</v>
      </c>
      <c r="D6" s="360">
        <f>IFERROR(1/(1/StepOrderSize),"-----")</f>
        <v>100</v>
      </c>
      <c r="E6" s="252" t="s">
        <v>401</v>
      </c>
      <c r="AA6" s="11" t="str">
        <f ca="1"/>
        <v>Metal (Earth Abundant) on Metal Oxide</v>
      </c>
    </row>
    <row r="7" spans="1:27">
      <c r="B7" s="16"/>
      <c r="C7" s="137" t="s">
        <v>949</v>
      </c>
      <c r="D7" s="361">
        <f>IFERROR(D6*VLOOKUP(E6,UnitConv[],5,FALSE)/VLOOKUP(OutMassUnit,UnitConv[],5,FALSE),"-----")</f>
        <v>90718.474000000002</v>
      </c>
      <c r="E7" s="252" t="str">
        <f>IF(OutMassUnit="","",OutMassUnit)</f>
        <v>kg</v>
      </c>
      <c r="AA7" s="11" t="str">
        <f ca="1"/>
        <v>Metal (PGM) on Carbon</v>
      </c>
    </row>
    <row r="8" spans="1:27">
      <c r="B8" s="16"/>
      <c r="C8" s="137" t="s">
        <v>906</v>
      </c>
      <c r="D8" s="360" t="str">
        <f>StepEquipSize</f>
        <v>Large (150 ton/day)</v>
      </c>
      <c r="E8" s="252"/>
      <c r="AA8" s="11" t="str">
        <f ca="1"/>
        <v>Metal (PGM) on Metal Oxide</v>
      </c>
    </row>
    <row r="9" spans="1:27">
      <c r="B9" s="16"/>
      <c r="C9" s="137" t="s">
        <v>947</v>
      </c>
      <c r="D9" s="360">
        <f>StepCampaignTime</f>
        <v>1.6666666666666665</v>
      </c>
      <c r="E9" s="252" t="s">
        <v>948</v>
      </c>
      <c r="AA9" s="11" t="str">
        <f ca="1"/>
        <v>Red Mud</v>
      </c>
    </row>
    <row r="10" spans="1:27">
      <c r="B10" s="16"/>
      <c r="C10" s="137"/>
      <c r="D10" s="242"/>
      <c r="E10" s="252"/>
      <c r="AA10" s="11" t="str">
        <f ca="1"/>
        <v>Zeolite Beta (Bulk)</v>
      </c>
    </row>
    <row r="11" spans="1:27">
      <c r="B11" s="16"/>
      <c r="C11" s="17" t="s">
        <v>1055</v>
      </c>
      <c r="D11" s="242"/>
      <c r="E11" s="252"/>
      <c r="AA11" s="11" t="str">
        <f ca="1"/>
        <v>Zeolite Beta with Metal Active Site</v>
      </c>
    </row>
    <row r="12" spans="1:27">
      <c r="B12" s="16"/>
      <c r="C12" s="422" t="s">
        <v>1077</v>
      </c>
      <c r="D12" s="423"/>
      <c r="E12" s="252"/>
      <c r="AA12" s="11" t="str">
        <f ca="1"/>
        <v>Zeolite ZSM-5 (Bulk)</v>
      </c>
    </row>
    <row r="13" spans="1:27">
      <c r="B13" s="16"/>
      <c r="C13" s="17"/>
      <c r="D13" s="242"/>
      <c r="E13" s="252"/>
      <c r="AA13" s="11" t="str">
        <f ca="1"/>
        <v>Zeolite ZSM-5 Diluted with Metal Oxide</v>
      </c>
    </row>
    <row r="14" spans="1:27">
      <c r="B14" s="16"/>
      <c r="C14" s="17" t="s">
        <v>1056</v>
      </c>
      <c r="D14" s="242"/>
      <c r="E14" s="252"/>
      <c r="AA14" s="11" t="str">
        <f ca="1"/>
        <v/>
      </c>
    </row>
    <row r="15" spans="1:27">
      <c r="B15" s="16"/>
      <c r="C15" s="20" t="s">
        <v>945</v>
      </c>
      <c r="D15" s="331">
        <f ca="1">IF($C$12="","&lt; Select Template &gt;",OFFSET(INDEX(C:C,MATCH("Name: "&amp;$C$12,C:C,0)),-1,2))</f>
        <v>7000.0390261475204</v>
      </c>
      <c r="E15" s="326" t="s">
        <v>1057</v>
      </c>
      <c r="AA15" s="11" t="str">
        <f ca="1"/>
        <v/>
      </c>
    </row>
    <row r="16" spans="1:27">
      <c r="B16" s="16"/>
      <c r="C16" s="20" t="s">
        <v>946</v>
      </c>
      <c r="D16" s="331">
        <f ca="1">IF($C$12="","&lt; Select Template &gt;",OFFSET(INDEX(C:C,MATCH("Name: "&amp;$C$12,C:C,0)),-1,3))</f>
        <v>280001.56104590086</v>
      </c>
      <c r="E16" s="326" t="s">
        <v>1058</v>
      </c>
      <c r="AA16" s="11" t="str">
        <f ca="1"/>
        <v/>
      </c>
    </row>
    <row r="17" spans="2:27">
      <c r="B17" s="16"/>
      <c r="C17" s="120" t="str">
        <f>"Cost ($/"&amp;OutMassUnit&amp;" catalyst)"</f>
        <v>Cost ($/kg catalyst)</v>
      </c>
      <c r="D17" s="332">
        <f ca="1">IF($C$12="","&lt; Select Template &gt;",OFFSET(INDEX(C:C,MATCH("Name: "&amp;$C$12,C:C,0)),-1,4))</f>
        <v>3.0864888781738191</v>
      </c>
      <c r="E17" s="326" t="str">
        <f>"/"&amp;OutMassUnit&amp;" catalyst"</f>
        <v>/kg catalyst</v>
      </c>
      <c r="AA17" s="11" t="str">
        <f ca="1"/>
        <v/>
      </c>
    </row>
    <row r="18" spans="2:27" ht="16.5" thickBot="1">
      <c r="B18" s="21"/>
      <c r="C18" s="199"/>
      <c r="D18" s="246"/>
      <c r="E18" s="23"/>
      <c r="AA18" s="11" t="str">
        <f ca="1"/>
        <v/>
      </c>
    </row>
    <row r="19" spans="2:27">
      <c r="AA19" s="11" t="str">
        <f ca="1"/>
        <v/>
      </c>
    </row>
    <row r="20" spans="2:27" ht="21" thickBot="1">
      <c r="B20" s="359" t="s">
        <v>1044</v>
      </c>
      <c r="C20" s="359"/>
      <c r="D20" s="359"/>
      <c r="E20" s="359"/>
      <c r="F20" s="359"/>
      <c r="G20" s="359"/>
      <c r="H20" s="359"/>
      <c r="AA20" s="11" t="str">
        <f ca="1"/>
        <v/>
      </c>
    </row>
    <row r="21" spans="2:27">
      <c r="B21" s="301" t="s">
        <v>1012</v>
      </c>
      <c r="AA21" s="11" t="str">
        <f ca="1"/>
        <v/>
      </c>
    </row>
    <row r="22" spans="2:27" ht="16.5" thickBot="1">
      <c r="AA22" s="11" t="str">
        <f ca="1"/>
        <v/>
      </c>
    </row>
    <row r="23" spans="2:27" ht="21" thickBot="1">
      <c r="B23" s="341" t="str">
        <f>"User Entry: "&amp;C26</f>
        <v>User Entry: Custom Step Process</v>
      </c>
      <c r="C23" s="342"/>
      <c r="D23" s="342"/>
      <c r="E23" s="342"/>
      <c r="F23" s="342"/>
      <c r="G23" s="342"/>
      <c r="H23" s="343"/>
      <c r="AA23" s="11" t="str">
        <f ca="1"/>
        <v/>
      </c>
    </row>
    <row r="24" spans="2:27" hidden="1" outlineLevel="1">
      <c r="B24" s="13"/>
      <c r="C24" s="14"/>
      <c r="D24" s="14"/>
      <c r="E24" s="14"/>
      <c r="F24" s="14"/>
      <c r="G24" s="14"/>
      <c r="H24" s="15"/>
      <c r="J24" s="198"/>
      <c r="AA24" s="11" t="str">
        <f ca="1"/>
        <v/>
      </c>
    </row>
    <row r="25" spans="2:27" hidden="1" outlineLevel="1">
      <c r="B25" s="16"/>
      <c r="C25" s="17" t="s">
        <v>1045</v>
      </c>
      <c r="D25" s="253" t="s">
        <v>953</v>
      </c>
      <c r="E25" s="64" t="s">
        <v>945</v>
      </c>
      <c r="F25" s="64" t="s">
        <v>946</v>
      </c>
      <c r="G25" s="64" t="str">
        <f>"Cost ($/"&amp;OutMassUnit&amp;" catalyst)"</f>
        <v>Cost ($/kg catalyst)</v>
      </c>
      <c r="H25" s="247"/>
      <c r="J25" s="198"/>
      <c r="AA25" s="11" t="str">
        <f ca="1"/>
        <v/>
      </c>
    </row>
    <row r="26" spans="2:27" hidden="1" outlineLevel="1">
      <c r="B26" s="16"/>
      <c r="C26" s="298" t="s">
        <v>1054</v>
      </c>
      <c r="D26" s="18"/>
      <c r="E26" s="330">
        <f>IF(COUNTIF(E30:E49,"*")-COUNTBLANK(E30:E49)&gt;0,"Check entries",SUM(E30:E49))</f>
        <v>0</v>
      </c>
      <c r="F26" s="330">
        <f>IF(COUNTIF(F30:F49,"*")-COUNTBLANK(F30:F49)&gt;0,"Check entries",SUM(F30:F49))</f>
        <v>0</v>
      </c>
      <c r="G26" s="329">
        <f>IF(COUNTIF(G30:G49,"*")-COUNTBLANK(G30:G49)&gt;0,"Check entries",SUM(G30:G49))</f>
        <v>0</v>
      </c>
      <c r="H26" s="322"/>
      <c r="J26" s="198"/>
      <c r="AA26" s="11" t="str">
        <f ca="1"/>
        <v/>
      </c>
    </row>
    <row r="27" spans="2:27" ht="16.5" hidden="1" outlineLevel="1" thickBot="1">
      <c r="B27" s="21"/>
      <c r="C27" s="340" t="str">
        <f>"Name: "&amp;C26</f>
        <v>Name: Custom Step Process</v>
      </c>
      <c r="D27" s="22"/>
      <c r="E27" s="22"/>
      <c r="F27" s="22"/>
      <c r="G27" s="22"/>
      <c r="H27" s="23"/>
      <c r="J27" s="198"/>
      <c r="AA27" s="11" t="str">
        <f ca="1"/>
        <v/>
      </c>
    </row>
    <row r="28" spans="2:27" hidden="1" outlineLevel="1">
      <c r="B28" s="16"/>
      <c r="C28" s="18"/>
      <c r="D28" s="18"/>
      <c r="E28" s="18"/>
      <c r="F28" s="18"/>
      <c r="G28" s="18"/>
      <c r="H28" s="18"/>
      <c r="I28" s="14"/>
      <c r="J28" s="15"/>
      <c r="AA28" s="11" t="str">
        <f ca="1"/>
        <v/>
      </c>
    </row>
    <row r="29" spans="2:27" hidden="1" outlineLevel="1">
      <c r="B29" s="16"/>
      <c r="C29" s="325" t="s">
        <v>930</v>
      </c>
      <c r="D29" s="325" t="s">
        <v>307</v>
      </c>
      <c r="E29" s="325" t="s">
        <v>945</v>
      </c>
      <c r="F29" s="325" t="s">
        <v>946</v>
      </c>
      <c r="G29" s="325" t="str">
        <f>"Cost ($/"&amp;OutMassUnit&amp;" catalyst)"</f>
        <v>Cost ($/kg catalyst)</v>
      </c>
      <c r="H29" s="325"/>
      <c r="I29" s="325" t="s">
        <v>205</v>
      </c>
      <c r="J29" s="247"/>
      <c r="AA29" s="11" t="str">
        <f ca="1"/>
        <v/>
      </c>
    </row>
    <row r="30" spans="2:27" hidden="1" outlineLevel="1">
      <c r="B30" s="16"/>
      <c r="C30" s="323"/>
      <c r="D30" s="324"/>
      <c r="E30" s="328" t="str">
        <f>IF(ISBLANK(C30),"",IFERROR(IF(fnStepCostHourly=0,fnStepNotAvail,IF(ISBLANK(D30),"",fnStepCostHourly*$D30*VLOOKUP(BasisYear,ChemPPI[],14,FALSE)/VLOOKUP(2017,ChemPPI[],14,FALSE))),""))</f>
        <v/>
      </c>
      <c r="F30" s="328" t="str">
        <f t="shared" ref="F30:F49" si="0">IFERROR($E30*$D$9*24,$E30)</f>
        <v/>
      </c>
      <c r="G30" s="327" t="str">
        <f t="shared" ref="G30:G49" si="1">IFERROR($F30/$D$7,$F30)</f>
        <v/>
      </c>
      <c r="H30" s="245"/>
      <c r="I30" s="244" t="str">
        <f>IFERROR(VLOOKUP($C30,Steps[],5,FALSE),"")</f>
        <v/>
      </c>
      <c r="J30" s="248"/>
    </row>
    <row r="31" spans="2:27" hidden="1" outlineLevel="1">
      <c r="B31" s="16"/>
      <c r="C31" s="69"/>
      <c r="D31" s="243"/>
      <c r="E31" s="328" t="str">
        <f>IF(ISBLANK(C31),"",IFERROR(IF(fnStepCostHourly=0,fnStepNotAvail,IF(ISBLANK(D31),"",fnStepCostHourly*$D31*VLOOKUP(BasisYear,ChemPPI[],14,FALSE)/VLOOKUP(2017,ChemPPI[],14,FALSE))),""))</f>
        <v/>
      </c>
      <c r="F31" s="328" t="str">
        <f t="shared" si="0"/>
        <v/>
      </c>
      <c r="G31" s="327" t="str">
        <f t="shared" si="1"/>
        <v/>
      </c>
      <c r="H31" s="245"/>
      <c r="I31" s="244" t="str">
        <f>IFERROR(VLOOKUP($C31,Steps[],5,FALSE),"")</f>
        <v/>
      </c>
      <c r="J31" s="248"/>
    </row>
    <row r="32" spans="2:27" hidden="1" outlineLevel="1">
      <c r="B32" s="16"/>
      <c r="C32" s="69"/>
      <c r="D32" s="243"/>
      <c r="E32" s="328" t="str">
        <f>IF(ISBLANK(C32),"",IFERROR(IF(fnStepCostHourly=0,fnStepNotAvail,IF(ISBLANK(D32),"",fnStepCostHourly*$D32*VLOOKUP(BasisYear,ChemPPI[],14,FALSE)/VLOOKUP(2017,ChemPPI[],14,FALSE))),""))</f>
        <v/>
      </c>
      <c r="F32" s="328" t="str">
        <f t="shared" si="0"/>
        <v/>
      </c>
      <c r="G32" s="327" t="str">
        <f t="shared" si="1"/>
        <v/>
      </c>
      <c r="H32" s="245"/>
      <c r="I32" s="244" t="str">
        <f>IFERROR(VLOOKUP($C32,Steps[],5,FALSE),"")</f>
        <v/>
      </c>
      <c r="J32" s="248"/>
    </row>
    <row r="33" spans="2:10" hidden="1" outlineLevel="1">
      <c r="B33" s="16"/>
      <c r="C33" s="69"/>
      <c r="D33" s="243"/>
      <c r="E33" s="328" t="str">
        <f>IF(ISBLANK(C33),"",IFERROR(IF(fnStepCostHourly=0,fnStepNotAvail,IF(ISBLANK(D33),"",fnStepCostHourly*$D33*VLOOKUP(BasisYear,ChemPPI[],14,FALSE)/VLOOKUP(2017,ChemPPI[],14,FALSE))),""))</f>
        <v/>
      </c>
      <c r="F33" s="328" t="str">
        <f t="shared" si="0"/>
        <v/>
      </c>
      <c r="G33" s="327" t="str">
        <f t="shared" si="1"/>
        <v/>
      </c>
      <c r="H33" s="245"/>
      <c r="I33" s="244" t="str">
        <f>IFERROR(VLOOKUP($C33,Steps[],5,FALSE),"")</f>
        <v/>
      </c>
      <c r="J33" s="248"/>
    </row>
    <row r="34" spans="2:10" hidden="1" outlineLevel="1">
      <c r="B34" s="16"/>
      <c r="C34" s="69"/>
      <c r="D34" s="243"/>
      <c r="E34" s="328" t="str">
        <f>IF(ISBLANK(C34),"",IFERROR(IF(fnStepCostHourly=0,fnStepNotAvail,IF(ISBLANK(D34),"",fnStepCostHourly*$D34*VLOOKUP(BasisYear,ChemPPI[],14,FALSE)/VLOOKUP(2017,ChemPPI[],14,FALSE))),""))</f>
        <v/>
      </c>
      <c r="F34" s="328" t="str">
        <f t="shared" si="0"/>
        <v/>
      </c>
      <c r="G34" s="327" t="str">
        <f t="shared" si="1"/>
        <v/>
      </c>
      <c r="H34" s="245"/>
      <c r="I34" s="244" t="str">
        <f>IFERROR(VLOOKUP($C34,Steps[],5,FALSE),"")</f>
        <v/>
      </c>
      <c r="J34" s="248"/>
    </row>
    <row r="35" spans="2:10" hidden="1" outlineLevel="1">
      <c r="B35" s="16"/>
      <c r="C35" s="69"/>
      <c r="D35" s="243"/>
      <c r="E35" s="328" t="str">
        <f>IF(ISBLANK(C35),"",IFERROR(IF(fnStepCostHourly=0,fnStepNotAvail,IF(ISBLANK(D35),"",fnStepCostHourly*$D35*VLOOKUP(BasisYear,ChemPPI[],14,FALSE)/VLOOKUP(2017,ChemPPI[],14,FALSE))),""))</f>
        <v/>
      </c>
      <c r="F35" s="328" t="str">
        <f t="shared" si="0"/>
        <v/>
      </c>
      <c r="G35" s="327" t="str">
        <f t="shared" si="1"/>
        <v/>
      </c>
      <c r="H35" s="245"/>
      <c r="I35" s="244" t="str">
        <f>IFERROR(VLOOKUP($C35,Steps[],5,FALSE),"")</f>
        <v/>
      </c>
      <c r="J35" s="248"/>
    </row>
    <row r="36" spans="2:10" hidden="1" outlineLevel="1">
      <c r="B36" s="16"/>
      <c r="C36" s="69"/>
      <c r="D36" s="243"/>
      <c r="E36" s="328" t="str">
        <f>IF(ISBLANK(C36),"",IFERROR(IF(fnStepCostHourly=0,fnStepNotAvail,IF(ISBLANK(D36),"",fnStepCostHourly*$D36*VLOOKUP(BasisYear,ChemPPI[],14,FALSE)/VLOOKUP(2017,ChemPPI[],14,FALSE))),""))</f>
        <v/>
      </c>
      <c r="F36" s="328" t="str">
        <f t="shared" si="0"/>
        <v/>
      </c>
      <c r="G36" s="327" t="str">
        <f t="shared" si="1"/>
        <v/>
      </c>
      <c r="H36" s="245"/>
      <c r="I36" s="244" t="str">
        <f>IFERROR(VLOOKUP($C36,Steps[],5,FALSE),"")</f>
        <v/>
      </c>
      <c r="J36" s="248"/>
    </row>
    <row r="37" spans="2:10" hidden="1" outlineLevel="1">
      <c r="B37" s="16"/>
      <c r="C37" s="69"/>
      <c r="D37" s="243"/>
      <c r="E37" s="328" t="str">
        <f>IF(ISBLANK(C37),"",IFERROR(IF(fnStepCostHourly=0,fnStepNotAvail,IF(ISBLANK(D37),"",fnStepCostHourly*$D37*VLOOKUP(BasisYear,ChemPPI[],14,FALSE)/VLOOKUP(2017,ChemPPI[],14,FALSE))),""))</f>
        <v/>
      </c>
      <c r="F37" s="328" t="str">
        <f t="shared" si="0"/>
        <v/>
      </c>
      <c r="G37" s="327" t="str">
        <f t="shared" si="1"/>
        <v/>
      </c>
      <c r="H37" s="245"/>
      <c r="I37" s="244" t="str">
        <f>IFERROR(VLOOKUP($C37,Steps[],5,FALSE),"")</f>
        <v/>
      </c>
      <c r="J37" s="248"/>
    </row>
    <row r="38" spans="2:10" hidden="1" outlineLevel="1">
      <c r="B38" s="16"/>
      <c r="C38" s="69"/>
      <c r="D38" s="243"/>
      <c r="E38" s="328" t="str">
        <f>IF(ISBLANK(C38),"",IFERROR(IF(fnStepCostHourly=0,fnStepNotAvail,IF(ISBLANK(D38),"",fnStepCostHourly*$D38*VLOOKUP(BasisYear,ChemPPI[],14,FALSE)/VLOOKUP(2017,ChemPPI[],14,FALSE))),""))</f>
        <v/>
      </c>
      <c r="F38" s="328" t="str">
        <f t="shared" si="0"/>
        <v/>
      </c>
      <c r="G38" s="327" t="str">
        <f t="shared" si="1"/>
        <v/>
      </c>
      <c r="H38" s="245"/>
      <c r="I38" s="244" t="str">
        <f>IFERROR(VLOOKUP($C38,Steps[],5,FALSE),"")</f>
        <v/>
      </c>
      <c r="J38" s="248"/>
    </row>
    <row r="39" spans="2:10" hidden="1" outlineLevel="1">
      <c r="B39" s="16"/>
      <c r="C39" s="69"/>
      <c r="D39" s="243"/>
      <c r="E39" s="328" t="str">
        <f>IF(ISBLANK(C39),"",IFERROR(IF(fnStepCostHourly=0,fnStepNotAvail,IF(ISBLANK(D39),"",fnStepCostHourly*$D39*VLOOKUP(BasisYear,ChemPPI[],14,FALSE)/VLOOKUP(2017,ChemPPI[],14,FALSE))),""))</f>
        <v/>
      </c>
      <c r="F39" s="328" t="str">
        <f t="shared" si="0"/>
        <v/>
      </c>
      <c r="G39" s="327" t="str">
        <f t="shared" si="1"/>
        <v/>
      </c>
      <c r="H39" s="245"/>
      <c r="I39" s="244" t="str">
        <f>IFERROR(VLOOKUP($C39,Steps[],5,FALSE),"")</f>
        <v/>
      </c>
      <c r="J39" s="248"/>
    </row>
    <row r="40" spans="2:10" hidden="1" outlineLevel="1">
      <c r="B40" s="16"/>
      <c r="C40" s="69"/>
      <c r="D40" s="243"/>
      <c r="E40" s="328" t="str">
        <f>IF(ISBLANK(C40),"",IFERROR(IF(fnStepCostHourly=0,fnStepNotAvail,IF(ISBLANK(D40),"",fnStepCostHourly*$D40*VLOOKUP(BasisYear,ChemPPI[],14,FALSE)/VLOOKUP(2017,ChemPPI[],14,FALSE))),""))</f>
        <v/>
      </c>
      <c r="F40" s="328" t="str">
        <f t="shared" si="0"/>
        <v/>
      </c>
      <c r="G40" s="327" t="str">
        <f t="shared" si="1"/>
        <v/>
      </c>
      <c r="H40" s="245"/>
      <c r="I40" s="244" t="str">
        <f>IFERROR(VLOOKUP($C40,Steps[],5,FALSE),"")</f>
        <v/>
      </c>
      <c r="J40" s="248"/>
    </row>
    <row r="41" spans="2:10" hidden="1" outlineLevel="1">
      <c r="B41" s="16"/>
      <c r="C41" s="69"/>
      <c r="D41" s="243"/>
      <c r="E41" s="328" t="str">
        <f>IF(ISBLANK(C41),"",IFERROR(IF(fnStepCostHourly=0,fnStepNotAvail,IF(ISBLANK(D41),"",fnStepCostHourly*$D41*VLOOKUP(BasisYear,ChemPPI[],14,FALSE)/VLOOKUP(2017,ChemPPI[],14,FALSE))),""))</f>
        <v/>
      </c>
      <c r="F41" s="328" t="str">
        <f t="shared" si="0"/>
        <v/>
      </c>
      <c r="G41" s="327" t="str">
        <f t="shared" si="1"/>
        <v/>
      </c>
      <c r="H41" s="245"/>
      <c r="I41" s="244" t="str">
        <f>IFERROR(VLOOKUP($C41,Steps[],5,FALSE),"")</f>
        <v/>
      </c>
      <c r="J41" s="248"/>
    </row>
    <row r="42" spans="2:10" hidden="1" outlineLevel="1">
      <c r="B42" s="16"/>
      <c r="C42" s="69"/>
      <c r="D42" s="243"/>
      <c r="E42" s="328" t="str">
        <f>IF(ISBLANK(C42),"",IFERROR(IF(fnStepCostHourly=0,fnStepNotAvail,IF(ISBLANK(D42),"",fnStepCostHourly*$D42*VLOOKUP(BasisYear,ChemPPI[],14,FALSE)/VLOOKUP(2017,ChemPPI[],14,FALSE))),""))</f>
        <v/>
      </c>
      <c r="F42" s="328" t="str">
        <f t="shared" si="0"/>
        <v/>
      </c>
      <c r="G42" s="327" t="str">
        <f t="shared" si="1"/>
        <v/>
      </c>
      <c r="H42" s="245"/>
      <c r="I42" s="244" t="str">
        <f>IFERROR(VLOOKUP($C42,Steps[],5,FALSE),"")</f>
        <v/>
      </c>
      <c r="J42" s="248"/>
    </row>
    <row r="43" spans="2:10" hidden="1" outlineLevel="1">
      <c r="B43" s="16"/>
      <c r="C43" s="69"/>
      <c r="D43" s="243"/>
      <c r="E43" s="328" t="str">
        <f>IF(ISBLANK(C43),"",IFERROR(IF(fnStepCostHourly=0,fnStepNotAvail,IF(ISBLANK(D43),"",fnStepCostHourly*$D43*VLOOKUP(BasisYear,ChemPPI[],14,FALSE)/VLOOKUP(2017,ChemPPI[],14,FALSE))),""))</f>
        <v/>
      </c>
      <c r="F43" s="328" t="str">
        <f t="shared" si="0"/>
        <v/>
      </c>
      <c r="G43" s="327" t="str">
        <f t="shared" si="1"/>
        <v/>
      </c>
      <c r="H43" s="245"/>
      <c r="I43" s="244" t="str">
        <f>IFERROR(VLOOKUP($C43,Steps[],5,FALSE),"")</f>
        <v/>
      </c>
      <c r="J43" s="248"/>
    </row>
    <row r="44" spans="2:10" hidden="1" outlineLevel="1">
      <c r="B44" s="16"/>
      <c r="C44" s="69"/>
      <c r="D44" s="243"/>
      <c r="E44" s="328" t="str">
        <f>IF(ISBLANK(C44),"",IFERROR(IF(fnStepCostHourly=0,fnStepNotAvail,IF(ISBLANK(D44),"",fnStepCostHourly*$D44*VLOOKUP(BasisYear,ChemPPI[],14,FALSE)/VLOOKUP(2017,ChemPPI[],14,FALSE))),""))</f>
        <v/>
      </c>
      <c r="F44" s="328" t="str">
        <f t="shared" si="0"/>
        <v/>
      </c>
      <c r="G44" s="327" t="str">
        <f t="shared" si="1"/>
        <v/>
      </c>
      <c r="H44" s="245"/>
      <c r="I44" s="244" t="str">
        <f>IFERROR(VLOOKUP($C44,Steps[],5,FALSE),"")</f>
        <v/>
      </c>
      <c r="J44" s="248"/>
    </row>
    <row r="45" spans="2:10" hidden="1" outlineLevel="1">
      <c r="B45" s="16"/>
      <c r="C45" s="69"/>
      <c r="D45" s="243"/>
      <c r="E45" s="328" t="str">
        <f>IF(ISBLANK(C45),"",IFERROR(IF(fnStepCostHourly=0,fnStepNotAvail,IF(ISBLANK(D45),"",fnStepCostHourly*$D45*VLOOKUP(BasisYear,ChemPPI[],14,FALSE)/VLOOKUP(2017,ChemPPI[],14,FALSE))),""))</f>
        <v/>
      </c>
      <c r="F45" s="328" t="str">
        <f t="shared" si="0"/>
        <v/>
      </c>
      <c r="G45" s="327" t="str">
        <f t="shared" si="1"/>
        <v/>
      </c>
      <c r="H45" s="245"/>
      <c r="I45" s="244" t="str">
        <f>IFERROR(VLOOKUP($C45,Steps[],5,FALSE),"")</f>
        <v/>
      </c>
      <c r="J45" s="248"/>
    </row>
    <row r="46" spans="2:10" hidden="1" outlineLevel="1">
      <c r="B46" s="16"/>
      <c r="C46" s="69"/>
      <c r="D46" s="243"/>
      <c r="E46" s="328" t="str">
        <f>IF(ISBLANK(C46),"",IFERROR(IF(fnStepCostHourly=0,fnStepNotAvail,IF(ISBLANK(D46),"",fnStepCostHourly*$D46*VLOOKUP(BasisYear,ChemPPI[],14,FALSE)/VLOOKUP(2017,ChemPPI[],14,FALSE))),""))</f>
        <v/>
      </c>
      <c r="F46" s="328" t="str">
        <f t="shared" si="0"/>
        <v/>
      </c>
      <c r="G46" s="327" t="str">
        <f t="shared" si="1"/>
        <v/>
      </c>
      <c r="H46" s="245"/>
      <c r="I46" s="244" t="str">
        <f>IFERROR(VLOOKUP($C46,Steps[],5,FALSE),"")</f>
        <v/>
      </c>
      <c r="J46" s="248"/>
    </row>
    <row r="47" spans="2:10" hidden="1" outlineLevel="1">
      <c r="B47" s="16"/>
      <c r="C47" s="69"/>
      <c r="D47" s="243"/>
      <c r="E47" s="328" t="str">
        <f>IF(ISBLANK(C47),"",IFERROR(IF(fnStepCostHourly=0,fnStepNotAvail,IF(ISBLANK(D47),"",fnStepCostHourly*$D47*VLOOKUP(BasisYear,ChemPPI[],14,FALSE)/VLOOKUP(2017,ChemPPI[],14,FALSE))),""))</f>
        <v/>
      </c>
      <c r="F47" s="328" t="str">
        <f t="shared" si="0"/>
        <v/>
      </c>
      <c r="G47" s="327" t="str">
        <f t="shared" si="1"/>
        <v/>
      </c>
      <c r="H47" s="245"/>
      <c r="I47" s="244" t="str">
        <f>IFERROR(VLOOKUP($C47,Steps[],5,FALSE),"")</f>
        <v/>
      </c>
      <c r="J47" s="248"/>
    </row>
    <row r="48" spans="2:10" hidden="1" outlineLevel="1">
      <c r="B48" s="16"/>
      <c r="C48" s="69"/>
      <c r="D48" s="243"/>
      <c r="E48" s="328" t="str">
        <f>IF(ISBLANK(C48),"",IFERROR(IF(fnStepCostHourly=0,fnStepNotAvail,IF(ISBLANK(D48),"",fnStepCostHourly*$D48*VLOOKUP(BasisYear,ChemPPI[],14,FALSE)/VLOOKUP(2017,ChemPPI[],14,FALSE))),""))</f>
        <v/>
      </c>
      <c r="F48" s="328" t="str">
        <f t="shared" si="0"/>
        <v/>
      </c>
      <c r="G48" s="327" t="str">
        <f t="shared" si="1"/>
        <v/>
      </c>
      <c r="H48" s="245"/>
      <c r="I48" s="244" t="str">
        <f>IFERROR(VLOOKUP($C48,Steps[],5,FALSE),"")</f>
        <v/>
      </c>
      <c r="J48" s="248"/>
    </row>
    <row r="49" spans="1:10" hidden="1" outlineLevel="1">
      <c r="B49" s="16"/>
      <c r="C49" s="69"/>
      <c r="D49" s="243"/>
      <c r="E49" s="328" t="str">
        <f>IF(ISBLANK(C49),"",IFERROR(IF(fnStepCostHourly=0,fnStepNotAvail,IF(ISBLANK(D49),"",fnStepCostHourly*$D49*VLOOKUP(BasisYear,ChemPPI[],14,FALSE)/VLOOKUP(2017,ChemPPI[],14,FALSE))),""))</f>
        <v/>
      </c>
      <c r="F49" s="328" t="str">
        <f t="shared" si="0"/>
        <v/>
      </c>
      <c r="G49" s="327" t="str">
        <f t="shared" si="1"/>
        <v/>
      </c>
      <c r="H49" s="245"/>
      <c r="I49" s="244" t="str">
        <f>IFERROR(VLOOKUP($C49,Steps[],5,FALSE),"")</f>
        <v/>
      </c>
      <c r="J49" s="248"/>
    </row>
    <row r="50" spans="1:10" ht="16.5" hidden="1" outlineLevel="1" thickBot="1">
      <c r="B50" s="249"/>
      <c r="C50" s="250"/>
      <c r="D50" s="250"/>
      <c r="E50" s="250"/>
      <c r="F50" s="250"/>
      <c r="G50" s="250"/>
      <c r="H50" s="250"/>
      <c r="I50" s="250"/>
      <c r="J50" s="251"/>
    </row>
    <row r="51" spans="1:10" ht="16.5" collapsed="1" thickBot="1">
      <c r="A51" s="300" t="str">
        <f>"&lt;– show/hide "&amp;B23</f>
        <v>&lt;– show/hide User Entry: Custom Step Process</v>
      </c>
    </row>
    <row r="52" spans="1:10" ht="21" thickBot="1">
      <c r="B52" s="341" t="str">
        <f>"Step Process Template: "&amp;C55</f>
        <v>Step Process Template: FCC Catalyst (USY w/ RE)</v>
      </c>
      <c r="C52" s="342"/>
      <c r="D52" s="342"/>
      <c r="E52" s="342"/>
      <c r="F52" s="342"/>
      <c r="G52" s="342"/>
      <c r="H52" s="343"/>
    </row>
    <row r="53" spans="1:10" hidden="1" outlineLevel="1">
      <c r="B53" s="13"/>
      <c r="C53" s="14"/>
      <c r="D53" s="14"/>
      <c r="E53" s="14"/>
      <c r="F53" s="14"/>
      <c r="G53" s="14"/>
      <c r="H53" s="15"/>
      <c r="J53" s="198"/>
    </row>
    <row r="54" spans="1:10" hidden="1" outlineLevel="1">
      <c r="B54" s="16"/>
      <c r="C54" s="17" t="s">
        <v>1045</v>
      </c>
      <c r="D54" s="253" t="s">
        <v>953</v>
      </c>
      <c r="E54" s="64" t="s">
        <v>945</v>
      </c>
      <c r="F54" s="64" t="s">
        <v>946</v>
      </c>
      <c r="G54" s="64" t="str">
        <f>"Cost ($/"&amp;OutMassUnit&amp;" catalyst)"</f>
        <v>Cost ($/kg catalyst)</v>
      </c>
      <c r="H54" s="247"/>
      <c r="J54" s="198"/>
    </row>
    <row r="55" spans="1:10" ht="15.95" hidden="1" customHeight="1" outlineLevel="1">
      <c r="B55" s="16"/>
      <c r="C55" s="18" t="s">
        <v>1077</v>
      </c>
      <c r="D55" s="253"/>
      <c r="E55" s="330">
        <f>SUM(E63:E84)</f>
        <v>7000.0390261475204</v>
      </c>
      <c r="F55" s="330">
        <f>SUM(F63:F84)</f>
        <v>280001.56104590086</v>
      </c>
      <c r="G55" s="329">
        <f>SUM(G63:G84)</f>
        <v>3.0864888781738191</v>
      </c>
      <c r="H55" s="322"/>
      <c r="J55" s="198"/>
    </row>
    <row r="56" spans="1:10" ht="15.95" hidden="1" customHeight="1" outlineLevel="1">
      <c r="B56" s="16"/>
      <c r="C56" s="339" t="str">
        <f>"Name: "&amp;C55</f>
        <v>Name: FCC Catalyst (USY w/ RE)</v>
      </c>
      <c r="D56" s="253"/>
      <c r="E56" s="333"/>
      <c r="F56" s="333"/>
      <c r="G56" s="334"/>
      <c r="H56" s="322"/>
      <c r="J56" s="198"/>
    </row>
    <row r="57" spans="1:10" ht="15.95" hidden="1" customHeight="1" outlineLevel="1">
      <c r="B57" s="16"/>
      <c r="C57" s="17" t="s">
        <v>1060</v>
      </c>
      <c r="D57" s="253"/>
      <c r="E57" s="333"/>
      <c r="F57" s="333"/>
      <c r="G57" s="334"/>
      <c r="H57" s="322"/>
      <c r="J57" s="198"/>
    </row>
    <row r="58" spans="1:10" ht="15.95" hidden="1" customHeight="1" outlineLevel="1">
      <c r="B58" s="16"/>
      <c r="C58" s="18" t="s">
        <v>1838</v>
      </c>
      <c r="D58" s="253"/>
      <c r="E58" s="333"/>
      <c r="F58" s="333"/>
      <c r="G58" s="334"/>
      <c r="H58" s="322"/>
      <c r="J58" s="198"/>
    </row>
    <row r="59" spans="1:10" ht="15.95" hidden="1" customHeight="1" outlineLevel="1">
      <c r="B59" s="16"/>
      <c r="C59" s="18" t="s">
        <v>1063</v>
      </c>
      <c r="D59" s="253"/>
      <c r="E59" s="333"/>
      <c r="F59" s="333"/>
      <c r="G59" s="334"/>
      <c r="H59" s="322"/>
      <c r="J59" s="198"/>
    </row>
    <row r="60" spans="1:10" ht="16.5" hidden="1" outlineLevel="1" thickBot="1">
      <c r="B60" s="21"/>
      <c r="C60" s="22"/>
      <c r="D60" s="22"/>
      <c r="E60" s="22"/>
      <c r="F60" s="22"/>
      <c r="G60" s="22"/>
      <c r="H60" s="23"/>
      <c r="J60" s="198"/>
    </row>
    <row r="61" spans="1:10" ht="15.95" hidden="1" customHeight="1" outlineLevel="1">
      <c r="B61" s="16"/>
      <c r="C61" s="18"/>
      <c r="D61" s="18"/>
      <c r="E61" s="18"/>
      <c r="F61" s="18"/>
      <c r="G61" s="18"/>
      <c r="H61" s="18"/>
      <c r="I61" s="14"/>
      <c r="J61" s="15"/>
    </row>
    <row r="62" spans="1:10" ht="17.100000000000001" hidden="1" customHeight="1" outlineLevel="1">
      <c r="B62" s="16"/>
      <c r="C62" s="325" t="s">
        <v>930</v>
      </c>
      <c r="D62" s="325" t="s">
        <v>307</v>
      </c>
      <c r="E62" s="325" t="s">
        <v>945</v>
      </c>
      <c r="F62" s="325" t="s">
        <v>946</v>
      </c>
      <c r="G62" s="325" t="str">
        <f>"Cost ($/"&amp;OutMassUnit&amp;" catalyst)"</f>
        <v>Cost ($/kg catalyst)</v>
      </c>
      <c r="H62" s="325"/>
      <c r="I62" s="325" t="s">
        <v>205</v>
      </c>
      <c r="J62" s="247"/>
    </row>
    <row r="63" spans="1:10" ht="15.95" hidden="1" customHeight="1" outlineLevel="1">
      <c r="B63" s="16"/>
      <c r="C63" s="69" t="s">
        <v>924</v>
      </c>
      <c r="D63" s="243">
        <v>1</v>
      </c>
      <c r="E63" s="328">
        <f>IF(ISBLANK(C63),"",IFERROR(IF(fnStepCostHourly=0,fnStepNotAvail,IF(ISBLANK(D63),"",fnStepCostHourly*$D63*VLOOKUP(BasisYear,ChemPPI[],14,FALSE)/VLOOKUP(2017,ChemPPI[],14,FALSE))),""))</f>
        <v>192.44093542673596</v>
      </c>
      <c r="F63" s="328">
        <f t="shared" ref="F63:F84" si="2">IFERROR($E63*$D$9*24,$E63)</f>
        <v>7697.637417069438</v>
      </c>
      <c r="G63" s="327">
        <f t="shared" ref="G63:G84" si="3">IFERROR($F63/$D$7,$F63)</f>
        <v>8.485192792230431E-2</v>
      </c>
      <c r="H63" s="245"/>
      <c r="I63" s="244" t="str">
        <f>IFERROR(VLOOKUP($C63,Steps[],5,FALSE),"")</f>
        <v>-</v>
      </c>
      <c r="J63" s="248"/>
    </row>
    <row r="64" spans="1:10" ht="15.95" hidden="1" customHeight="1" outlineLevel="1">
      <c r="B64" s="16"/>
      <c r="C64" s="69" t="s">
        <v>917</v>
      </c>
      <c r="D64" s="243">
        <v>2</v>
      </c>
      <c r="E64" s="328">
        <f>IF(ISBLANK(C64),"",IFERROR(IF(fnStepCostHourly=0,fnStepNotAvail,IF(ISBLANK(D64),"",fnStepCostHourly*$D64*VLOOKUP(BasisYear,ChemPPI[],14,FALSE)/VLOOKUP(2017,ChemPPI[],14,FALSE))),""))</f>
        <v>577.32280628020783</v>
      </c>
      <c r="F64" s="328">
        <f t="shared" si="2"/>
        <v>23092.912251208312</v>
      </c>
      <c r="G64" s="327">
        <f t="shared" si="3"/>
        <v>0.2545557837669129</v>
      </c>
      <c r="H64" s="245"/>
      <c r="I64" s="244" t="str">
        <f>IFERROR(VLOOKUP($C64,Steps[],5,FALSE),"")</f>
        <v>-</v>
      </c>
      <c r="J64" s="248"/>
    </row>
    <row r="65" spans="2:10" ht="15.95" hidden="1" customHeight="1" outlineLevel="1">
      <c r="B65" s="16"/>
      <c r="C65" s="335" t="s">
        <v>919</v>
      </c>
      <c r="D65" s="336">
        <f>4*IF($D$6&lt;5,0,IF($D$6&lt;70,1,1))</f>
        <v>4</v>
      </c>
      <c r="E65" s="328">
        <f>IF(ISBLANK(C65),"",IFERROR(IF(fnStepCostHourly=0,fnStepNotAvail,IF(ISBLANK(D65),"",fnStepCostHourly*$D65*VLOOKUP(BasisYear,ChemPPI[],14,FALSE)/VLOOKUP(2017,ChemPPI[],14,FALSE))),""))</f>
        <v>1154.6456125604157</v>
      </c>
      <c r="F65" s="328">
        <f t="shared" si="2"/>
        <v>46185.824502416624</v>
      </c>
      <c r="G65" s="327">
        <f t="shared" si="3"/>
        <v>0.5091115675338258</v>
      </c>
      <c r="H65" s="245"/>
      <c r="I65" s="244" t="str">
        <f>IFERROR(VLOOKUP($C65,Steps[],5,FALSE),"")</f>
        <v>Substitute with plate and frame at small scale</v>
      </c>
      <c r="J65" s="248"/>
    </row>
    <row r="66" spans="2:10" ht="15.95" hidden="1" customHeight="1" outlineLevel="1">
      <c r="B66" s="16"/>
      <c r="C66" s="335" t="s">
        <v>921</v>
      </c>
      <c r="D66" s="336">
        <f>4*IF($D$6&lt;5,1,IF($D$6&lt;70,0,0))</f>
        <v>0</v>
      </c>
      <c r="E66" s="328" t="str">
        <f>IF(ISBLANK(C66),"",IFERROR(IF(fnStepCostHourly=0,fnStepNotAvail,IF(ISBLANK(D66),"",fnStepCostHourly*$D66*VLOOKUP(BasisYear,ChemPPI[],14,FALSE)/VLOOKUP(2017,ChemPPI[],14,FALSE))),""))</f>
        <v>N/A at large scale</v>
      </c>
      <c r="F66" s="328" t="str">
        <f t="shared" si="2"/>
        <v>N/A at large scale</v>
      </c>
      <c r="G66" s="327" t="str">
        <f t="shared" si="3"/>
        <v>N/A at large scale</v>
      </c>
      <c r="H66" s="245"/>
      <c r="I66" s="244" t="str">
        <f>IFERROR(VLOOKUP($C66,Steps[],5,FALSE),"")</f>
        <v>Substitute with belt or rotary vacuum at M/L scale</v>
      </c>
      <c r="J66" s="248"/>
    </row>
    <row r="67" spans="2:10" ht="15.95" hidden="1" customHeight="1" outlineLevel="1">
      <c r="B67" s="16"/>
      <c r="C67" s="69" t="s">
        <v>924</v>
      </c>
      <c r="D67" s="243">
        <v>4</v>
      </c>
      <c r="E67" s="328">
        <f>IF(ISBLANK(C67),"",IFERROR(IF(fnStepCostHourly=0,fnStepNotAvail,IF(ISBLANK(D67),"",fnStepCostHourly*$D67*VLOOKUP(BasisYear,ChemPPI[],14,FALSE)/VLOOKUP(2017,ChemPPI[],14,FALSE))),""))</f>
        <v>769.76374170694385</v>
      </c>
      <c r="F67" s="328">
        <f t="shared" si="2"/>
        <v>30790.549668277752</v>
      </c>
      <c r="G67" s="327">
        <f t="shared" si="3"/>
        <v>0.33940771168921724</v>
      </c>
      <c r="H67" s="245"/>
      <c r="I67" s="244" t="str">
        <f>IFERROR(VLOOKUP($C67,Steps[],5,FALSE),"")</f>
        <v>-</v>
      </c>
      <c r="J67" s="248"/>
    </row>
    <row r="68" spans="2:10" ht="15.95" hidden="1" customHeight="1" outlineLevel="1">
      <c r="B68" s="16"/>
      <c r="C68" s="335" t="s">
        <v>938</v>
      </c>
      <c r="D68" s="336">
        <f>1*IF($D$6&lt;5,0,IF($D$6&lt;70,1,1))</f>
        <v>1</v>
      </c>
      <c r="E68" s="328">
        <f>IF(ISBLANK(C68),"",IFERROR(IF(fnStepCostHourly=0,fnStepNotAvail,IF(ISBLANK(D68),"",fnStepCostHourly*$D68*VLOOKUP(BasisYear,ChemPPI[],14,FALSE)/VLOOKUP(2017,ChemPPI[],14,FALSE))),""))</f>
        <v>312.71652006844596</v>
      </c>
      <c r="F68" s="328">
        <f t="shared" si="2"/>
        <v>12508.660802737839</v>
      </c>
      <c r="G68" s="327">
        <f t="shared" si="3"/>
        <v>0.13788438287374452</v>
      </c>
      <c r="H68" s="245"/>
      <c r="I68" s="244" t="str">
        <f>IFERROR(VLOOKUP($C68,Steps[],5,FALSE),"")</f>
        <v>A.k.a. calciner. Sub with batch kiln at small scale</v>
      </c>
      <c r="J68" s="248"/>
    </row>
    <row r="69" spans="2:10" ht="15.95" hidden="1" customHeight="1" outlineLevel="1">
      <c r="B69" s="16"/>
      <c r="C69" s="335" t="s">
        <v>940</v>
      </c>
      <c r="D69" s="336">
        <f>1*IF($D$6&lt;5,1,IF($D$6&lt;70,0,0))</f>
        <v>0</v>
      </c>
      <c r="E69" s="328" t="str">
        <f>IF(ISBLANK(C69),"",IFERROR(IF(fnStepCostHourly=0,fnStepNotAvail,IF(ISBLANK(D69),"",fnStepCostHourly*$D69*VLOOKUP(BasisYear,ChemPPI[],14,FALSE)/VLOOKUP(2017,ChemPPI[],14,FALSE))),""))</f>
        <v>N/A at large scale</v>
      </c>
      <c r="F69" s="328" t="str">
        <f t="shared" si="2"/>
        <v>N/A at large scale</v>
      </c>
      <c r="G69" s="327" t="str">
        <f t="shared" si="3"/>
        <v>N/A at large scale</v>
      </c>
      <c r="H69" s="245"/>
      <c r="I69" s="244" t="str">
        <f>IFERROR(VLOOKUP($C69,Steps[],5,FALSE),"")</f>
        <v>A.k.a. calciner. Sub with continuous kiln at M/L scale</v>
      </c>
      <c r="J69" s="248"/>
    </row>
    <row r="70" spans="2:10" ht="15.95" hidden="1" customHeight="1" outlineLevel="1">
      <c r="B70" s="16"/>
      <c r="C70" s="69" t="s">
        <v>925</v>
      </c>
      <c r="D70" s="243">
        <v>1</v>
      </c>
      <c r="E70" s="328">
        <f>IF(ISBLANK(C70),"",IFERROR(IF(fnStepCostHourly=0,fnStepNotAvail,IF(ISBLANK(D70),"",fnStepCostHourly*$D70*VLOOKUP(BasisYear,ChemPPI[],14,FALSE)/VLOOKUP(2017,ChemPPI[],14,FALSE))),""))</f>
        <v>577.32280628020783</v>
      </c>
      <c r="F70" s="328">
        <f t="shared" si="2"/>
        <v>23092.912251208312</v>
      </c>
      <c r="G70" s="327">
        <f t="shared" si="3"/>
        <v>0.2545557837669129</v>
      </c>
      <c r="H70" s="245"/>
      <c r="I70" s="244" t="str">
        <f>IFERROR(VLOOKUP($C70,Steps[],5,FALSE),"")</f>
        <v>-</v>
      </c>
      <c r="J70" s="248"/>
    </row>
    <row r="71" spans="2:10" ht="15.95" hidden="1" customHeight="1" outlineLevel="1">
      <c r="B71" s="16"/>
      <c r="C71" s="335" t="s">
        <v>919</v>
      </c>
      <c r="D71" s="336">
        <f>1*IF($D$6&lt;5,0,IF($D$6&lt;70,1,1))</f>
        <v>1</v>
      </c>
      <c r="E71" s="328">
        <f>IF(ISBLANK(C71),"",IFERROR(IF(fnStepCostHourly=0,fnStepNotAvail,IF(ISBLANK(D71),"",fnStepCostHourly*$D71*VLOOKUP(BasisYear,ChemPPI[],14,FALSE)/VLOOKUP(2017,ChemPPI[],14,FALSE))),""))</f>
        <v>288.66140314010391</v>
      </c>
      <c r="F71" s="328">
        <f t="shared" si="2"/>
        <v>11546.456125604156</v>
      </c>
      <c r="G71" s="327">
        <f t="shared" si="3"/>
        <v>0.12727789188345645</v>
      </c>
      <c r="H71" s="245"/>
      <c r="I71" s="244" t="str">
        <f>IFERROR(VLOOKUP($C71,Steps[],5,FALSE),"")</f>
        <v>Substitute with plate and frame at small scale</v>
      </c>
      <c r="J71" s="248"/>
    </row>
    <row r="72" spans="2:10" ht="15.95" hidden="1" customHeight="1" outlineLevel="1">
      <c r="B72" s="16"/>
      <c r="C72" s="335" t="s">
        <v>921</v>
      </c>
      <c r="D72" s="336">
        <f>1*IF($D$6&lt;5,1,IF($D$6&lt;70,0,0))</f>
        <v>0</v>
      </c>
      <c r="E72" s="328" t="str">
        <f>IF(ISBLANK(C72),"",IFERROR(IF(fnStepCostHourly=0,fnStepNotAvail,IF(ISBLANK(D72),"",fnStepCostHourly*$D72*VLOOKUP(BasisYear,ChemPPI[],14,FALSE)/VLOOKUP(2017,ChemPPI[],14,FALSE))),""))</f>
        <v>N/A at large scale</v>
      </c>
      <c r="F72" s="328" t="str">
        <f t="shared" si="2"/>
        <v>N/A at large scale</v>
      </c>
      <c r="G72" s="327" t="str">
        <f t="shared" si="3"/>
        <v>N/A at large scale</v>
      </c>
      <c r="H72" s="245"/>
      <c r="I72" s="244" t="str">
        <f>IFERROR(VLOOKUP($C72,Steps[],5,FALSE),"")</f>
        <v>Substitute with belt or rotary vacuum at M/L scale</v>
      </c>
      <c r="J72" s="248"/>
    </row>
    <row r="73" spans="2:10" ht="15.95" hidden="1" customHeight="1" outlineLevel="1">
      <c r="B73" s="16"/>
      <c r="C73" s="69" t="s">
        <v>925</v>
      </c>
      <c r="D73" s="243">
        <v>1</v>
      </c>
      <c r="E73" s="328">
        <f>IF(ISBLANK(C73),"",IFERROR(IF(fnStepCostHourly=0,fnStepNotAvail,IF(ISBLANK(D73),"",fnStepCostHourly*$D73*VLOOKUP(BasisYear,ChemPPI[],14,FALSE)/VLOOKUP(2017,ChemPPI[],14,FALSE))),""))</f>
        <v>577.32280628020783</v>
      </c>
      <c r="F73" s="328">
        <f t="shared" si="2"/>
        <v>23092.912251208312</v>
      </c>
      <c r="G73" s="327">
        <f t="shared" si="3"/>
        <v>0.2545557837669129</v>
      </c>
      <c r="H73" s="245"/>
      <c r="I73" s="244" t="str">
        <f>IFERROR(VLOOKUP($C73,Steps[],5,FALSE),"")</f>
        <v>-</v>
      </c>
      <c r="J73" s="248"/>
    </row>
    <row r="74" spans="2:10" ht="15.95" hidden="1" customHeight="1" outlineLevel="1">
      <c r="B74" s="16"/>
      <c r="C74" s="69" t="s">
        <v>935</v>
      </c>
      <c r="D74" s="243">
        <v>2</v>
      </c>
      <c r="E74" s="328">
        <f>IF(ISBLANK(C74),"",IFERROR(IF(fnStepCostHourly=0,fnStepNotAvail,IF(ISBLANK(D74),"",fnStepCostHourly*$D74*VLOOKUP(BasisYear,ChemPPI[],14,FALSE)/VLOOKUP(2017,ChemPPI[],14,FALSE))),""))</f>
        <v>384.88187085347192</v>
      </c>
      <c r="F74" s="328">
        <f t="shared" si="2"/>
        <v>15395.274834138876</v>
      </c>
      <c r="G74" s="327">
        <f t="shared" si="3"/>
        <v>0.16970385584460862</v>
      </c>
      <c r="H74" s="245"/>
      <c r="I74" s="244" t="str">
        <f>IFERROR(VLOOKUP($C74,Steps[],5,FALSE),"")</f>
        <v>Muller</v>
      </c>
      <c r="J74" s="248"/>
    </row>
    <row r="75" spans="2:10" ht="15.95" hidden="1" customHeight="1" outlineLevel="1">
      <c r="B75" s="16"/>
      <c r="C75" s="335" t="s">
        <v>926</v>
      </c>
      <c r="D75" s="336">
        <f>1*IF($D$6&lt;5,0,IF($D$6&lt;70,1,1))</f>
        <v>1</v>
      </c>
      <c r="E75" s="328">
        <f>IF(ISBLANK(C75),"",IFERROR(IF(fnStepCostHourly=0,fnStepNotAvail,IF(ISBLANK(D75),"",fnStepCostHourly*$D75*VLOOKUP(BasisYear,ChemPPI[],14,FALSE)/VLOOKUP(2017,ChemPPI[],14,FALSE))),""))</f>
        <v>529.21257242352385</v>
      </c>
      <c r="F75" s="328">
        <f t="shared" si="2"/>
        <v>21168.502896940954</v>
      </c>
      <c r="G75" s="327">
        <f t="shared" si="3"/>
        <v>0.23334280178633685</v>
      </c>
      <c r="H75" s="245"/>
      <c r="I75" s="244" t="str">
        <f>IFERROR(VLOOKUP($C75,Steps[],5,FALSE),"")</f>
        <v>Substitute with rotary dryer at small scale</v>
      </c>
      <c r="J75" s="248"/>
    </row>
    <row r="76" spans="2:10" ht="15.95" hidden="1" customHeight="1" outlineLevel="1">
      <c r="B76" s="16"/>
      <c r="C76" s="335" t="s">
        <v>1066</v>
      </c>
      <c r="D76" s="336">
        <f>1*IF($D$6&lt;5,1,IF($D$6&lt;70,0,0))</f>
        <v>0</v>
      </c>
      <c r="E76" s="328">
        <f>IF(ISBLANK(C76),"",IFERROR(IF(fnStepCostHourly=0,fnStepNotAvail,IF(ISBLANK(D76),"",fnStepCostHourly*$D76*VLOOKUP(BasisYear,ChemPPI[],14,FALSE)/VLOOKUP(2017,ChemPPI[],14,FALSE))),""))</f>
        <v>0</v>
      </c>
      <c r="F76" s="328">
        <f t="shared" si="2"/>
        <v>0</v>
      </c>
      <c r="G76" s="327">
        <f t="shared" si="3"/>
        <v>0</v>
      </c>
      <c r="H76" s="245"/>
      <c r="I76" s="244" t="str">
        <f>IFERROR(VLOOKUP($C76,Steps[],5,FALSE),"")</f>
        <v>-</v>
      </c>
      <c r="J76" s="248"/>
    </row>
    <row r="77" spans="2:10" ht="15.95" hidden="1" customHeight="1" outlineLevel="1">
      <c r="B77" s="16"/>
      <c r="C77" s="69" t="s">
        <v>924</v>
      </c>
      <c r="D77" s="243">
        <v>4</v>
      </c>
      <c r="E77" s="328">
        <f>IF(ISBLANK(C77),"",IFERROR(IF(fnStepCostHourly=0,fnStepNotAvail,IF(ISBLANK(D77),"",fnStepCostHourly*$D77*VLOOKUP(BasisYear,ChemPPI[],14,FALSE)/VLOOKUP(2017,ChemPPI[],14,FALSE))),""))</f>
        <v>769.76374170694385</v>
      </c>
      <c r="F77" s="328">
        <f t="shared" si="2"/>
        <v>30790.549668277752</v>
      </c>
      <c r="G77" s="327">
        <f t="shared" si="3"/>
        <v>0.33940771168921724</v>
      </c>
      <c r="H77" s="245"/>
      <c r="I77" s="244" t="str">
        <f>IFERROR(VLOOKUP($C77,Steps[],5,FALSE),"")</f>
        <v>-</v>
      </c>
      <c r="J77" s="248"/>
    </row>
    <row r="78" spans="2:10" ht="15.95" hidden="1" customHeight="1" outlineLevel="1">
      <c r="B78" s="16"/>
      <c r="C78" s="335" t="s">
        <v>919</v>
      </c>
      <c r="D78" s="336">
        <f>2*IF($D$6&lt;5,0,IF($D$6&lt;70,1,1))</f>
        <v>2</v>
      </c>
      <c r="E78" s="328">
        <f>IF(ISBLANK(C78),"",IFERROR(IF(fnStepCostHourly=0,fnStepNotAvail,IF(ISBLANK(D78),"",fnStepCostHourly*$D78*VLOOKUP(BasisYear,ChemPPI[],14,FALSE)/VLOOKUP(2017,ChemPPI[],14,FALSE))),""))</f>
        <v>577.32280628020783</v>
      </c>
      <c r="F78" s="328">
        <f t="shared" si="2"/>
        <v>23092.912251208312</v>
      </c>
      <c r="G78" s="327">
        <f t="shared" si="3"/>
        <v>0.2545557837669129</v>
      </c>
      <c r="H78" s="245"/>
      <c r="I78" s="244" t="str">
        <f>IFERROR(VLOOKUP($C78,Steps[],5,FALSE),"")</f>
        <v>Substitute with plate and frame at small scale</v>
      </c>
      <c r="J78" s="248"/>
    </row>
    <row r="79" spans="2:10" ht="15.95" hidden="1" customHeight="1" outlineLevel="1">
      <c r="B79" s="16"/>
      <c r="C79" s="335" t="s">
        <v>921</v>
      </c>
      <c r="D79" s="336">
        <f>2*IF($D$6&lt;5,1,IF($D$6&lt;70,0,0))</f>
        <v>0</v>
      </c>
      <c r="E79" s="328" t="str">
        <f>IF(ISBLANK(C79),"",IFERROR(IF(fnStepCostHourly=0,fnStepNotAvail,IF(ISBLANK(D79),"",fnStepCostHourly*$D79*VLOOKUP(BasisYear,ChemPPI[],14,FALSE)/VLOOKUP(2017,ChemPPI[],14,FALSE))),""))</f>
        <v>N/A at large scale</v>
      </c>
      <c r="F79" s="328" t="str">
        <f t="shared" si="2"/>
        <v>N/A at large scale</v>
      </c>
      <c r="G79" s="327" t="str">
        <f t="shared" si="3"/>
        <v>N/A at large scale</v>
      </c>
      <c r="H79" s="245"/>
      <c r="I79" s="244" t="str">
        <f>IFERROR(VLOOKUP($C79,Steps[],5,FALSE),"")</f>
        <v>Substitute with belt or rotary vacuum at M/L scale</v>
      </c>
      <c r="J79" s="248"/>
    </row>
    <row r="80" spans="2:10" ht="15.95" hidden="1" customHeight="1" outlineLevel="1">
      <c r="B80" s="16"/>
      <c r="C80" s="69" t="s">
        <v>1065</v>
      </c>
      <c r="D80" s="243">
        <v>1</v>
      </c>
      <c r="E80" s="328">
        <f>IF(ISBLANK(C80),"",IFERROR(IF(fnStepCostHourly=0,fnStepNotAvail,IF(ISBLANK(D80),"",fnStepCostHourly*$D80*VLOOKUP(BasisYear,ChemPPI[],14,FALSE)/VLOOKUP(2017,ChemPPI[],14,FALSE))),""))</f>
        <v>288.66140314010391</v>
      </c>
      <c r="F80" s="328">
        <f t="shared" si="2"/>
        <v>11546.456125604156</v>
      </c>
      <c r="G80" s="327">
        <f t="shared" si="3"/>
        <v>0.12727789188345645</v>
      </c>
      <c r="H80" s="245"/>
      <c r="I80" s="244" t="str">
        <f>IFERROR(VLOOKUP($C80,Steps[],5,FALSE),"")</f>
        <v>For higher temp use kiln</v>
      </c>
      <c r="J80" s="248"/>
    </row>
    <row r="81" spans="1:10" ht="15.95" hidden="1" customHeight="1" outlineLevel="1">
      <c r="B81" s="16"/>
      <c r="C81" s="69"/>
      <c r="D81" s="243"/>
      <c r="E81" s="328" t="str">
        <f>IF(ISBLANK(C81),"",IFERROR(IF(fnStepCostHourly=0,fnStepNotAvail,IF(ISBLANK(D81),"",fnStepCostHourly*$D81*VLOOKUP(BasisYear,ChemPPI[],14,FALSE)/VLOOKUP(2017,ChemPPI[],14,FALSE))),""))</f>
        <v/>
      </c>
      <c r="F81" s="328" t="str">
        <f t="shared" si="2"/>
        <v/>
      </c>
      <c r="G81" s="327" t="str">
        <f t="shared" si="3"/>
        <v/>
      </c>
      <c r="H81" s="245"/>
      <c r="I81" s="244" t="str">
        <f>IFERROR(VLOOKUP($C81,Steps[],5,FALSE),"")</f>
        <v/>
      </c>
      <c r="J81" s="248"/>
    </row>
    <row r="82" spans="1:10" ht="15.95" hidden="1" customHeight="1" outlineLevel="1">
      <c r="B82" s="16"/>
      <c r="C82" s="69"/>
      <c r="D82" s="243"/>
      <c r="E82" s="328" t="str">
        <f>IF(ISBLANK(C82),"",IFERROR(IF(fnStepCostHourly=0,fnStepNotAvail,IF(ISBLANK(D82),"",fnStepCostHourly*$D82*VLOOKUP(BasisYear,ChemPPI[],14,FALSE)/VLOOKUP(2017,ChemPPI[],14,FALSE))),""))</f>
        <v/>
      </c>
      <c r="F82" s="328" t="str">
        <f t="shared" si="2"/>
        <v/>
      </c>
      <c r="G82" s="327" t="str">
        <f t="shared" si="3"/>
        <v/>
      </c>
      <c r="H82" s="245"/>
      <c r="I82" s="244" t="str">
        <f>IFERROR(VLOOKUP($C82,Steps[],5,FALSE),"")</f>
        <v/>
      </c>
      <c r="J82" s="248"/>
    </row>
    <row r="83" spans="1:10" ht="15.95" hidden="1" customHeight="1" outlineLevel="1">
      <c r="B83" s="16"/>
      <c r="C83" s="69"/>
      <c r="D83" s="243"/>
      <c r="E83" s="328" t="str">
        <f>IF(ISBLANK(C83),"",IFERROR(IF(fnStepCostHourly=0,fnStepNotAvail,IF(ISBLANK(D83),"",fnStepCostHourly*$D83*VLOOKUP(BasisYear,ChemPPI[],14,FALSE)/VLOOKUP(2017,ChemPPI[],14,FALSE))),""))</f>
        <v/>
      </c>
      <c r="F83" s="328" t="str">
        <f t="shared" si="2"/>
        <v/>
      </c>
      <c r="G83" s="327" t="str">
        <f t="shared" si="3"/>
        <v/>
      </c>
      <c r="H83" s="245"/>
      <c r="I83" s="244" t="str">
        <f>IFERROR(VLOOKUP($C83,Steps[],5,FALSE),"")</f>
        <v/>
      </c>
      <c r="J83" s="248"/>
    </row>
    <row r="84" spans="1:10" ht="15.95" hidden="1" customHeight="1" outlineLevel="1">
      <c r="B84" s="16"/>
      <c r="C84" s="69"/>
      <c r="D84" s="243"/>
      <c r="E84" s="328" t="str">
        <f>IF(ISBLANK(C84),"",IFERROR(IF(fnStepCostHourly=0,fnStepNotAvail,IF(ISBLANK(D84),"",fnStepCostHourly*$D84*VLOOKUP(BasisYear,ChemPPI[],14,FALSE)/VLOOKUP(2017,ChemPPI[],14,FALSE))),""))</f>
        <v/>
      </c>
      <c r="F84" s="328" t="str">
        <f t="shared" si="2"/>
        <v/>
      </c>
      <c r="G84" s="327" t="str">
        <f t="shared" si="3"/>
        <v/>
      </c>
      <c r="H84" s="245"/>
      <c r="I84" s="244" t="str">
        <f>IFERROR(VLOOKUP($C84,Steps[],5,FALSE),"")</f>
        <v/>
      </c>
      <c r="J84" s="248"/>
    </row>
    <row r="85" spans="1:10" ht="16.5" hidden="1" outlineLevel="1" thickBot="1">
      <c r="B85" s="249"/>
      <c r="C85" s="250"/>
      <c r="D85" s="250"/>
      <c r="E85" s="250"/>
      <c r="F85" s="250"/>
      <c r="G85" s="250"/>
      <c r="H85" s="250"/>
      <c r="I85" s="250"/>
      <c r="J85" s="251"/>
    </row>
    <row r="86" spans="1:10" ht="16.5" collapsed="1" thickBot="1">
      <c r="A86" s="300" t="str">
        <f>"&lt;– show/hide "&amp;B52</f>
        <v>&lt;– show/hide Step Process Template: FCC Catalyst (USY w/ RE)</v>
      </c>
    </row>
    <row r="87" spans="1:10" ht="21" thickBot="1">
      <c r="B87" s="341" t="str">
        <f>"Step Process Template: "&amp;C90</f>
        <v>Step Process Template: Magnesia/Alumina</v>
      </c>
      <c r="C87" s="342"/>
      <c r="D87" s="342"/>
      <c r="E87" s="342"/>
      <c r="F87" s="342"/>
      <c r="G87" s="342"/>
      <c r="H87" s="343"/>
    </row>
    <row r="88" spans="1:10" hidden="1" outlineLevel="1">
      <c r="B88" s="13"/>
      <c r="C88" s="14"/>
      <c r="D88" s="14"/>
      <c r="E88" s="14"/>
      <c r="F88" s="14"/>
      <c r="G88" s="14"/>
      <c r="H88" s="15"/>
      <c r="J88" s="198"/>
    </row>
    <row r="89" spans="1:10" hidden="1" outlineLevel="1">
      <c r="B89" s="16"/>
      <c r="C89" s="17" t="s">
        <v>1045</v>
      </c>
      <c r="D89" s="253" t="s">
        <v>953</v>
      </c>
      <c r="E89" s="64" t="s">
        <v>945</v>
      </c>
      <c r="F89" s="64" t="s">
        <v>946</v>
      </c>
      <c r="G89" s="64" t="str">
        <f>"Cost ($/"&amp;OutMassUnit&amp;" catalyst)"</f>
        <v>Cost ($/kg catalyst)</v>
      </c>
      <c r="H89" s="247"/>
      <c r="J89" s="198"/>
    </row>
    <row r="90" spans="1:10" ht="15.95" hidden="1" customHeight="1" outlineLevel="1">
      <c r="B90" s="16"/>
      <c r="C90" s="18" t="s">
        <v>1087</v>
      </c>
      <c r="D90" s="253"/>
      <c r="E90" s="330">
        <f>SUM(E98:E117)</f>
        <v>2814.4486806160135</v>
      </c>
      <c r="F90" s="330">
        <f>SUM(F98:F117)</f>
        <v>112577.94722464052</v>
      </c>
      <c r="G90" s="329">
        <f>SUM(G98:G117)</f>
        <v>1.2409594458637005</v>
      </c>
      <c r="H90" s="322"/>
      <c r="J90" s="198"/>
    </row>
    <row r="91" spans="1:10" ht="15.95" hidden="1" customHeight="1" outlineLevel="1">
      <c r="B91" s="16"/>
      <c r="C91" s="339" t="str">
        <f>"Name: "&amp;C90</f>
        <v>Name: Magnesia/Alumina</v>
      </c>
      <c r="D91" s="253"/>
      <c r="E91" s="333"/>
      <c r="F91" s="333"/>
      <c r="G91" s="334"/>
      <c r="H91" s="322"/>
      <c r="J91" s="198"/>
    </row>
    <row r="92" spans="1:10" ht="15.95" hidden="1" customHeight="1" outlineLevel="1">
      <c r="B92" s="16"/>
      <c r="C92" s="17" t="s">
        <v>1060</v>
      </c>
      <c r="D92" s="253"/>
      <c r="E92" s="333"/>
      <c r="F92" s="333"/>
      <c r="G92" s="334"/>
      <c r="H92" s="322"/>
      <c r="J92" s="198"/>
    </row>
    <row r="93" spans="1:10" ht="15.95" hidden="1" customHeight="1" outlineLevel="1">
      <c r="B93" s="16"/>
      <c r="C93" s="18" t="s">
        <v>1088</v>
      </c>
      <c r="D93" s="253"/>
      <c r="E93" s="333"/>
      <c r="F93" s="333"/>
      <c r="G93" s="334"/>
      <c r="H93" s="322"/>
      <c r="J93" s="198"/>
    </row>
    <row r="94" spans="1:10" hidden="1" outlineLevel="1">
      <c r="B94" s="16"/>
      <c r="C94" s="18" t="s">
        <v>1063</v>
      </c>
      <c r="D94" s="253"/>
      <c r="E94" s="333"/>
      <c r="F94" s="333"/>
      <c r="G94" s="334"/>
      <c r="H94" s="322"/>
      <c r="J94" s="198"/>
    </row>
    <row r="95" spans="1:10" ht="15.95" hidden="1" customHeight="1" outlineLevel="1" thickBot="1">
      <c r="B95" s="21"/>
      <c r="C95" s="22"/>
      <c r="D95" s="22"/>
      <c r="E95" s="22"/>
      <c r="F95" s="22"/>
      <c r="G95" s="22"/>
      <c r="H95" s="23"/>
      <c r="J95" s="198"/>
    </row>
    <row r="96" spans="1:10" ht="15.95" hidden="1" customHeight="1" outlineLevel="1">
      <c r="B96" s="16"/>
      <c r="C96" s="18"/>
      <c r="D96" s="18"/>
      <c r="E96" s="18"/>
      <c r="F96" s="18"/>
      <c r="G96" s="18"/>
      <c r="H96" s="18"/>
      <c r="I96" s="14"/>
      <c r="J96" s="15"/>
    </row>
    <row r="97" spans="2:10" ht="17.100000000000001" hidden="1" customHeight="1" outlineLevel="1">
      <c r="B97" s="16"/>
      <c r="C97" s="325" t="s">
        <v>930</v>
      </c>
      <c r="D97" s="325" t="s">
        <v>307</v>
      </c>
      <c r="E97" s="325" t="s">
        <v>945</v>
      </c>
      <c r="F97" s="325" t="s">
        <v>946</v>
      </c>
      <c r="G97" s="325" t="str">
        <f>"Cost ($/"&amp;OutMassUnit&amp;" catalyst)"</f>
        <v>Cost ($/kg catalyst)</v>
      </c>
      <c r="H97" s="325"/>
      <c r="I97" s="325" t="s">
        <v>205</v>
      </c>
      <c r="J97" s="247"/>
    </row>
    <row r="98" spans="2:10" ht="15.95" hidden="1" customHeight="1" outlineLevel="1">
      <c r="B98" s="16"/>
      <c r="C98" s="69" t="s">
        <v>924</v>
      </c>
      <c r="D98" s="243">
        <v>1</v>
      </c>
      <c r="E98" s="328">
        <f>IF(ISBLANK(C98),"",IFERROR(IF(fnStepCostHourly=0,fnStepNotAvail,IF(ISBLANK(D98),"",fnStepCostHourly*$D98*VLOOKUP(BasisYear,ChemPPI[],14,FALSE)/VLOOKUP(2017,ChemPPI[],14,FALSE))),""))</f>
        <v>192.44093542673596</v>
      </c>
      <c r="F98" s="328">
        <f t="shared" ref="F98:F117" si="4">IFERROR($E98*$D$9*24,$E98)</f>
        <v>7697.637417069438</v>
      </c>
      <c r="G98" s="327">
        <f t="shared" ref="G98:G117" si="5">IFERROR($F98/$D$7,$F98)</f>
        <v>8.485192792230431E-2</v>
      </c>
      <c r="H98" s="245"/>
      <c r="I98" s="244" t="str">
        <f>IFERROR(VLOOKUP($C98,Steps[],5,FALSE),"")</f>
        <v>-</v>
      </c>
      <c r="J98" s="248"/>
    </row>
    <row r="99" spans="2:10" ht="15.95" hidden="1" customHeight="1" outlineLevel="1">
      <c r="B99" s="16"/>
      <c r="C99" s="69" t="s">
        <v>917</v>
      </c>
      <c r="D99" s="243">
        <v>2</v>
      </c>
      <c r="E99" s="328">
        <f>IF(ISBLANK(C99),"",IFERROR(IF(fnStepCostHourly=0,fnStepNotAvail,IF(ISBLANK(D99),"",fnStepCostHourly*$D99*VLOOKUP(BasisYear,ChemPPI[],14,FALSE)/VLOOKUP(2017,ChemPPI[],14,FALSE))),""))</f>
        <v>577.32280628020783</v>
      </c>
      <c r="F99" s="328">
        <f t="shared" si="4"/>
        <v>23092.912251208312</v>
      </c>
      <c r="G99" s="327">
        <f t="shared" si="5"/>
        <v>0.2545557837669129</v>
      </c>
      <c r="H99" s="245"/>
      <c r="I99" s="244" t="str">
        <f>IFERROR(VLOOKUP($C99,Steps[],5,FALSE),"")</f>
        <v>-</v>
      </c>
      <c r="J99" s="248"/>
    </row>
    <row r="100" spans="2:10" ht="15.95" hidden="1" customHeight="1" outlineLevel="1">
      <c r="B100" s="16"/>
      <c r="C100" s="335" t="s">
        <v>919</v>
      </c>
      <c r="D100" s="336">
        <f>1*IF($D$6&lt;5,0,IF($D$6&lt;70,1,1))</f>
        <v>1</v>
      </c>
      <c r="E100" s="328">
        <f>IF(ISBLANK(C100),"",IFERROR(IF(fnStepCostHourly=0,fnStepNotAvail,IF(ISBLANK(D100),"",fnStepCostHourly*$D100*VLOOKUP(BasisYear,ChemPPI[],14,FALSE)/VLOOKUP(2017,ChemPPI[],14,FALSE))),""))</f>
        <v>288.66140314010391</v>
      </c>
      <c r="F100" s="328">
        <f t="shared" si="4"/>
        <v>11546.456125604156</v>
      </c>
      <c r="G100" s="327">
        <f t="shared" si="5"/>
        <v>0.12727789188345645</v>
      </c>
      <c r="H100" s="245"/>
      <c r="I100" s="244" t="str">
        <f>IFERROR(VLOOKUP($C100,Steps[],5,FALSE),"")</f>
        <v>Substitute with plate and frame at small scale</v>
      </c>
      <c r="J100" s="248"/>
    </row>
    <row r="101" spans="2:10" ht="15.95" hidden="1" customHeight="1" outlineLevel="1">
      <c r="B101" s="16"/>
      <c r="C101" s="335" t="s">
        <v>921</v>
      </c>
      <c r="D101" s="336">
        <f>1*IF($D$6&lt;5,1,IF($D$6&lt;70,0,0))</f>
        <v>0</v>
      </c>
      <c r="E101" s="328" t="str">
        <f>IF(ISBLANK(C101),"",IFERROR(IF(fnStepCostHourly=0,fnStepNotAvail,IF(ISBLANK(D101),"",fnStepCostHourly*$D101*VLOOKUP(BasisYear,ChemPPI[],14,FALSE)/VLOOKUP(2017,ChemPPI[],14,FALSE))),""))</f>
        <v>N/A at large scale</v>
      </c>
      <c r="F101" s="328" t="str">
        <f t="shared" si="4"/>
        <v>N/A at large scale</v>
      </c>
      <c r="G101" s="327" t="str">
        <f t="shared" si="5"/>
        <v>N/A at large scale</v>
      </c>
      <c r="H101" s="245"/>
      <c r="I101" s="244" t="str">
        <f>IFERROR(VLOOKUP($C101,Steps[],5,FALSE),"")</f>
        <v>Substitute with belt or rotary vacuum at M/L scale</v>
      </c>
      <c r="J101" s="248"/>
    </row>
    <row r="102" spans="2:10" ht="15.95" hidden="1" customHeight="1" outlineLevel="1">
      <c r="B102" s="16"/>
      <c r="C102" s="69" t="s">
        <v>1065</v>
      </c>
      <c r="D102" s="243">
        <v>1</v>
      </c>
      <c r="E102" s="328">
        <f>IF(ISBLANK(C102),"",IFERROR(IF(fnStepCostHourly=0,fnStepNotAvail,IF(ISBLANK(D102),"",fnStepCostHourly*$D102*VLOOKUP(BasisYear,ChemPPI[],14,FALSE)/VLOOKUP(2017,ChemPPI[],14,FALSE))),""))</f>
        <v>288.66140314010391</v>
      </c>
      <c r="F102" s="328">
        <f t="shared" si="4"/>
        <v>11546.456125604156</v>
      </c>
      <c r="G102" s="327">
        <f t="shared" si="5"/>
        <v>0.12727789188345645</v>
      </c>
      <c r="H102" s="245"/>
      <c r="I102" s="244" t="str">
        <f>IFERROR(VLOOKUP($C102,Steps[],5,FALSE),"")</f>
        <v>For higher temp use kiln</v>
      </c>
      <c r="J102" s="248"/>
    </row>
    <row r="103" spans="2:10" ht="15.95" hidden="1" customHeight="1" outlineLevel="1">
      <c r="B103" s="16"/>
      <c r="C103" s="335" t="s">
        <v>938</v>
      </c>
      <c r="D103" s="336">
        <f>1*IF($D$6&lt;5,0,IF($D$6&lt;70,1,1))</f>
        <v>1</v>
      </c>
      <c r="E103" s="328">
        <f>IF(ISBLANK(C103),"",IFERROR(IF(fnStepCostHourly=0,fnStepNotAvail,IF(ISBLANK(D103),"",fnStepCostHourly*$D103*VLOOKUP(BasisYear,ChemPPI[],14,FALSE)/VLOOKUP(2017,ChemPPI[],14,FALSE))),""))</f>
        <v>312.71652006844596</v>
      </c>
      <c r="F103" s="328">
        <f t="shared" si="4"/>
        <v>12508.660802737839</v>
      </c>
      <c r="G103" s="327">
        <f t="shared" si="5"/>
        <v>0.13788438287374452</v>
      </c>
      <c r="H103" s="245"/>
      <c r="I103" s="244" t="str">
        <f>IFERROR(VLOOKUP($C103,Steps[],5,FALSE),"")</f>
        <v>A.k.a. calciner. Sub with batch kiln at small scale</v>
      </c>
      <c r="J103" s="248"/>
    </row>
    <row r="104" spans="2:10" ht="15.95" hidden="1" customHeight="1" outlineLevel="1">
      <c r="B104" s="16"/>
      <c r="C104" s="335" t="s">
        <v>940</v>
      </c>
      <c r="D104" s="336">
        <f>1*IF($D$6&lt;5,1,IF($D$6&lt;70,0,0))</f>
        <v>0</v>
      </c>
      <c r="E104" s="328" t="str">
        <f>IF(ISBLANK(C104),"",IFERROR(IF(fnStepCostHourly=0,fnStepNotAvail,IF(ISBLANK(D104),"",fnStepCostHourly*$D104*VLOOKUP(BasisYear,ChemPPI[],14,FALSE)/VLOOKUP(2017,ChemPPI[],14,FALSE))),""))</f>
        <v>N/A at large scale</v>
      </c>
      <c r="F104" s="328" t="str">
        <f t="shared" si="4"/>
        <v>N/A at large scale</v>
      </c>
      <c r="G104" s="327" t="str">
        <f t="shared" si="5"/>
        <v>N/A at large scale</v>
      </c>
      <c r="H104" s="245"/>
      <c r="I104" s="244" t="str">
        <f>IFERROR(VLOOKUP($C104,Steps[],5,FALSE),"")</f>
        <v>A.k.a. calciner. Sub with continuous kiln at M/L scale</v>
      </c>
      <c r="J104" s="248"/>
    </row>
    <row r="105" spans="2:10" ht="15.95" hidden="1" customHeight="1" outlineLevel="1">
      <c r="B105" s="16"/>
      <c r="C105" s="69" t="s">
        <v>931</v>
      </c>
      <c r="D105" s="243">
        <v>1</v>
      </c>
      <c r="E105" s="328">
        <f>IF(ISBLANK(C105),"",IFERROR(IF(fnStepCostHourly=0,fnStepNotAvail,IF(ISBLANK(D105),"",fnStepCostHourly*$D105*VLOOKUP(BasisYear,ChemPPI[],14,FALSE)/VLOOKUP(2017,ChemPPI[],14,FALSE))),""))</f>
        <v>192.44093542673596</v>
      </c>
      <c r="F105" s="328">
        <f t="shared" si="4"/>
        <v>7697.637417069438</v>
      </c>
      <c r="G105" s="327">
        <f t="shared" si="5"/>
        <v>8.485192792230431E-2</v>
      </c>
      <c r="H105" s="245"/>
      <c r="I105" s="244" t="str">
        <f>IFERROR(VLOOKUP($C105,Steps[],5,FALSE),"")</f>
        <v>-</v>
      </c>
      <c r="J105" s="248"/>
    </row>
    <row r="106" spans="2:10" ht="15.95" hidden="1" customHeight="1" outlineLevel="1">
      <c r="B106" s="16"/>
      <c r="C106" s="69" t="s">
        <v>917</v>
      </c>
      <c r="D106" s="243">
        <v>1</v>
      </c>
      <c r="E106" s="328">
        <f>IF(ISBLANK(C106),"",IFERROR(IF(fnStepCostHourly=0,fnStepNotAvail,IF(ISBLANK(D106),"",fnStepCostHourly*$D106*VLOOKUP(BasisYear,ChemPPI[],14,FALSE)/VLOOKUP(2017,ChemPPI[],14,FALSE))),""))</f>
        <v>288.66140314010391</v>
      </c>
      <c r="F106" s="328">
        <f t="shared" si="4"/>
        <v>11546.456125604156</v>
      </c>
      <c r="G106" s="327">
        <f t="shared" si="5"/>
        <v>0.12727789188345645</v>
      </c>
      <c r="H106" s="245"/>
      <c r="I106" s="244" t="str">
        <f>IFERROR(VLOOKUP($C106,Steps[],5,FALSE),"")</f>
        <v>-</v>
      </c>
      <c r="J106" s="248"/>
    </row>
    <row r="107" spans="2:10" ht="15.95" hidden="1" customHeight="1" outlineLevel="1">
      <c r="B107" s="16"/>
      <c r="C107" s="335" t="s">
        <v>919</v>
      </c>
      <c r="D107" s="336">
        <f>1*IF($D$6&lt;5,0,IF($D$6&lt;70,1,1))</f>
        <v>1</v>
      </c>
      <c r="E107" s="328">
        <f>IF(ISBLANK(C107),"",IFERROR(IF(fnStepCostHourly=0,fnStepNotAvail,IF(ISBLANK(D107),"",fnStepCostHourly*$D107*VLOOKUP(BasisYear,ChemPPI[],14,FALSE)/VLOOKUP(2017,ChemPPI[],14,FALSE))),""))</f>
        <v>288.66140314010391</v>
      </c>
      <c r="F107" s="328">
        <f t="shared" si="4"/>
        <v>11546.456125604156</v>
      </c>
      <c r="G107" s="327">
        <f t="shared" si="5"/>
        <v>0.12727789188345645</v>
      </c>
      <c r="H107" s="245"/>
      <c r="I107" s="244" t="str">
        <f>IFERROR(VLOOKUP($C107,Steps[],5,FALSE),"")</f>
        <v>Substitute with plate and frame at small scale</v>
      </c>
      <c r="J107" s="248"/>
    </row>
    <row r="108" spans="2:10" ht="15.95" hidden="1" customHeight="1" outlineLevel="1">
      <c r="B108" s="16"/>
      <c r="C108" s="335" t="s">
        <v>921</v>
      </c>
      <c r="D108" s="336">
        <f>1*IF($D$6&lt;5,1,IF($D$6&lt;70,0,0))</f>
        <v>0</v>
      </c>
      <c r="E108" s="328" t="str">
        <f>IF(ISBLANK(C108),"",IFERROR(IF(fnStepCostHourly=0,fnStepNotAvail,IF(ISBLANK(D108),"",fnStepCostHourly*$D108*VLOOKUP(BasisYear,ChemPPI[],14,FALSE)/VLOOKUP(2017,ChemPPI[],14,FALSE))),""))</f>
        <v>N/A at large scale</v>
      </c>
      <c r="F108" s="328" t="str">
        <f t="shared" si="4"/>
        <v>N/A at large scale</v>
      </c>
      <c r="G108" s="327" t="str">
        <f t="shared" si="5"/>
        <v>N/A at large scale</v>
      </c>
      <c r="H108" s="245"/>
      <c r="I108" s="244" t="str">
        <f>IFERROR(VLOOKUP($C108,Steps[],5,FALSE),"")</f>
        <v>Substitute with belt or rotary vacuum at M/L scale</v>
      </c>
      <c r="J108" s="248"/>
    </row>
    <row r="109" spans="2:10" ht="15.95" hidden="1" customHeight="1" outlineLevel="1">
      <c r="B109" s="16"/>
      <c r="C109" s="69" t="s">
        <v>1066</v>
      </c>
      <c r="D109" s="243">
        <v>1</v>
      </c>
      <c r="E109" s="328">
        <f>IF(ISBLANK(C109),"",IFERROR(IF(fnStepCostHourly=0,fnStepNotAvail,IF(ISBLANK(D109),"",fnStepCostHourly*$D109*VLOOKUP(BasisYear,ChemPPI[],14,FALSE)/VLOOKUP(2017,ChemPPI[],14,FALSE))),""))</f>
        <v>192.44093542673596</v>
      </c>
      <c r="F109" s="328">
        <f t="shared" si="4"/>
        <v>7697.637417069438</v>
      </c>
      <c r="G109" s="327">
        <f t="shared" si="5"/>
        <v>8.485192792230431E-2</v>
      </c>
      <c r="H109" s="245"/>
      <c r="I109" s="244" t="str">
        <f>IFERROR(VLOOKUP($C109,Steps[],5,FALSE),"")</f>
        <v>-</v>
      </c>
      <c r="J109" s="248"/>
    </row>
    <row r="110" spans="2:10" ht="15.95" hidden="1" customHeight="1" outlineLevel="1">
      <c r="B110" s="16"/>
      <c r="C110" s="69" t="s">
        <v>922</v>
      </c>
      <c r="D110" s="243">
        <v>1</v>
      </c>
      <c r="E110" s="328">
        <f>IF(ISBLANK(C110),"",IFERROR(IF(fnStepCostHourly=0,fnStepNotAvail,IF(ISBLANK(D110),"",fnStepCostHourly*$D110*VLOOKUP(BasisYear,ChemPPI[],14,FALSE)/VLOOKUP(2017,ChemPPI[],14,FALSE))),""))</f>
        <v>192.44093542673596</v>
      </c>
      <c r="F110" s="328">
        <f t="shared" si="4"/>
        <v>7697.637417069438</v>
      </c>
      <c r="G110" s="327">
        <f t="shared" si="5"/>
        <v>8.485192792230431E-2</v>
      </c>
      <c r="H110" s="245"/>
      <c r="I110" s="244" t="str">
        <f>IFERROR(VLOOKUP($C110,Steps[],5,FALSE),"")</f>
        <v>-</v>
      </c>
      <c r="J110" s="248"/>
    </row>
    <row r="111" spans="2:10" ht="15.95" hidden="1" customHeight="1" outlineLevel="1">
      <c r="B111" s="16"/>
      <c r="C111" s="69"/>
      <c r="D111" s="243"/>
      <c r="E111" s="328" t="str">
        <f>IF(ISBLANK(C111),"",IFERROR(IF(fnStepCostHourly=0,fnStepNotAvail,IF(ISBLANK(D111),"",fnStepCostHourly*$D111*VLOOKUP(BasisYear,ChemPPI[],14,FALSE)/VLOOKUP(2017,ChemPPI[],14,FALSE))),""))</f>
        <v/>
      </c>
      <c r="F111" s="328" t="str">
        <f t="shared" si="4"/>
        <v/>
      </c>
      <c r="G111" s="327" t="str">
        <f t="shared" si="5"/>
        <v/>
      </c>
      <c r="H111" s="245"/>
      <c r="I111" s="244" t="str">
        <f>IFERROR(VLOOKUP($C111,Steps[],5,FALSE),"")</f>
        <v/>
      </c>
      <c r="J111" s="248"/>
    </row>
    <row r="112" spans="2:10" ht="15.95" hidden="1" customHeight="1" outlineLevel="1">
      <c r="B112" s="16"/>
      <c r="C112" s="69"/>
      <c r="D112" s="243"/>
      <c r="E112" s="328" t="str">
        <f>IF(ISBLANK(C112),"",IFERROR(IF(fnStepCostHourly=0,fnStepNotAvail,IF(ISBLANK(D112),"",fnStepCostHourly*$D112*VLOOKUP(BasisYear,ChemPPI[],14,FALSE)/VLOOKUP(2017,ChemPPI[],14,FALSE))),""))</f>
        <v/>
      </c>
      <c r="F112" s="328" t="str">
        <f t="shared" si="4"/>
        <v/>
      </c>
      <c r="G112" s="327" t="str">
        <f t="shared" si="5"/>
        <v/>
      </c>
      <c r="H112" s="245"/>
      <c r="I112" s="244" t="str">
        <f>IFERROR(VLOOKUP($C112,Steps[],5,FALSE),"")</f>
        <v/>
      </c>
      <c r="J112" s="248"/>
    </row>
    <row r="113" spans="1:10" ht="15.95" hidden="1" customHeight="1" outlineLevel="1">
      <c r="B113" s="16"/>
      <c r="C113" s="69"/>
      <c r="D113" s="243"/>
      <c r="E113" s="328" t="str">
        <f>IF(ISBLANK(C113),"",IFERROR(IF(fnStepCostHourly=0,fnStepNotAvail,IF(ISBLANK(D113),"",fnStepCostHourly*$D113*VLOOKUP(BasisYear,ChemPPI[],14,FALSE)/VLOOKUP(2017,ChemPPI[],14,FALSE))),""))</f>
        <v/>
      </c>
      <c r="F113" s="328" t="str">
        <f t="shared" si="4"/>
        <v/>
      </c>
      <c r="G113" s="327" t="str">
        <f t="shared" si="5"/>
        <v/>
      </c>
      <c r="H113" s="245"/>
      <c r="I113" s="244" t="str">
        <f>IFERROR(VLOOKUP($C113,Steps[],5,FALSE),"")</f>
        <v/>
      </c>
      <c r="J113" s="248"/>
    </row>
    <row r="114" spans="1:10" ht="15.95" hidden="1" customHeight="1" outlineLevel="1">
      <c r="B114" s="16"/>
      <c r="C114" s="69"/>
      <c r="D114" s="243"/>
      <c r="E114" s="328" t="str">
        <f>IF(ISBLANK(C114),"",IFERROR(IF(fnStepCostHourly=0,fnStepNotAvail,IF(ISBLANK(D114),"",fnStepCostHourly*$D114*VLOOKUP(BasisYear,ChemPPI[],14,FALSE)/VLOOKUP(2017,ChemPPI[],14,FALSE))),""))</f>
        <v/>
      </c>
      <c r="F114" s="328" t="str">
        <f t="shared" si="4"/>
        <v/>
      </c>
      <c r="G114" s="327" t="str">
        <f t="shared" si="5"/>
        <v/>
      </c>
      <c r="H114" s="245"/>
      <c r="I114" s="244" t="str">
        <f>IFERROR(VLOOKUP($C114,Steps[],5,FALSE),"")</f>
        <v/>
      </c>
      <c r="J114" s="248"/>
    </row>
    <row r="115" spans="1:10" ht="15.95" hidden="1" customHeight="1" outlineLevel="1">
      <c r="B115" s="16"/>
      <c r="C115" s="69"/>
      <c r="D115" s="243"/>
      <c r="E115" s="328" t="str">
        <f>IF(ISBLANK(C115),"",IFERROR(IF(fnStepCostHourly=0,fnStepNotAvail,IF(ISBLANK(D115),"",fnStepCostHourly*$D115*VLOOKUP(BasisYear,ChemPPI[],14,FALSE)/VLOOKUP(2017,ChemPPI[],14,FALSE))),""))</f>
        <v/>
      </c>
      <c r="F115" s="328" t="str">
        <f t="shared" si="4"/>
        <v/>
      </c>
      <c r="G115" s="327" t="str">
        <f t="shared" si="5"/>
        <v/>
      </c>
      <c r="H115" s="245"/>
      <c r="I115" s="244" t="str">
        <f>IFERROR(VLOOKUP($C115,Steps[],5,FALSE),"")</f>
        <v/>
      </c>
      <c r="J115" s="248"/>
    </row>
    <row r="116" spans="1:10" ht="15.95" hidden="1" customHeight="1" outlineLevel="1">
      <c r="B116" s="16"/>
      <c r="C116" s="69"/>
      <c r="D116" s="243"/>
      <c r="E116" s="328" t="str">
        <f>IF(ISBLANK(C116),"",IFERROR(IF(fnStepCostHourly=0,fnStepNotAvail,IF(ISBLANK(D116),"",fnStepCostHourly*$D116*VLOOKUP(BasisYear,ChemPPI[],14,FALSE)/VLOOKUP(2017,ChemPPI[],14,FALSE))),""))</f>
        <v/>
      </c>
      <c r="F116" s="328" t="str">
        <f t="shared" si="4"/>
        <v/>
      </c>
      <c r="G116" s="327" t="str">
        <f t="shared" si="5"/>
        <v/>
      </c>
      <c r="H116" s="245"/>
      <c r="I116" s="244" t="str">
        <f>IFERROR(VLOOKUP($C116,Steps[],5,FALSE),"")</f>
        <v/>
      </c>
      <c r="J116" s="248"/>
    </row>
    <row r="117" spans="1:10" ht="15.95" hidden="1" customHeight="1" outlineLevel="1">
      <c r="B117" s="16"/>
      <c r="C117" s="69"/>
      <c r="D117" s="243"/>
      <c r="E117" s="328" t="str">
        <f>IF(ISBLANK(C117),"",IFERROR(IF(fnStepCostHourly=0,fnStepNotAvail,IF(ISBLANK(D117),"",fnStepCostHourly*$D117*VLOOKUP(BasisYear,ChemPPI[],14,FALSE)/VLOOKUP(2017,ChemPPI[],14,FALSE))),""))</f>
        <v/>
      </c>
      <c r="F117" s="328" t="str">
        <f t="shared" si="4"/>
        <v/>
      </c>
      <c r="G117" s="327" t="str">
        <f t="shared" si="5"/>
        <v/>
      </c>
      <c r="H117" s="245"/>
      <c r="I117" s="244" t="str">
        <f>IFERROR(VLOOKUP($C117,Steps[],5,FALSE),"")</f>
        <v/>
      </c>
      <c r="J117" s="248"/>
    </row>
    <row r="118" spans="1:10" ht="16.5" hidden="1" outlineLevel="1" thickBot="1">
      <c r="B118" s="249"/>
      <c r="C118" s="250"/>
      <c r="D118" s="250"/>
      <c r="E118" s="250"/>
      <c r="F118" s="250"/>
      <c r="G118" s="250"/>
      <c r="H118" s="250"/>
      <c r="I118" s="250"/>
      <c r="J118" s="251"/>
    </row>
    <row r="119" spans="1:10" ht="16.5" collapsed="1" thickBot="1">
      <c r="A119" s="300" t="str">
        <f>"&lt;– show/hide "&amp;B87</f>
        <v>&lt;– show/hide Step Process Template: Magnesia/Alumina</v>
      </c>
    </row>
    <row r="120" spans="1:10" ht="21" thickBot="1">
      <c r="B120" s="341" t="str">
        <f>"Step Process Template: "&amp;C123</f>
        <v>Step Process Template: Metal Carbide (Bulk)</v>
      </c>
      <c r="C120" s="342"/>
      <c r="D120" s="342"/>
      <c r="E120" s="342"/>
      <c r="F120" s="342"/>
      <c r="G120" s="342"/>
      <c r="H120" s="343"/>
    </row>
    <row r="121" spans="1:10" hidden="1" outlineLevel="1">
      <c r="B121" s="13"/>
      <c r="C121" s="14"/>
      <c r="D121" s="14"/>
      <c r="E121" s="14"/>
      <c r="F121" s="14"/>
      <c r="G121" s="14"/>
      <c r="H121" s="15"/>
      <c r="J121" s="198"/>
    </row>
    <row r="122" spans="1:10" hidden="1" outlineLevel="1">
      <c r="B122" s="16"/>
      <c r="C122" s="17" t="s">
        <v>1045</v>
      </c>
      <c r="D122" s="253" t="s">
        <v>953</v>
      </c>
      <c r="E122" s="64" t="s">
        <v>945</v>
      </c>
      <c r="F122" s="64" t="s">
        <v>946</v>
      </c>
      <c r="G122" s="64" t="str">
        <f>"Cost ($/"&amp;OutMassUnit&amp;" catalyst)"</f>
        <v>Cost ($/kg catalyst)</v>
      </c>
      <c r="H122" s="247"/>
      <c r="J122" s="198"/>
    </row>
    <row r="123" spans="1:10" ht="15.95" hidden="1" customHeight="1" outlineLevel="1">
      <c r="B123" s="16"/>
      <c r="C123" s="18" t="s">
        <v>1052</v>
      </c>
      <c r="D123" s="253"/>
      <c r="E123" s="330">
        <f>SUM(E131:E150)</f>
        <v>2213.0707574074636</v>
      </c>
      <c r="F123" s="330">
        <f>SUM(F131:F150)</f>
        <v>88522.830296298547</v>
      </c>
      <c r="G123" s="329">
        <f>SUM(G131:G150)</f>
        <v>0.97579717110649966</v>
      </c>
      <c r="H123" s="322"/>
      <c r="J123" s="198"/>
    </row>
    <row r="124" spans="1:10" ht="15.95" hidden="1" customHeight="1" outlineLevel="1">
      <c r="B124" s="16"/>
      <c r="C124" s="339" t="str">
        <f>"Name: "&amp;C123</f>
        <v>Name: Metal Carbide (Bulk)</v>
      </c>
      <c r="D124" s="253"/>
      <c r="E124" s="333"/>
      <c r="F124" s="333"/>
      <c r="G124" s="334"/>
      <c r="H124" s="322"/>
      <c r="J124" s="198"/>
    </row>
    <row r="125" spans="1:10" ht="15.95" hidden="1" customHeight="1" outlineLevel="1">
      <c r="B125" s="16"/>
      <c r="C125" s="17" t="s">
        <v>1060</v>
      </c>
      <c r="D125" s="253"/>
      <c r="E125" s="333"/>
      <c r="F125" s="333"/>
      <c r="G125" s="334"/>
      <c r="H125" s="322"/>
      <c r="J125" s="198"/>
    </row>
    <row r="126" spans="1:10" ht="15.95" hidden="1" customHeight="1" outlineLevel="1">
      <c r="B126" s="16"/>
      <c r="C126" s="18" t="s">
        <v>1061</v>
      </c>
      <c r="D126" s="253"/>
      <c r="E126" s="333"/>
      <c r="F126" s="333"/>
      <c r="G126" s="334"/>
      <c r="H126" s="322"/>
      <c r="J126" s="198"/>
    </row>
    <row r="127" spans="1:10" ht="15.95" hidden="1" customHeight="1" outlineLevel="1">
      <c r="B127" s="16"/>
      <c r="C127" s="18" t="s">
        <v>1063</v>
      </c>
      <c r="D127" s="253"/>
      <c r="E127" s="333"/>
      <c r="F127" s="333"/>
      <c r="G127" s="334"/>
      <c r="H127" s="322"/>
      <c r="J127" s="198"/>
    </row>
    <row r="128" spans="1:10" ht="16.5" hidden="1" outlineLevel="1" thickBot="1">
      <c r="B128" s="21"/>
      <c r="C128" s="22"/>
      <c r="D128" s="22"/>
      <c r="E128" s="22"/>
      <c r="F128" s="22"/>
      <c r="G128" s="22"/>
      <c r="H128" s="23"/>
      <c r="J128" s="198"/>
    </row>
    <row r="129" spans="2:10" ht="15.95" hidden="1" customHeight="1" outlineLevel="1">
      <c r="B129" s="16"/>
      <c r="C129" s="18"/>
      <c r="D129" s="18"/>
      <c r="E129" s="18"/>
      <c r="F129" s="18"/>
      <c r="G129" s="18"/>
      <c r="H129" s="18"/>
      <c r="I129" s="14"/>
      <c r="J129" s="15"/>
    </row>
    <row r="130" spans="2:10" ht="17.100000000000001" hidden="1" customHeight="1" outlineLevel="1">
      <c r="B130" s="16"/>
      <c r="C130" s="325" t="s">
        <v>930</v>
      </c>
      <c r="D130" s="325" t="s">
        <v>307</v>
      </c>
      <c r="E130" s="325" t="s">
        <v>945</v>
      </c>
      <c r="F130" s="325" t="s">
        <v>946</v>
      </c>
      <c r="G130" s="325" t="str">
        <f>"Cost ($/"&amp;OutMassUnit&amp;" catalyst)"</f>
        <v>Cost ($/kg catalyst)</v>
      </c>
      <c r="H130" s="325"/>
      <c r="I130" s="325" t="s">
        <v>205</v>
      </c>
      <c r="J130" s="247"/>
    </row>
    <row r="131" spans="2:10" ht="15.95" hidden="1" customHeight="1" outlineLevel="1">
      <c r="B131" s="16"/>
      <c r="C131" s="323" t="s">
        <v>922</v>
      </c>
      <c r="D131" s="324">
        <v>1</v>
      </c>
      <c r="E131" s="328">
        <f>IF(ISBLANK(C131),"",IFERROR(IF(fnStepCostHourly=0,fnStepNotAvail,IF(ISBLANK(D131),"",fnStepCostHourly*$D131*VLOOKUP(BasisYear,ChemPPI[],14,FALSE)/VLOOKUP(2017,ChemPPI[],14,FALSE))),""))</f>
        <v>192.44093542673596</v>
      </c>
      <c r="F131" s="328">
        <f t="shared" ref="F131:F150" si="6">IFERROR($E131*$D$9*24,$E131)</f>
        <v>7697.637417069438</v>
      </c>
      <c r="G131" s="327">
        <f t="shared" ref="G131:G150" si="7">IFERROR($F131/$D$7,$F131)</f>
        <v>8.485192792230431E-2</v>
      </c>
      <c r="H131" s="245"/>
      <c r="I131" s="244" t="str">
        <f>IFERROR(VLOOKUP($C131,Steps[],5,FALSE),"")</f>
        <v>-</v>
      </c>
      <c r="J131" s="248"/>
    </row>
    <row r="132" spans="2:10" ht="15.95" hidden="1" customHeight="1" outlineLevel="1">
      <c r="B132" s="16"/>
      <c r="C132" s="335" t="s">
        <v>938</v>
      </c>
      <c r="D132" s="336">
        <f>2*IF($D$6&lt;5,0,IF($D$6&lt;70,1,1))</f>
        <v>2</v>
      </c>
      <c r="E132" s="328">
        <f>IF(ISBLANK(C132),"",IFERROR(IF(fnStepCostHourly=0,fnStepNotAvail,IF(ISBLANK(D132),"",fnStepCostHourly*$D132*VLOOKUP(BasisYear,ChemPPI[],14,FALSE)/VLOOKUP(2017,ChemPPI[],14,FALSE))),""))</f>
        <v>625.43304013689192</v>
      </c>
      <c r="F132" s="328">
        <f t="shared" si="6"/>
        <v>25017.321605475678</v>
      </c>
      <c r="G132" s="327">
        <f t="shared" si="7"/>
        <v>0.27576876574748904</v>
      </c>
      <c r="H132" s="245"/>
      <c r="I132" s="244" t="str">
        <f>IFERROR(VLOOKUP($C132,Steps[],5,FALSE),"")</f>
        <v>A.k.a. calciner. Sub with batch kiln at small scale</v>
      </c>
      <c r="J132" s="248"/>
    </row>
    <row r="133" spans="2:10" ht="15.95" hidden="1" customHeight="1" outlineLevel="1">
      <c r="B133" s="16"/>
      <c r="C133" s="335" t="s">
        <v>940</v>
      </c>
      <c r="D133" s="336">
        <f>2*IF($D$6&lt;5,1,IF($D$6&lt;70,0,0))</f>
        <v>0</v>
      </c>
      <c r="E133" s="328" t="str">
        <f>IF(ISBLANK(C133),"",IFERROR(IF(fnStepCostHourly=0,fnStepNotAvail,IF(ISBLANK(D133),"",fnStepCostHourly*$D133*VLOOKUP(BasisYear,ChemPPI[],14,FALSE)/VLOOKUP(2017,ChemPPI[],14,FALSE))),""))</f>
        <v>N/A at large scale</v>
      </c>
      <c r="F133" s="328" t="str">
        <f t="shared" si="6"/>
        <v>N/A at large scale</v>
      </c>
      <c r="G133" s="327" t="str">
        <f t="shared" si="7"/>
        <v>N/A at large scale</v>
      </c>
      <c r="H133" s="245"/>
      <c r="I133" s="244" t="str">
        <f>IFERROR(VLOOKUP($C133,Steps[],5,FALSE),"")</f>
        <v>A.k.a. calciner. Sub with continuous kiln at M/L scale</v>
      </c>
      <c r="J133" s="248"/>
    </row>
    <row r="134" spans="2:10" ht="15.95" hidden="1" customHeight="1" outlineLevel="1">
      <c r="B134" s="16"/>
      <c r="C134" s="69" t="s">
        <v>931</v>
      </c>
      <c r="D134" s="243">
        <v>1</v>
      </c>
      <c r="E134" s="328">
        <f>IF(ISBLANK(C134),"",IFERROR(IF(fnStepCostHourly=0,fnStepNotAvail,IF(ISBLANK(D134),"",fnStepCostHourly*$D134*VLOOKUP(BasisYear,ChemPPI[],14,FALSE)/VLOOKUP(2017,ChemPPI[],14,FALSE))),""))</f>
        <v>192.44093542673596</v>
      </c>
      <c r="F134" s="328">
        <f t="shared" si="6"/>
        <v>7697.637417069438</v>
      </c>
      <c r="G134" s="327">
        <f t="shared" si="7"/>
        <v>8.485192792230431E-2</v>
      </c>
      <c r="H134" s="245"/>
      <c r="I134" s="244" t="str">
        <f>IFERROR(VLOOKUP($C134,Steps[],5,FALSE),"")</f>
        <v>-</v>
      </c>
      <c r="J134" s="248"/>
    </row>
    <row r="135" spans="2:10" ht="15.95" hidden="1" customHeight="1" outlineLevel="1">
      <c r="B135" s="16" t="s">
        <v>1062</v>
      </c>
      <c r="C135" s="69" t="s">
        <v>917</v>
      </c>
      <c r="D135" s="243">
        <v>1</v>
      </c>
      <c r="E135" s="328">
        <f>IF(ISBLANK(C135),"",IFERROR(IF(fnStepCostHourly=0,fnStepNotAvail,IF(ISBLANK(D135),"",fnStepCostHourly*$D135*VLOOKUP(BasisYear,ChemPPI[],14,FALSE)/VLOOKUP(2017,ChemPPI[],14,FALSE))),""))</f>
        <v>288.66140314010391</v>
      </c>
      <c r="F135" s="328">
        <f t="shared" si="6"/>
        <v>11546.456125604156</v>
      </c>
      <c r="G135" s="327">
        <f t="shared" si="7"/>
        <v>0.12727789188345645</v>
      </c>
      <c r="H135" s="245"/>
      <c r="I135" s="244" t="str">
        <f>IFERROR(VLOOKUP($C135,Steps[],5,FALSE),"")</f>
        <v>-</v>
      </c>
      <c r="J135" s="248"/>
    </row>
    <row r="136" spans="2:10" ht="15.95" hidden="1" customHeight="1" outlineLevel="1">
      <c r="B136" s="16" t="s">
        <v>1062</v>
      </c>
      <c r="C136" s="335" t="s">
        <v>919</v>
      </c>
      <c r="D136" s="336">
        <f>1*IF($D$6&lt;5,0,IF($D$6&lt;70,1,1))</f>
        <v>1</v>
      </c>
      <c r="E136" s="328">
        <f>IF(ISBLANK(C136),"",IFERROR(IF(fnStepCostHourly=0,fnStepNotAvail,IF(ISBLANK(D136),"",fnStepCostHourly*$D136*VLOOKUP(BasisYear,ChemPPI[],14,FALSE)/VLOOKUP(2017,ChemPPI[],14,FALSE))),""))</f>
        <v>288.66140314010391</v>
      </c>
      <c r="F136" s="328">
        <f t="shared" si="6"/>
        <v>11546.456125604156</v>
      </c>
      <c r="G136" s="327">
        <f t="shared" si="7"/>
        <v>0.12727789188345645</v>
      </c>
      <c r="H136" s="245"/>
      <c r="I136" s="244" t="str">
        <f>IFERROR(VLOOKUP($C136,Steps[],5,FALSE),"")</f>
        <v>Substitute with plate and frame at small scale</v>
      </c>
      <c r="J136" s="248"/>
    </row>
    <row r="137" spans="2:10" ht="15.95" hidden="1" customHeight="1" outlineLevel="1">
      <c r="B137" s="16" t="s">
        <v>1062</v>
      </c>
      <c r="C137" s="335" t="s">
        <v>921</v>
      </c>
      <c r="D137" s="336">
        <f>1*IF($D$6&lt;5,1,IF($D$6&lt;70,0,0))</f>
        <v>0</v>
      </c>
      <c r="E137" s="328" t="str">
        <f>IF(ISBLANK(C137),"",IFERROR(IF(fnStepCostHourly=0,fnStepNotAvail,IF(ISBLANK(D137),"",fnStepCostHourly*$D137*VLOOKUP(BasisYear,ChemPPI[],14,FALSE)/VLOOKUP(2017,ChemPPI[],14,FALSE))),""))</f>
        <v>N/A at large scale</v>
      </c>
      <c r="F137" s="328" t="str">
        <f t="shared" si="6"/>
        <v>N/A at large scale</v>
      </c>
      <c r="G137" s="327" t="str">
        <f t="shared" si="7"/>
        <v>N/A at large scale</v>
      </c>
      <c r="H137" s="245"/>
      <c r="I137" s="244" t="str">
        <f>IFERROR(VLOOKUP($C137,Steps[],5,FALSE),"")</f>
        <v>Substitute with belt or rotary vacuum at M/L scale</v>
      </c>
      <c r="J137" s="248"/>
    </row>
    <row r="138" spans="2:10" ht="15.95" hidden="1" customHeight="1" outlineLevel="1">
      <c r="B138" s="16"/>
      <c r="C138" s="69" t="s">
        <v>1066</v>
      </c>
      <c r="D138" s="243">
        <v>1</v>
      </c>
      <c r="E138" s="328">
        <f>IF(ISBLANK(C138),"",IFERROR(IF(fnStepCostHourly=0,fnStepNotAvail,IF(ISBLANK(D138),"",fnStepCostHourly*$D138*VLOOKUP(BasisYear,ChemPPI[],14,FALSE)/VLOOKUP(2017,ChemPPI[],14,FALSE))),""))</f>
        <v>192.44093542673596</v>
      </c>
      <c r="F138" s="328">
        <f t="shared" si="6"/>
        <v>7697.637417069438</v>
      </c>
      <c r="G138" s="327">
        <f t="shared" si="7"/>
        <v>8.485192792230431E-2</v>
      </c>
      <c r="H138" s="245"/>
      <c r="I138" s="244" t="str">
        <f>IFERROR(VLOOKUP($C138,Steps[],5,FALSE),"")</f>
        <v>-</v>
      </c>
      <c r="J138" s="248"/>
    </row>
    <row r="139" spans="2:10" ht="15.95" hidden="1" customHeight="1" outlineLevel="1">
      <c r="B139" s="16"/>
      <c r="C139" s="69" t="s">
        <v>918</v>
      </c>
      <c r="D139" s="243">
        <v>1</v>
      </c>
      <c r="E139" s="328">
        <f>IF(ISBLANK(C139),"",IFERROR(IF(fnStepCostHourly=0,fnStepNotAvail,IF(ISBLANK(D139),"",fnStepCostHourly*$D139*VLOOKUP(BasisYear,ChemPPI[],14,FALSE)/VLOOKUP(2017,ChemPPI[],14,FALSE))),""))</f>
        <v>144.33070157005196</v>
      </c>
      <c r="F139" s="328">
        <f t="shared" si="6"/>
        <v>5773.2280628020781</v>
      </c>
      <c r="G139" s="327">
        <f t="shared" si="7"/>
        <v>6.3638945941728225E-2</v>
      </c>
      <c r="H139" s="245"/>
      <c r="I139" s="244" t="str">
        <f>IFERROR(VLOOKUP($C139,Steps[],5,FALSE),"")</f>
        <v>-</v>
      </c>
      <c r="J139" s="248"/>
    </row>
    <row r="140" spans="2:10" ht="15.95" hidden="1" customHeight="1" outlineLevel="1">
      <c r="B140" s="16"/>
      <c r="C140" s="69" t="s">
        <v>1065</v>
      </c>
      <c r="D140" s="243">
        <v>1</v>
      </c>
      <c r="E140" s="328">
        <f>IF(ISBLANK(C140),"",IFERROR(IF(fnStepCostHourly=0,fnStepNotAvail,IF(ISBLANK(D140),"",fnStepCostHourly*$D140*VLOOKUP(BasisYear,ChemPPI[],14,FALSE)/VLOOKUP(2017,ChemPPI[],14,FALSE))),""))</f>
        <v>288.66140314010391</v>
      </c>
      <c r="F140" s="328">
        <f t="shared" si="6"/>
        <v>11546.456125604156</v>
      </c>
      <c r="G140" s="327">
        <f t="shared" si="7"/>
        <v>0.12727789188345645</v>
      </c>
      <c r="H140" s="245"/>
      <c r="I140" s="244" t="str">
        <f>IFERROR(VLOOKUP($C140,Steps[],5,FALSE),"")</f>
        <v>For higher temp use kiln</v>
      </c>
      <c r="J140" s="248"/>
    </row>
    <row r="141" spans="2:10" ht="15.95" hidden="1" customHeight="1" outlineLevel="1">
      <c r="B141" s="16"/>
      <c r="C141" s="69"/>
      <c r="D141" s="243"/>
      <c r="E141" s="328" t="str">
        <f>IF(ISBLANK(C141),"",IFERROR(IF(fnStepCostHourly=0,fnStepNotAvail,IF(ISBLANK(D141),"",fnStepCostHourly*$D141*VLOOKUP(BasisYear,ChemPPI[],14,FALSE)/VLOOKUP(2017,ChemPPI[],14,FALSE))),""))</f>
        <v/>
      </c>
      <c r="F141" s="328" t="str">
        <f t="shared" si="6"/>
        <v/>
      </c>
      <c r="G141" s="327" t="str">
        <f t="shared" si="7"/>
        <v/>
      </c>
      <c r="H141" s="245"/>
      <c r="I141" s="244" t="str">
        <f>IFERROR(VLOOKUP($C141,Steps[],5,FALSE),"")</f>
        <v/>
      </c>
      <c r="J141" s="248"/>
    </row>
    <row r="142" spans="2:10" ht="15.95" hidden="1" customHeight="1" outlineLevel="1">
      <c r="B142" s="16"/>
      <c r="C142" s="69"/>
      <c r="D142" s="243"/>
      <c r="E142" s="328" t="str">
        <f>IF(ISBLANK(C142),"",IFERROR(IF(fnStepCostHourly=0,fnStepNotAvail,IF(ISBLANK(D142),"",fnStepCostHourly*$D142*VLOOKUP(BasisYear,ChemPPI[],14,FALSE)/VLOOKUP(2017,ChemPPI[],14,FALSE))),""))</f>
        <v/>
      </c>
      <c r="F142" s="328" t="str">
        <f t="shared" si="6"/>
        <v/>
      </c>
      <c r="G142" s="327" t="str">
        <f t="shared" si="7"/>
        <v/>
      </c>
      <c r="H142" s="245"/>
      <c r="I142" s="244" t="str">
        <f>IFERROR(VLOOKUP($C142,Steps[],5,FALSE),"")</f>
        <v/>
      </c>
      <c r="J142" s="248"/>
    </row>
    <row r="143" spans="2:10" ht="15.95" hidden="1" customHeight="1" outlineLevel="1">
      <c r="B143" s="16"/>
      <c r="C143" s="69"/>
      <c r="D143" s="243"/>
      <c r="E143" s="328" t="str">
        <f>IF(ISBLANK(C143),"",IFERROR(IF(fnStepCostHourly=0,fnStepNotAvail,IF(ISBLANK(D143),"",fnStepCostHourly*$D143*VLOOKUP(BasisYear,ChemPPI[],14,FALSE)/VLOOKUP(2017,ChemPPI[],14,FALSE))),""))</f>
        <v/>
      </c>
      <c r="F143" s="328" t="str">
        <f t="shared" si="6"/>
        <v/>
      </c>
      <c r="G143" s="327" t="str">
        <f t="shared" si="7"/>
        <v/>
      </c>
      <c r="H143" s="245"/>
      <c r="I143" s="244" t="str">
        <f>IFERROR(VLOOKUP($C143,Steps[],5,FALSE),"")</f>
        <v/>
      </c>
      <c r="J143" s="248"/>
    </row>
    <row r="144" spans="2:10" ht="15.95" hidden="1" customHeight="1" outlineLevel="1">
      <c r="B144" s="16"/>
      <c r="C144" s="69"/>
      <c r="D144" s="243"/>
      <c r="E144" s="328" t="str">
        <f>IF(ISBLANK(C144),"",IFERROR(IF(fnStepCostHourly=0,fnStepNotAvail,IF(ISBLANK(D144),"",fnStepCostHourly*$D144*VLOOKUP(BasisYear,ChemPPI[],14,FALSE)/VLOOKUP(2017,ChemPPI[],14,FALSE))),""))</f>
        <v/>
      </c>
      <c r="F144" s="328" t="str">
        <f t="shared" si="6"/>
        <v/>
      </c>
      <c r="G144" s="327" t="str">
        <f t="shared" si="7"/>
        <v/>
      </c>
      <c r="H144" s="245"/>
      <c r="I144" s="244" t="str">
        <f>IFERROR(VLOOKUP($C144,Steps[],5,FALSE),"")</f>
        <v/>
      </c>
      <c r="J144" s="248"/>
    </row>
    <row r="145" spans="1:10" ht="15.95" hidden="1" customHeight="1" outlineLevel="1">
      <c r="B145" s="16"/>
      <c r="C145" s="69"/>
      <c r="D145" s="243"/>
      <c r="E145" s="328" t="str">
        <f>IF(ISBLANK(C145),"",IFERROR(IF(fnStepCostHourly=0,fnStepNotAvail,IF(ISBLANK(D145),"",fnStepCostHourly*$D145*VLOOKUP(BasisYear,ChemPPI[],14,FALSE)/VLOOKUP(2017,ChemPPI[],14,FALSE))),""))</f>
        <v/>
      </c>
      <c r="F145" s="328" t="str">
        <f t="shared" si="6"/>
        <v/>
      </c>
      <c r="G145" s="327" t="str">
        <f t="shared" si="7"/>
        <v/>
      </c>
      <c r="H145" s="245"/>
      <c r="I145" s="244" t="str">
        <f>IFERROR(VLOOKUP($C145,Steps[],5,FALSE),"")</f>
        <v/>
      </c>
      <c r="J145" s="248"/>
    </row>
    <row r="146" spans="1:10" ht="15.95" hidden="1" customHeight="1" outlineLevel="1">
      <c r="B146" s="16"/>
      <c r="C146" s="69"/>
      <c r="D146" s="243"/>
      <c r="E146" s="328" t="str">
        <f>IF(ISBLANK(C146),"",IFERROR(IF(fnStepCostHourly=0,fnStepNotAvail,IF(ISBLANK(D146),"",fnStepCostHourly*$D146*VLOOKUP(BasisYear,ChemPPI[],14,FALSE)/VLOOKUP(2017,ChemPPI[],14,FALSE))),""))</f>
        <v/>
      </c>
      <c r="F146" s="328" t="str">
        <f t="shared" si="6"/>
        <v/>
      </c>
      <c r="G146" s="327" t="str">
        <f t="shared" si="7"/>
        <v/>
      </c>
      <c r="H146" s="245"/>
      <c r="I146" s="244" t="str">
        <f>IFERROR(VLOOKUP($C146,Steps[],5,FALSE),"")</f>
        <v/>
      </c>
      <c r="J146" s="248"/>
    </row>
    <row r="147" spans="1:10" ht="15.95" hidden="1" customHeight="1" outlineLevel="1">
      <c r="B147" s="16"/>
      <c r="C147" s="69"/>
      <c r="D147" s="243"/>
      <c r="E147" s="328" t="str">
        <f>IF(ISBLANK(C147),"",IFERROR(IF(fnStepCostHourly=0,fnStepNotAvail,IF(ISBLANK(D147),"",fnStepCostHourly*$D147*VLOOKUP(BasisYear,ChemPPI[],14,FALSE)/VLOOKUP(2017,ChemPPI[],14,FALSE))),""))</f>
        <v/>
      </c>
      <c r="F147" s="328" t="str">
        <f t="shared" si="6"/>
        <v/>
      </c>
      <c r="G147" s="327" t="str">
        <f t="shared" si="7"/>
        <v/>
      </c>
      <c r="H147" s="245"/>
      <c r="I147" s="244" t="str">
        <f>IFERROR(VLOOKUP($C147,Steps[],5,FALSE),"")</f>
        <v/>
      </c>
      <c r="J147" s="248"/>
    </row>
    <row r="148" spans="1:10" ht="15.95" hidden="1" customHeight="1" outlineLevel="1">
      <c r="B148" s="16"/>
      <c r="C148" s="69"/>
      <c r="D148" s="243"/>
      <c r="E148" s="328" t="str">
        <f>IF(ISBLANK(C148),"",IFERROR(IF(fnStepCostHourly=0,fnStepNotAvail,IF(ISBLANK(D148),"",fnStepCostHourly*$D148*VLOOKUP(BasisYear,ChemPPI[],14,FALSE)/VLOOKUP(2017,ChemPPI[],14,FALSE))),""))</f>
        <v/>
      </c>
      <c r="F148" s="328" t="str">
        <f t="shared" si="6"/>
        <v/>
      </c>
      <c r="G148" s="327" t="str">
        <f t="shared" si="7"/>
        <v/>
      </c>
      <c r="H148" s="245"/>
      <c r="I148" s="244" t="str">
        <f>IFERROR(VLOOKUP($C148,Steps[],5,FALSE),"")</f>
        <v/>
      </c>
      <c r="J148" s="248"/>
    </row>
    <row r="149" spans="1:10" ht="15.95" hidden="1" customHeight="1" outlineLevel="1">
      <c r="B149" s="16"/>
      <c r="C149" s="69"/>
      <c r="D149" s="243"/>
      <c r="E149" s="328" t="str">
        <f>IF(ISBLANK(C149),"",IFERROR(IF(fnStepCostHourly=0,fnStepNotAvail,IF(ISBLANK(D149),"",fnStepCostHourly*$D149*VLOOKUP(BasisYear,ChemPPI[],14,FALSE)/VLOOKUP(2017,ChemPPI[],14,FALSE))),""))</f>
        <v/>
      </c>
      <c r="F149" s="328" t="str">
        <f t="shared" si="6"/>
        <v/>
      </c>
      <c r="G149" s="327" t="str">
        <f t="shared" si="7"/>
        <v/>
      </c>
      <c r="H149" s="245"/>
      <c r="I149" s="244" t="str">
        <f>IFERROR(VLOOKUP($C149,Steps[],5,FALSE),"")</f>
        <v/>
      </c>
      <c r="J149" s="248"/>
    </row>
    <row r="150" spans="1:10" ht="15.95" hidden="1" customHeight="1" outlineLevel="1">
      <c r="B150" s="16"/>
      <c r="C150" s="69"/>
      <c r="D150" s="243"/>
      <c r="E150" s="328" t="str">
        <f>IF(ISBLANK(C150),"",IFERROR(IF(fnStepCostHourly=0,fnStepNotAvail,IF(ISBLANK(D150),"",fnStepCostHourly*$D150*VLOOKUP(BasisYear,ChemPPI[],14,FALSE)/VLOOKUP(2017,ChemPPI[],14,FALSE))),""))</f>
        <v/>
      </c>
      <c r="F150" s="328" t="str">
        <f t="shared" si="6"/>
        <v/>
      </c>
      <c r="G150" s="327" t="str">
        <f t="shared" si="7"/>
        <v/>
      </c>
      <c r="H150" s="245"/>
      <c r="I150" s="244" t="str">
        <f>IFERROR(VLOOKUP($C150,Steps[],5,FALSE),"")</f>
        <v/>
      </c>
      <c r="J150" s="248"/>
    </row>
    <row r="151" spans="1:10" ht="16.5" hidden="1" outlineLevel="1" thickBot="1">
      <c r="B151" s="249"/>
      <c r="C151" s="250"/>
      <c r="D151" s="250"/>
      <c r="E151" s="250"/>
      <c r="F151" s="250"/>
      <c r="G151" s="250"/>
      <c r="H151" s="250"/>
      <c r="I151" s="250"/>
      <c r="J151" s="251"/>
    </row>
    <row r="152" spans="1:10" ht="16.5" collapsed="1" thickBot="1">
      <c r="A152" s="300" t="str">
        <f>"&lt;– show/hide "&amp;B120</f>
        <v>&lt;– show/hide Step Process Template: Metal Carbide (Bulk)</v>
      </c>
    </row>
    <row r="153" spans="1:10" ht="21" thickBot="1">
      <c r="B153" s="341" t="str">
        <f>"Step Process Template: "&amp;C156</f>
        <v>Step Process Template: Metal Carbide on Metal Oxide</v>
      </c>
      <c r="C153" s="342"/>
      <c r="D153" s="342"/>
      <c r="E153" s="342"/>
      <c r="F153" s="342"/>
      <c r="G153" s="342"/>
      <c r="H153" s="343"/>
    </row>
    <row r="154" spans="1:10" hidden="1" outlineLevel="1">
      <c r="B154" s="13"/>
      <c r="C154" s="14"/>
      <c r="D154" s="14"/>
      <c r="E154" s="14"/>
      <c r="F154" s="14"/>
      <c r="G154" s="14"/>
      <c r="H154" s="15"/>
      <c r="J154" s="198"/>
    </row>
    <row r="155" spans="1:10" hidden="1" outlineLevel="1">
      <c r="B155" s="16"/>
      <c r="C155" s="17" t="s">
        <v>1045</v>
      </c>
      <c r="D155" s="253" t="s">
        <v>953</v>
      </c>
      <c r="E155" s="64" t="s">
        <v>945</v>
      </c>
      <c r="F155" s="64" t="s">
        <v>946</v>
      </c>
      <c r="G155" s="64" t="str">
        <f>"Cost ($/"&amp;OutMassUnit&amp;" catalyst)"</f>
        <v>Cost ($/kg catalyst)</v>
      </c>
      <c r="H155" s="247"/>
      <c r="J155" s="198"/>
    </row>
    <row r="156" spans="1:10" ht="15.95" hidden="1" customHeight="1" outlineLevel="1">
      <c r="B156" s="16"/>
      <c r="C156" s="18" t="s">
        <v>993</v>
      </c>
      <c r="D156" s="253"/>
      <c r="E156" s="330">
        <f>SUM(E164:E183)</f>
        <v>2405.5116928341995</v>
      </c>
      <c r="F156" s="330">
        <f>SUM(F164:F183)</f>
        <v>96220.46771336798</v>
      </c>
      <c r="G156" s="329">
        <f>SUM(G164:G183)</f>
        <v>1.060649099028804</v>
      </c>
      <c r="H156" s="322"/>
      <c r="J156" s="198"/>
    </row>
    <row r="157" spans="1:10" ht="15.95" hidden="1" customHeight="1" outlineLevel="1">
      <c r="B157" s="16"/>
      <c r="C157" s="339" t="str">
        <f>"Name: "&amp;C156</f>
        <v>Name: Metal Carbide on Metal Oxide</v>
      </c>
      <c r="D157" s="253"/>
      <c r="E157" s="333"/>
      <c r="F157" s="333"/>
      <c r="G157" s="334"/>
      <c r="H157" s="322"/>
      <c r="J157" s="198"/>
    </row>
    <row r="158" spans="1:10" ht="15.95" hidden="1" customHeight="1" outlineLevel="1">
      <c r="B158" s="16"/>
      <c r="C158" s="17" t="s">
        <v>1060</v>
      </c>
      <c r="D158" s="253"/>
      <c r="E158" s="333"/>
      <c r="F158" s="333"/>
      <c r="G158" s="334"/>
      <c r="H158" s="322"/>
      <c r="J158" s="198"/>
    </row>
    <row r="159" spans="1:10" ht="15.95" hidden="1" customHeight="1" outlineLevel="1">
      <c r="B159" s="16"/>
      <c r="C159" s="18" t="s">
        <v>1064</v>
      </c>
      <c r="D159" s="253"/>
      <c r="E159" s="333"/>
      <c r="F159" s="333"/>
      <c r="G159" s="334"/>
      <c r="H159" s="322"/>
      <c r="J159" s="198"/>
    </row>
    <row r="160" spans="1:10" ht="15.95" hidden="1" customHeight="1" outlineLevel="1">
      <c r="B160" s="16"/>
      <c r="C160" s="18" t="s">
        <v>1063</v>
      </c>
      <c r="D160" s="253"/>
      <c r="E160" s="333"/>
      <c r="F160" s="333"/>
      <c r="G160" s="334"/>
      <c r="H160" s="322"/>
      <c r="J160" s="198"/>
    </row>
    <row r="161" spans="2:10" ht="16.5" hidden="1" outlineLevel="1" thickBot="1">
      <c r="B161" s="21"/>
      <c r="C161" s="22"/>
      <c r="D161" s="22"/>
      <c r="E161" s="22"/>
      <c r="F161" s="22"/>
      <c r="G161" s="22"/>
      <c r="H161" s="23"/>
      <c r="J161" s="198"/>
    </row>
    <row r="162" spans="2:10" ht="15.95" hidden="1" customHeight="1" outlineLevel="1">
      <c r="B162" s="16"/>
      <c r="C162" s="18"/>
      <c r="D162" s="18"/>
      <c r="E162" s="18"/>
      <c r="F162" s="18"/>
      <c r="G162" s="18"/>
      <c r="H162" s="18"/>
      <c r="I162" s="14"/>
      <c r="J162" s="15"/>
    </row>
    <row r="163" spans="2:10" ht="17.100000000000001" hidden="1" customHeight="1" outlineLevel="1">
      <c r="B163" s="16"/>
      <c r="C163" s="325" t="s">
        <v>930</v>
      </c>
      <c r="D163" s="325" t="s">
        <v>307</v>
      </c>
      <c r="E163" s="325" t="s">
        <v>945</v>
      </c>
      <c r="F163" s="325" t="s">
        <v>946</v>
      </c>
      <c r="G163" s="325" t="str">
        <f>"Cost ($/"&amp;OutMassUnit&amp;" catalyst)"</f>
        <v>Cost ($/kg catalyst)</v>
      </c>
      <c r="H163" s="325"/>
      <c r="I163" s="325" t="s">
        <v>205</v>
      </c>
      <c r="J163" s="247"/>
    </row>
    <row r="164" spans="2:10" ht="15.95" hidden="1" customHeight="1" outlineLevel="1">
      <c r="B164" s="16"/>
      <c r="C164" s="323" t="s">
        <v>924</v>
      </c>
      <c r="D164" s="324">
        <v>1</v>
      </c>
      <c r="E164" s="328">
        <f>IF(ISBLANK(C164),"",IFERROR(IF(fnStepCostHourly=0,fnStepNotAvail,IF(ISBLANK(D164),"",fnStepCostHourly*$D164*VLOOKUP(BasisYear,ChemPPI[],14,FALSE)/VLOOKUP(2017,ChemPPI[],14,FALSE))),""))</f>
        <v>192.44093542673596</v>
      </c>
      <c r="F164" s="328">
        <f t="shared" ref="F164:F183" si="8">IFERROR($E164*$D$9*24,$E164)</f>
        <v>7697.637417069438</v>
      </c>
      <c r="G164" s="327">
        <f t="shared" ref="G164:G183" si="9">IFERROR($F164/$D$7,$F164)</f>
        <v>8.485192792230431E-2</v>
      </c>
      <c r="H164" s="245"/>
      <c r="I164" s="244" t="str">
        <f>IFERROR(VLOOKUP($C164,Steps[],5,FALSE),"")</f>
        <v>-</v>
      </c>
      <c r="J164" s="248"/>
    </row>
    <row r="165" spans="2:10" ht="15.95" hidden="1" customHeight="1" outlineLevel="1">
      <c r="B165" s="16"/>
      <c r="C165" s="69" t="s">
        <v>916</v>
      </c>
      <c r="D165" s="243">
        <v>1</v>
      </c>
      <c r="E165" s="328">
        <f>IF(ISBLANK(C165),"",IFERROR(IF(fnStepCostHourly=0,fnStepNotAvail,IF(ISBLANK(D165),"",fnStepCostHourly*$D165*VLOOKUP(BasisYear,ChemPPI[],14,FALSE)/VLOOKUP(2017,ChemPPI[],14,FALSE))),""))</f>
        <v>192.44093542673596</v>
      </c>
      <c r="F165" s="328">
        <f t="shared" si="8"/>
        <v>7697.637417069438</v>
      </c>
      <c r="G165" s="327">
        <f t="shared" si="9"/>
        <v>8.485192792230431E-2</v>
      </c>
      <c r="H165" s="245"/>
      <c r="I165" s="244" t="str">
        <f>IFERROR(VLOOKUP($C165,Steps[],5,FALSE),"")</f>
        <v>-</v>
      </c>
      <c r="J165" s="248"/>
    </row>
    <row r="166" spans="2:10" ht="15.95" hidden="1" customHeight="1" outlineLevel="1">
      <c r="B166" s="16"/>
      <c r="C166" s="335" t="s">
        <v>938</v>
      </c>
      <c r="D166" s="336">
        <f>1*IF($D$6&lt;5,0,IF($D$6&lt;70,1,1))</f>
        <v>1</v>
      </c>
      <c r="E166" s="328">
        <f>IF(ISBLANK(C166),"",IFERROR(IF(fnStepCostHourly=0,fnStepNotAvail,IF(ISBLANK(D166),"",fnStepCostHourly*$D166*VLOOKUP(BasisYear,ChemPPI[],14,FALSE)/VLOOKUP(2017,ChemPPI[],14,FALSE))),""))</f>
        <v>312.71652006844596</v>
      </c>
      <c r="F166" s="328">
        <f t="shared" si="8"/>
        <v>12508.660802737839</v>
      </c>
      <c r="G166" s="327">
        <f t="shared" si="9"/>
        <v>0.13788438287374452</v>
      </c>
      <c r="H166" s="245"/>
      <c r="I166" s="244" t="str">
        <f>IFERROR(VLOOKUP($C166,Steps[],5,FALSE),"")</f>
        <v>A.k.a. calciner. Sub with batch kiln at small scale</v>
      </c>
      <c r="J166" s="248"/>
    </row>
    <row r="167" spans="2:10" ht="15.95" hidden="1" customHeight="1" outlineLevel="1">
      <c r="B167" s="16"/>
      <c r="C167" s="335" t="s">
        <v>940</v>
      </c>
      <c r="D167" s="336">
        <f>1*IF($D$6&lt;5,1,IF($D$6&lt;70,0,0))</f>
        <v>0</v>
      </c>
      <c r="E167" s="328" t="str">
        <f>IF(ISBLANK(C167),"",IFERROR(IF(fnStepCostHourly=0,fnStepNotAvail,IF(ISBLANK(D167),"",fnStepCostHourly*$D167*VLOOKUP(BasisYear,ChemPPI[],14,FALSE)/VLOOKUP(2017,ChemPPI[],14,FALSE))),""))</f>
        <v>N/A at large scale</v>
      </c>
      <c r="F167" s="328" t="str">
        <f t="shared" si="8"/>
        <v>N/A at large scale</v>
      </c>
      <c r="G167" s="327" t="str">
        <f t="shared" si="9"/>
        <v>N/A at large scale</v>
      </c>
      <c r="H167" s="245"/>
      <c r="I167" s="244" t="str">
        <f>IFERROR(VLOOKUP($C167,Steps[],5,FALSE),"")</f>
        <v>A.k.a. calciner. Sub with continuous kiln at M/L scale</v>
      </c>
      <c r="J167" s="248"/>
    </row>
    <row r="168" spans="2:10" ht="15.95" hidden="1" customHeight="1" outlineLevel="1">
      <c r="B168" s="16"/>
      <c r="C168" s="69" t="s">
        <v>931</v>
      </c>
      <c r="D168" s="243">
        <v>1</v>
      </c>
      <c r="E168" s="328">
        <f>IF(ISBLANK(C168),"",IFERROR(IF(fnStepCostHourly=0,fnStepNotAvail,IF(ISBLANK(D168),"",fnStepCostHourly*$D168*VLOOKUP(BasisYear,ChemPPI[],14,FALSE)/VLOOKUP(2017,ChemPPI[],14,FALSE))),""))</f>
        <v>192.44093542673596</v>
      </c>
      <c r="F168" s="328">
        <f t="shared" si="8"/>
        <v>7697.637417069438</v>
      </c>
      <c r="G168" s="327">
        <f t="shared" si="9"/>
        <v>8.485192792230431E-2</v>
      </c>
      <c r="H168" s="245"/>
      <c r="I168" s="244" t="str">
        <f>IFERROR(VLOOKUP($C168,Steps[],5,FALSE),"")</f>
        <v>-</v>
      </c>
      <c r="J168" s="248"/>
    </row>
    <row r="169" spans="2:10" ht="15.95" hidden="1" customHeight="1" outlineLevel="1">
      <c r="B169" s="16" t="s">
        <v>1069</v>
      </c>
      <c r="C169" s="69" t="s">
        <v>917</v>
      </c>
      <c r="D169" s="243">
        <v>1</v>
      </c>
      <c r="E169" s="328">
        <f>IF(ISBLANK(C169),"",IFERROR(IF(fnStepCostHourly=0,fnStepNotAvail,IF(ISBLANK(D169),"",fnStepCostHourly*$D169*VLOOKUP(BasisYear,ChemPPI[],14,FALSE)/VLOOKUP(2017,ChemPPI[],14,FALSE))),""))</f>
        <v>288.66140314010391</v>
      </c>
      <c r="F169" s="328">
        <f t="shared" si="8"/>
        <v>11546.456125604156</v>
      </c>
      <c r="G169" s="327">
        <f t="shared" si="9"/>
        <v>0.12727789188345645</v>
      </c>
      <c r="H169" s="245"/>
      <c r="I169" s="244" t="str">
        <f>IFERROR(VLOOKUP($C169,Steps[],5,FALSE),"")</f>
        <v>-</v>
      </c>
      <c r="J169" s="248"/>
    </row>
    <row r="170" spans="2:10" ht="15.95" hidden="1" customHeight="1" outlineLevel="1">
      <c r="B170" s="16" t="s">
        <v>1062</v>
      </c>
      <c r="C170" s="335" t="s">
        <v>919</v>
      </c>
      <c r="D170" s="336">
        <f>1*IF($D$6&lt;5,0,IF($D$6&lt;70,1,1))</f>
        <v>1</v>
      </c>
      <c r="E170" s="328">
        <f>IF(ISBLANK(C170),"",IFERROR(IF(fnStepCostHourly=0,fnStepNotAvail,IF(ISBLANK(D170),"",fnStepCostHourly*$D170*VLOOKUP(BasisYear,ChemPPI[],14,FALSE)/VLOOKUP(2017,ChemPPI[],14,FALSE))),""))</f>
        <v>288.66140314010391</v>
      </c>
      <c r="F170" s="328">
        <f t="shared" si="8"/>
        <v>11546.456125604156</v>
      </c>
      <c r="G170" s="327">
        <f t="shared" si="9"/>
        <v>0.12727789188345645</v>
      </c>
      <c r="H170" s="245"/>
      <c r="I170" s="244" t="str">
        <f>IFERROR(VLOOKUP($C170,Steps[],5,FALSE),"")</f>
        <v>Substitute with plate and frame at small scale</v>
      </c>
      <c r="J170" s="248"/>
    </row>
    <row r="171" spans="2:10" ht="15.95" hidden="1" customHeight="1" outlineLevel="1">
      <c r="B171" s="337" t="s">
        <v>1070</v>
      </c>
      <c r="C171" s="335" t="s">
        <v>921</v>
      </c>
      <c r="D171" s="336">
        <f>1*IF($D$6&lt;5,1,IF($D$6&lt;70,0,0))</f>
        <v>0</v>
      </c>
      <c r="E171" s="328" t="str">
        <f>IF(ISBLANK(C171),"",IFERROR(IF(fnStepCostHourly=0,fnStepNotAvail,IF(ISBLANK(D171),"",fnStepCostHourly*$D171*VLOOKUP(BasisYear,ChemPPI[],14,FALSE)/VLOOKUP(2017,ChemPPI[],14,FALSE))),""))</f>
        <v>N/A at large scale</v>
      </c>
      <c r="F171" s="328" t="str">
        <f t="shared" si="8"/>
        <v>N/A at large scale</v>
      </c>
      <c r="G171" s="327" t="str">
        <f t="shared" si="9"/>
        <v>N/A at large scale</v>
      </c>
      <c r="H171" s="245"/>
      <c r="I171" s="244" t="str">
        <f>IFERROR(VLOOKUP($C171,Steps[],5,FALSE),"")</f>
        <v>Substitute with belt or rotary vacuum at M/L scale</v>
      </c>
      <c r="J171" s="248"/>
    </row>
    <row r="172" spans="2:10" ht="15.95" hidden="1" customHeight="1" outlineLevel="1">
      <c r="B172" s="16" t="s">
        <v>1069</v>
      </c>
      <c r="C172" s="69" t="s">
        <v>1066</v>
      </c>
      <c r="D172" s="243">
        <v>1</v>
      </c>
      <c r="E172" s="328">
        <f>IF(ISBLANK(C172),"",IFERROR(IF(fnStepCostHourly=0,fnStepNotAvail,IF(ISBLANK(D172),"",fnStepCostHourly*$D172*VLOOKUP(BasisYear,ChemPPI[],14,FALSE)/VLOOKUP(2017,ChemPPI[],14,FALSE))),""))</f>
        <v>192.44093542673596</v>
      </c>
      <c r="F172" s="328">
        <f t="shared" si="8"/>
        <v>7697.637417069438</v>
      </c>
      <c r="G172" s="327">
        <f t="shared" si="9"/>
        <v>8.485192792230431E-2</v>
      </c>
      <c r="H172" s="245"/>
      <c r="I172" s="244" t="str">
        <f>IFERROR(VLOOKUP($C172,Steps[],5,FALSE),"")</f>
        <v>-</v>
      </c>
      <c r="J172" s="248"/>
    </row>
    <row r="173" spans="2:10" ht="15.95" hidden="1" customHeight="1" outlineLevel="1">
      <c r="B173" s="16"/>
      <c r="C173" s="335" t="s">
        <v>938</v>
      </c>
      <c r="D173" s="336">
        <f>1*IF($D$6&lt;5,0,IF($D$6&lt;70,1,1))</f>
        <v>1</v>
      </c>
      <c r="E173" s="328">
        <f>IF(ISBLANK(C173),"",IFERROR(IF(fnStepCostHourly=0,fnStepNotAvail,IF(ISBLANK(D173),"",fnStepCostHourly*$D173*VLOOKUP(BasisYear,ChemPPI[],14,FALSE)/VLOOKUP(2017,ChemPPI[],14,FALSE))),""))</f>
        <v>312.71652006844596</v>
      </c>
      <c r="F173" s="328">
        <f t="shared" si="8"/>
        <v>12508.660802737839</v>
      </c>
      <c r="G173" s="327">
        <f t="shared" si="9"/>
        <v>0.13788438287374452</v>
      </c>
      <c r="H173" s="245"/>
      <c r="I173" s="244" t="str">
        <f>IFERROR(VLOOKUP($C173,Steps[],5,FALSE),"")</f>
        <v>A.k.a. calciner. Sub with batch kiln at small scale</v>
      </c>
      <c r="J173" s="248"/>
    </row>
    <row r="174" spans="2:10" ht="15.95" hidden="1" customHeight="1" outlineLevel="1">
      <c r="B174" s="16"/>
      <c r="C174" s="335" t="s">
        <v>940</v>
      </c>
      <c r="D174" s="336">
        <f>1*IF($D$6&lt;5,1,IF($D$6&lt;70,0,0))</f>
        <v>0</v>
      </c>
      <c r="E174" s="328" t="str">
        <f>IF(ISBLANK(C174),"",IFERROR(IF(fnStepCostHourly=0,fnStepNotAvail,IF(ISBLANK(D174),"",fnStepCostHourly*$D174*VLOOKUP(BasisYear,ChemPPI[],14,FALSE)/VLOOKUP(2017,ChemPPI[],14,FALSE))),""))</f>
        <v>N/A at large scale</v>
      </c>
      <c r="F174" s="328" t="str">
        <f t="shared" si="8"/>
        <v>N/A at large scale</v>
      </c>
      <c r="G174" s="327" t="str">
        <f t="shared" si="9"/>
        <v>N/A at large scale</v>
      </c>
      <c r="H174" s="245"/>
      <c r="I174" s="244" t="str">
        <f>IFERROR(VLOOKUP($C174,Steps[],5,FALSE),"")</f>
        <v>A.k.a. calciner. Sub with continuous kiln at M/L scale</v>
      </c>
      <c r="J174" s="248"/>
    </row>
    <row r="175" spans="2:10" ht="15.95" hidden="1" customHeight="1" outlineLevel="1">
      <c r="B175" s="16"/>
      <c r="C175" s="69" t="s">
        <v>918</v>
      </c>
      <c r="D175" s="243">
        <v>1</v>
      </c>
      <c r="E175" s="328">
        <f>IF(ISBLANK(C175),"",IFERROR(IF(fnStepCostHourly=0,fnStepNotAvail,IF(ISBLANK(D175),"",fnStepCostHourly*$D175*VLOOKUP(BasisYear,ChemPPI[],14,FALSE)/VLOOKUP(2017,ChemPPI[],14,FALSE))),""))</f>
        <v>144.33070157005196</v>
      </c>
      <c r="F175" s="328">
        <f t="shared" si="8"/>
        <v>5773.2280628020781</v>
      </c>
      <c r="G175" s="327">
        <f t="shared" si="9"/>
        <v>6.3638945941728225E-2</v>
      </c>
      <c r="H175" s="245"/>
      <c r="I175" s="244" t="str">
        <f>IFERROR(VLOOKUP($C175,Steps[],5,FALSE),"")</f>
        <v>-</v>
      </c>
      <c r="J175" s="248"/>
    </row>
    <row r="176" spans="2:10" ht="15.95" hidden="1" customHeight="1" outlineLevel="1">
      <c r="B176" s="16"/>
      <c r="C176" s="69" t="s">
        <v>1065</v>
      </c>
      <c r="D176" s="243">
        <v>1</v>
      </c>
      <c r="E176" s="328">
        <f>IF(ISBLANK(C176),"",IFERROR(IF(fnStepCostHourly=0,fnStepNotAvail,IF(ISBLANK(D176),"",fnStepCostHourly*$D176*VLOOKUP(BasisYear,ChemPPI[],14,FALSE)/VLOOKUP(2017,ChemPPI[],14,FALSE))),""))</f>
        <v>288.66140314010391</v>
      </c>
      <c r="F176" s="328">
        <f t="shared" si="8"/>
        <v>11546.456125604156</v>
      </c>
      <c r="G176" s="327">
        <f t="shared" si="9"/>
        <v>0.12727789188345645</v>
      </c>
      <c r="H176" s="245"/>
      <c r="I176" s="244" t="str">
        <f>IFERROR(VLOOKUP($C176,Steps[],5,FALSE),"")</f>
        <v>For higher temp use kiln</v>
      </c>
      <c r="J176" s="248"/>
    </row>
    <row r="177" spans="1:10" ht="15.95" hidden="1" customHeight="1" outlineLevel="1">
      <c r="B177" s="16"/>
      <c r="C177" s="69"/>
      <c r="D177" s="243"/>
      <c r="E177" s="328" t="str">
        <f>IF(ISBLANK(C177),"",IFERROR(IF(fnStepCostHourly=0,fnStepNotAvail,IF(ISBLANK(D177),"",fnStepCostHourly*$D177*VLOOKUP(BasisYear,ChemPPI[],14,FALSE)/VLOOKUP(2017,ChemPPI[],14,FALSE))),""))</f>
        <v/>
      </c>
      <c r="F177" s="328" t="str">
        <f t="shared" si="8"/>
        <v/>
      </c>
      <c r="G177" s="327" t="str">
        <f t="shared" si="9"/>
        <v/>
      </c>
      <c r="H177" s="245"/>
      <c r="I177" s="244" t="str">
        <f>IFERROR(VLOOKUP($C177,Steps[],5,FALSE),"")</f>
        <v/>
      </c>
      <c r="J177" s="248"/>
    </row>
    <row r="178" spans="1:10" ht="15.95" hidden="1" customHeight="1" outlineLevel="1">
      <c r="B178" s="16"/>
      <c r="C178" s="69"/>
      <c r="D178" s="243"/>
      <c r="E178" s="328" t="str">
        <f>IF(ISBLANK(C178),"",IFERROR(IF(fnStepCostHourly=0,fnStepNotAvail,IF(ISBLANK(D178),"",fnStepCostHourly*$D178*VLOOKUP(BasisYear,ChemPPI[],14,FALSE)/VLOOKUP(2017,ChemPPI[],14,FALSE))),""))</f>
        <v/>
      </c>
      <c r="F178" s="328" t="str">
        <f t="shared" si="8"/>
        <v/>
      </c>
      <c r="G178" s="327" t="str">
        <f t="shared" si="9"/>
        <v/>
      </c>
      <c r="H178" s="245"/>
      <c r="I178" s="244" t="str">
        <f>IFERROR(VLOOKUP($C178,Steps[],5,FALSE),"")</f>
        <v/>
      </c>
      <c r="J178" s="248"/>
    </row>
    <row r="179" spans="1:10" ht="15.95" hidden="1" customHeight="1" outlineLevel="1">
      <c r="B179" s="16"/>
      <c r="C179" s="69"/>
      <c r="D179" s="243"/>
      <c r="E179" s="328" t="str">
        <f>IF(ISBLANK(C179),"",IFERROR(IF(fnStepCostHourly=0,fnStepNotAvail,IF(ISBLANK(D179),"",fnStepCostHourly*$D179*VLOOKUP(BasisYear,ChemPPI[],14,FALSE)/VLOOKUP(2017,ChemPPI[],14,FALSE))),""))</f>
        <v/>
      </c>
      <c r="F179" s="328" t="str">
        <f t="shared" si="8"/>
        <v/>
      </c>
      <c r="G179" s="327" t="str">
        <f t="shared" si="9"/>
        <v/>
      </c>
      <c r="H179" s="245"/>
      <c r="I179" s="244" t="str">
        <f>IFERROR(VLOOKUP($C179,Steps[],5,FALSE),"")</f>
        <v/>
      </c>
      <c r="J179" s="248"/>
    </row>
    <row r="180" spans="1:10" ht="15.95" hidden="1" customHeight="1" outlineLevel="1">
      <c r="B180" s="16"/>
      <c r="C180" s="69"/>
      <c r="D180" s="243"/>
      <c r="E180" s="328" t="str">
        <f>IF(ISBLANK(C180),"",IFERROR(IF(fnStepCostHourly=0,fnStepNotAvail,IF(ISBLANK(D180),"",fnStepCostHourly*$D180*VLOOKUP(BasisYear,ChemPPI[],14,FALSE)/VLOOKUP(2017,ChemPPI[],14,FALSE))),""))</f>
        <v/>
      </c>
      <c r="F180" s="328" t="str">
        <f t="shared" si="8"/>
        <v/>
      </c>
      <c r="G180" s="327" t="str">
        <f t="shared" si="9"/>
        <v/>
      </c>
      <c r="H180" s="245"/>
      <c r="I180" s="244" t="str">
        <f>IFERROR(VLOOKUP($C180,Steps[],5,FALSE),"")</f>
        <v/>
      </c>
      <c r="J180" s="248"/>
    </row>
    <row r="181" spans="1:10" ht="15.95" hidden="1" customHeight="1" outlineLevel="1">
      <c r="B181" s="16"/>
      <c r="C181" s="69"/>
      <c r="D181" s="243"/>
      <c r="E181" s="328" t="str">
        <f>IF(ISBLANK(C181),"",IFERROR(IF(fnStepCostHourly=0,fnStepNotAvail,IF(ISBLANK(D181),"",fnStepCostHourly*$D181*VLOOKUP(BasisYear,ChemPPI[],14,FALSE)/VLOOKUP(2017,ChemPPI[],14,FALSE))),""))</f>
        <v/>
      </c>
      <c r="F181" s="328" t="str">
        <f t="shared" si="8"/>
        <v/>
      </c>
      <c r="G181" s="327" t="str">
        <f t="shared" si="9"/>
        <v/>
      </c>
      <c r="H181" s="245"/>
      <c r="I181" s="244" t="str">
        <f>IFERROR(VLOOKUP($C181,Steps[],5,FALSE),"")</f>
        <v/>
      </c>
      <c r="J181" s="248"/>
    </row>
    <row r="182" spans="1:10" ht="15.95" hidden="1" customHeight="1" outlineLevel="1">
      <c r="B182" s="16"/>
      <c r="C182" s="69"/>
      <c r="D182" s="243"/>
      <c r="E182" s="328" t="str">
        <f>IF(ISBLANK(C182),"",IFERROR(IF(fnStepCostHourly=0,fnStepNotAvail,IF(ISBLANK(D182),"",fnStepCostHourly*$D182*VLOOKUP(BasisYear,ChemPPI[],14,FALSE)/VLOOKUP(2017,ChemPPI[],14,FALSE))),""))</f>
        <v/>
      </c>
      <c r="F182" s="328" t="str">
        <f t="shared" si="8"/>
        <v/>
      </c>
      <c r="G182" s="327" t="str">
        <f t="shared" si="9"/>
        <v/>
      </c>
      <c r="H182" s="245"/>
      <c r="I182" s="244" t="str">
        <f>IFERROR(VLOOKUP($C182,Steps[],5,FALSE),"")</f>
        <v/>
      </c>
      <c r="J182" s="248"/>
    </row>
    <row r="183" spans="1:10" ht="15.95" hidden="1" customHeight="1" outlineLevel="1">
      <c r="B183" s="16"/>
      <c r="C183" s="69"/>
      <c r="D183" s="243"/>
      <c r="E183" s="328" t="str">
        <f>IF(ISBLANK(C183),"",IFERROR(IF(fnStepCostHourly=0,fnStepNotAvail,IF(ISBLANK(D183),"",fnStepCostHourly*$D183*VLOOKUP(BasisYear,ChemPPI[],14,FALSE)/VLOOKUP(2017,ChemPPI[],14,FALSE))),""))</f>
        <v/>
      </c>
      <c r="F183" s="328" t="str">
        <f t="shared" si="8"/>
        <v/>
      </c>
      <c r="G183" s="327" t="str">
        <f t="shared" si="9"/>
        <v/>
      </c>
      <c r="H183" s="245"/>
      <c r="I183" s="244" t="str">
        <f>IFERROR(VLOOKUP($C183,Steps[],5,FALSE),"")</f>
        <v/>
      </c>
      <c r="J183" s="248"/>
    </row>
    <row r="184" spans="1:10" ht="16.5" hidden="1" outlineLevel="1" thickBot="1">
      <c r="B184" s="249"/>
      <c r="C184" s="250"/>
      <c r="D184" s="250"/>
      <c r="E184" s="250"/>
      <c r="F184" s="250"/>
      <c r="G184" s="250"/>
      <c r="H184" s="250"/>
      <c r="I184" s="250"/>
      <c r="J184" s="251"/>
    </row>
    <row r="185" spans="1:10" ht="16.5" collapsed="1" thickBot="1">
      <c r="A185" s="300" t="str">
        <f>"&lt;– show/hide "&amp;B153</f>
        <v>&lt;– show/hide Step Process Template: Metal Carbide on Metal Oxide</v>
      </c>
    </row>
    <row r="186" spans="1:10" ht="21" thickBot="1">
      <c r="B186" s="341" t="str">
        <f>"Step Process Template: "&amp;C189</f>
        <v>Step Process Template: Metal (Earth Abundant) on Metal Oxide</v>
      </c>
      <c r="C186" s="342"/>
      <c r="D186" s="342"/>
      <c r="E186" s="342"/>
      <c r="F186" s="342"/>
      <c r="G186" s="342"/>
      <c r="H186" s="343"/>
    </row>
    <row r="187" spans="1:10" hidden="1" outlineLevel="1">
      <c r="B187" s="13"/>
      <c r="C187" s="14"/>
      <c r="D187" s="14"/>
      <c r="E187" s="14"/>
      <c r="F187" s="14"/>
      <c r="G187" s="14"/>
      <c r="H187" s="15"/>
      <c r="J187" s="198"/>
    </row>
    <row r="188" spans="1:10" hidden="1" outlineLevel="1">
      <c r="B188" s="16"/>
      <c r="C188" s="17" t="s">
        <v>1045</v>
      </c>
      <c r="D188" s="253" t="s">
        <v>953</v>
      </c>
      <c r="E188" s="64" t="s">
        <v>945</v>
      </c>
      <c r="F188" s="64" t="s">
        <v>946</v>
      </c>
      <c r="G188" s="64" t="str">
        <f>"Cost ($/"&amp;OutMassUnit&amp;" catalyst)"</f>
        <v>Cost ($/kg catalyst)</v>
      </c>
      <c r="H188" s="247"/>
      <c r="J188" s="198"/>
    </row>
    <row r="189" spans="1:10" ht="15.95" hidden="1" customHeight="1" outlineLevel="1">
      <c r="B189" s="16"/>
      <c r="C189" s="18" t="s">
        <v>1092</v>
      </c>
      <c r="D189" s="253"/>
      <c r="E189" s="330">
        <f>SUM(E197:E216)</f>
        <v>2285.2361081924892</v>
      </c>
      <c r="F189" s="330">
        <f>SUM(F197:F216)</f>
        <v>91409.444327699573</v>
      </c>
      <c r="G189" s="329">
        <f>SUM(G197:G216)</f>
        <v>1.0076166440773637</v>
      </c>
      <c r="H189" s="322"/>
      <c r="J189" s="198"/>
    </row>
    <row r="190" spans="1:10" ht="15.95" hidden="1" customHeight="1" outlineLevel="1">
      <c r="B190" s="16"/>
      <c r="C190" s="339" t="str">
        <f>"Name: "&amp;C189</f>
        <v>Name: Metal (Earth Abundant) on Metal Oxide</v>
      </c>
      <c r="D190" s="253"/>
      <c r="E190" s="333"/>
      <c r="F190" s="333"/>
      <c r="G190" s="334"/>
      <c r="H190" s="322"/>
      <c r="J190" s="198"/>
    </row>
    <row r="191" spans="1:10" ht="15.95" hidden="1" customHeight="1" outlineLevel="1">
      <c r="B191" s="16"/>
      <c r="C191" s="17" t="s">
        <v>1060</v>
      </c>
      <c r="D191" s="253"/>
      <c r="E191" s="333"/>
      <c r="F191" s="333"/>
      <c r="G191" s="334"/>
      <c r="H191" s="322"/>
      <c r="J191" s="198"/>
    </row>
    <row r="192" spans="1:10" ht="15.95" hidden="1" customHeight="1" outlineLevel="1">
      <c r="B192" s="16"/>
      <c r="C192" s="18" t="s">
        <v>1093</v>
      </c>
      <c r="D192" s="253"/>
      <c r="E192" s="333"/>
      <c r="F192" s="333"/>
      <c r="G192" s="334"/>
      <c r="H192" s="322"/>
      <c r="J192" s="198"/>
    </row>
    <row r="193" spans="2:10" ht="15.95" hidden="1" customHeight="1" outlineLevel="1">
      <c r="B193" s="16"/>
      <c r="C193" s="18" t="s">
        <v>1063</v>
      </c>
      <c r="D193" s="253"/>
      <c r="E193" s="333"/>
      <c r="F193" s="333"/>
      <c r="G193" s="334"/>
      <c r="H193" s="322"/>
      <c r="J193" s="198"/>
    </row>
    <row r="194" spans="2:10" ht="16.5" hidden="1" outlineLevel="1" thickBot="1">
      <c r="B194" s="21"/>
      <c r="C194" s="22"/>
      <c r="D194" s="22"/>
      <c r="E194" s="22"/>
      <c r="F194" s="22"/>
      <c r="G194" s="22"/>
      <c r="H194" s="23"/>
      <c r="J194" s="198"/>
    </row>
    <row r="195" spans="2:10" ht="15.95" hidden="1" customHeight="1" outlineLevel="1">
      <c r="B195" s="16"/>
      <c r="C195" s="18"/>
      <c r="D195" s="18"/>
      <c r="E195" s="18"/>
      <c r="F195" s="18"/>
      <c r="G195" s="18"/>
      <c r="H195" s="18"/>
      <c r="I195" s="14"/>
      <c r="J195" s="15"/>
    </row>
    <row r="196" spans="2:10" ht="17.100000000000001" hidden="1" customHeight="1" outlineLevel="1">
      <c r="B196" s="16"/>
      <c r="C196" s="325" t="s">
        <v>930</v>
      </c>
      <c r="D196" s="325" t="s">
        <v>307</v>
      </c>
      <c r="E196" s="325" t="s">
        <v>945</v>
      </c>
      <c r="F196" s="325" t="s">
        <v>946</v>
      </c>
      <c r="G196" s="325" t="str">
        <f>"Cost ($/"&amp;OutMassUnit&amp;" catalyst)"</f>
        <v>Cost ($/kg catalyst)</v>
      </c>
      <c r="H196" s="325"/>
      <c r="I196" s="325" t="s">
        <v>205</v>
      </c>
      <c r="J196" s="247"/>
    </row>
    <row r="197" spans="2:10" ht="15.95" hidden="1" customHeight="1" outlineLevel="1">
      <c r="B197" s="16"/>
      <c r="C197" s="69" t="s">
        <v>916</v>
      </c>
      <c r="D197" s="243">
        <v>1</v>
      </c>
      <c r="E197" s="328">
        <f>IF(ISBLANK(C197),"",IFERROR(IF(fnStepCostHourly=0,fnStepNotAvail,IF(ISBLANK(D197),"",fnStepCostHourly*$D197*VLOOKUP(BasisYear,ChemPPI[],14,FALSE)/VLOOKUP(2017,ChemPPI[],14,FALSE))),""))</f>
        <v>192.44093542673596</v>
      </c>
      <c r="F197" s="328">
        <f t="shared" ref="F197:F216" si="10">IFERROR($E197*$D$9*24,$E197)</f>
        <v>7697.637417069438</v>
      </c>
      <c r="G197" s="327">
        <f t="shared" ref="G197:G216" si="11">IFERROR($F197/$D$7,$F197)</f>
        <v>8.485192792230431E-2</v>
      </c>
      <c r="H197" s="245"/>
      <c r="I197" s="244" t="str">
        <f>IFERROR(VLOOKUP($C197,Steps[],5,FALSE),"")</f>
        <v>-</v>
      </c>
      <c r="J197" s="248"/>
    </row>
    <row r="198" spans="2:10" ht="15.95" hidden="1" customHeight="1" outlineLevel="1">
      <c r="B198" s="16"/>
      <c r="C198" s="69" t="s">
        <v>1066</v>
      </c>
      <c r="D198" s="243">
        <v>1</v>
      </c>
      <c r="E198" s="328">
        <f>IF(ISBLANK(C198),"",IFERROR(IF(fnStepCostHourly=0,fnStepNotAvail,IF(ISBLANK(D198),"",fnStepCostHourly*$D198*VLOOKUP(BasisYear,ChemPPI[],14,FALSE)/VLOOKUP(2017,ChemPPI[],14,FALSE))),""))</f>
        <v>192.44093542673596</v>
      </c>
      <c r="F198" s="328">
        <f t="shared" si="10"/>
        <v>7697.637417069438</v>
      </c>
      <c r="G198" s="327">
        <f t="shared" si="11"/>
        <v>8.485192792230431E-2</v>
      </c>
      <c r="H198" s="245"/>
      <c r="I198" s="244" t="str">
        <f>IFERROR(VLOOKUP($C198,Steps[],5,FALSE),"")</f>
        <v>-</v>
      </c>
      <c r="J198" s="248"/>
    </row>
    <row r="199" spans="2:10" ht="15.95" hidden="1" customHeight="1" outlineLevel="1">
      <c r="B199" s="16"/>
      <c r="C199" s="335" t="s">
        <v>938</v>
      </c>
      <c r="D199" s="336">
        <f>1*IF($D$6&lt;5,0,IF($D$6&lt;70,1,1))</f>
        <v>1</v>
      </c>
      <c r="E199" s="328">
        <f>IF(ISBLANK(C199),"",IFERROR(IF(fnStepCostHourly=0,fnStepNotAvail,IF(ISBLANK(D199),"",fnStepCostHourly*$D199*VLOOKUP(BasisYear,ChemPPI[],14,FALSE)/VLOOKUP(2017,ChemPPI[],14,FALSE))),""))</f>
        <v>312.71652006844596</v>
      </c>
      <c r="F199" s="328">
        <f t="shared" si="10"/>
        <v>12508.660802737839</v>
      </c>
      <c r="G199" s="327">
        <f t="shared" si="11"/>
        <v>0.13788438287374452</v>
      </c>
      <c r="H199" s="245"/>
      <c r="I199" s="244" t="str">
        <f>IFERROR(VLOOKUP($C199,Steps[],5,FALSE),"")</f>
        <v>A.k.a. calciner. Sub with batch kiln at small scale</v>
      </c>
      <c r="J199" s="248"/>
    </row>
    <row r="200" spans="2:10" ht="15.95" hidden="1" customHeight="1" outlineLevel="1">
      <c r="B200" s="16"/>
      <c r="C200" s="335" t="s">
        <v>940</v>
      </c>
      <c r="D200" s="336">
        <f>1*IF($D$6&lt;5,1,IF($D$6&lt;70,0,0))</f>
        <v>0</v>
      </c>
      <c r="E200" s="328" t="str">
        <f>IF(ISBLANK(C200),"",IFERROR(IF(fnStepCostHourly=0,fnStepNotAvail,IF(ISBLANK(D200),"",fnStepCostHourly*$D200*VLOOKUP(BasisYear,ChemPPI[],14,FALSE)/VLOOKUP(2017,ChemPPI[],14,FALSE))),""))</f>
        <v>N/A at large scale</v>
      </c>
      <c r="F200" s="328" t="str">
        <f t="shared" si="10"/>
        <v>N/A at large scale</v>
      </c>
      <c r="G200" s="327" t="str">
        <f t="shared" si="11"/>
        <v>N/A at large scale</v>
      </c>
      <c r="H200" s="245"/>
      <c r="I200" s="244" t="str">
        <f>IFERROR(VLOOKUP($C200,Steps[],5,FALSE),"")</f>
        <v>A.k.a. calciner. Sub with continuous kiln at M/L scale</v>
      </c>
      <c r="J200" s="248"/>
    </row>
    <row r="201" spans="2:10" ht="15.95" hidden="1" customHeight="1" outlineLevel="1">
      <c r="B201" s="16"/>
      <c r="C201" s="69" t="s">
        <v>931</v>
      </c>
      <c r="D201" s="243">
        <v>1</v>
      </c>
      <c r="E201" s="328">
        <f>IF(ISBLANK(C201),"",IFERROR(IF(fnStepCostHourly=0,fnStepNotAvail,IF(ISBLANK(D201),"",fnStepCostHourly*$D201*VLOOKUP(BasisYear,ChemPPI[],14,FALSE)/VLOOKUP(2017,ChemPPI[],14,FALSE))),""))</f>
        <v>192.44093542673596</v>
      </c>
      <c r="F201" s="328">
        <f t="shared" si="10"/>
        <v>7697.637417069438</v>
      </c>
      <c r="G201" s="327">
        <f t="shared" si="11"/>
        <v>8.485192792230431E-2</v>
      </c>
      <c r="H201" s="245"/>
      <c r="I201" s="244" t="str">
        <f>IFERROR(VLOOKUP($C201,Steps[],5,FALSE),"")</f>
        <v>-</v>
      </c>
      <c r="J201" s="248"/>
    </row>
    <row r="202" spans="2:10" ht="15.95" hidden="1" customHeight="1" outlineLevel="1">
      <c r="B202" s="16"/>
      <c r="C202" s="69" t="s">
        <v>917</v>
      </c>
      <c r="D202" s="243">
        <v>1</v>
      </c>
      <c r="E202" s="328">
        <f>IF(ISBLANK(C202),"",IFERROR(IF(fnStepCostHourly=0,fnStepNotAvail,IF(ISBLANK(D202),"",fnStepCostHourly*$D202*VLOOKUP(BasisYear,ChemPPI[],14,FALSE)/VLOOKUP(2017,ChemPPI[],14,FALSE))),""))</f>
        <v>288.66140314010391</v>
      </c>
      <c r="F202" s="328">
        <f t="shared" si="10"/>
        <v>11546.456125604156</v>
      </c>
      <c r="G202" s="327">
        <f t="shared" si="11"/>
        <v>0.12727789188345645</v>
      </c>
      <c r="H202" s="245"/>
      <c r="I202" s="244" t="str">
        <f>IFERROR(VLOOKUP($C202,Steps[],5,FALSE),"")</f>
        <v>-</v>
      </c>
      <c r="J202" s="248"/>
    </row>
    <row r="203" spans="2:10" ht="15.95" hidden="1" customHeight="1" outlineLevel="1">
      <c r="B203" s="16"/>
      <c r="C203" s="335" t="s">
        <v>919</v>
      </c>
      <c r="D203" s="336">
        <f>1*IF($D$6&lt;5,0,IF($D$6&lt;70,1,1))</f>
        <v>1</v>
      </c>
      <c r="E203" s="328">
        <f>IF(ISBLANK(C203),"",IFERROR(IF(fnStepCostHourly=0,fnStepNotAvail,IF(ISBLANK(D203),"",fnStepCostHourly*$D203*VLOOKUP(BasisYear,ChemPPI[],14,FALSE)/VLOOKUP(2017,ChemPPI[],14,FALSE))),""))</f>
        <v>288.66140314010391</v>
      </c>
      <c r="F203" s="328">
        <f t="shared" si="10"/>
        <v>11546.456125604156</v>
      </c>
      <c r="G203" s="327">
        <f t="shared" si="11"/>
        <v>0.12727789188345645</v>
      </c>
      <c r="H203" s="245"/>
      <c r="I203" s="244" t="str">
        <f>IFERROR(VLOOKUP($C203,Steps[],5,FALSE),"")</f>
        <v>Substitute with plate and frame at small scale</v>
      </c>
      <c r="J203" s="248"/>
    </row>
    <row r="204" spans="2:10" ht="15.95" hidden="1" customHeight="1" outlineLevel="1">
      <c r="B204" s="16"/>
      <c r="C204" s="335" t="s">
        <v>921</v>
      </c>
      <c r="D204" s="336">
        <f>1*IF($D$6&lt;5,1,IF($D$6&lt;70,0,0))</f>
        <v>0</v>
      </c>
      <c r="E204" s="328" t="str">
        <f>IF(ISBLANK(C204),"",IFERROR(IF(fnStepCostHourly=0,fnStepNotAvail,IF(ISBLANK(D204),"",fnStepCostHourly*$D204*VLOOKUP(BasisYear,ChemPPI[],14,FALSE)/VLOOKUP(2017,ChemPPI[],14,FALSE))),""))</f>
        <v>N/A at large scale</v>
      </c>
      <c r="F204" s="328" t="str">
        <f t="shared" si="10"/>
        <v>N/A at large scale</v>
      </c>
      <c r="G204" s="327" t="str">
        <f t="shared" si="11"/>
        <v>N/A at large scale</v>
      </c>
      <c r="H204" s="245"/>
      <c r="I204" s="244" t="str">
        <f>IFERROR(VLOOKUP($C204,Steps[],5,FALSE),"")</f>
        <v>Substitute with belt or rotary vacuum at M/L scale</v>
      </c>
      <c r="J204" s="248"/>
    </row>
    <row r="205" spans="2:10" ht="15.95" hidden="1" customHeight="1" outlineLevel="1">
      <c r="B205" s="16"/>
      <c r="C205" s="69" t="s">
        <v>1066</v>
      </c>
      <c r="D205" s="243">
        <v>1</v>
      </c>
      <c r="E205" s="328">
        <f>IF(ISBLANK(C205),"",IFERROR(IF(fnStepCostHourly=0,fnStepNotAvail,IF(ISBLANK(D205),"",fnStepCostHourly*$D205*VLOOKUP(BasisYear,ChemPPI[],14,FALSE)/VLOOKUP(2017,ChemPPI[],14,FALSE))),""))</f>
        <v>192.44093542673596</v>
      </c>
      <c r="F205" s="328">
        <f t="shared" si="10"/>
        <v>7697.637417069438</v>
      </c>
      <c r="G205" s="327">
        <f t="shared" si="11"/>
        <v>8.485192792230431E-2</v>
      </c>
      <c r="H205" s="245"/>
      <c r="I205" s="244" t="str">
        <f>IFERROR(VLOOKUP($C205,Steps[],5,FALSE),"")</f>
        <v>-</v>
      </c>
      <c r="J205" s="248"/>
    </row>
    <row r="206" spans="2:10" ht="15.95" hidden="1" customHeight="1" outlineLevel="1">
      <c r="B206" s="16"/>
      <c r="C206" s="335" t="s">
        <v>938</v>
      </c>
      <c r="D206" s="336">
        <f>2*IF($D$6&lt;5,0,IF($D$6&lt;70,1,1))</f>
        <v>2</v>
      </c>
      <c r="E206" s="328">
        <f>IF(ISBLANK(C206),"",IFERROR(IF(fnStepCostHourly=0,fnStepNotAvail,IF(ISBLANK(D206),"",fnStepCostHourly*$D206*VLOOKUP(BasisYear,ChemPPI[],14,FALSE)/VLOOKUP(2017,ChemPPI[],14,FALSE))),""))</f>
        <v>625.43304013689192</v>
      </c>
      <c r="F206" s="328">
        <f t="shared" si="10"/>
        <v>25017.321605475678</v>
      </c>
      <c r="G206" s="327">
        <f t="shared" si="11"/>
        <v>0.27576876574748904</v>
      </c>
      <c r="H206" s="245"/>
      <c r="I206" s="244" t="str">
        <f>IFERROR(VLOOKUP($C206,Steps[],5,FALSE),"")</f>
        <v>A.k.a. calciner. Sub with batch kiln at small scale</v>
      </c>
      <c r="J206" s="248"/>
    </row>
    <row r="207" spans="2:10" ht="15.95" hidden="1" customHeight="1" outlineLevel="1">
      <c r="B207" s="16"/>
      <c r="C207" s="335" t="s">
        <v>940</v>
      </c>
      <c r="D207" s="336">
        <f>2*IF($D$6&lt;5,1,IF($D$6&lt;70,0,0))</f>
        <v>0</v>
      </c>
      <c r="E207" s="328" t="str">
        <f>IF(ISBLANK(C207),"",IFERROR(IF(fnStepCostHourly=0,fnStepNotAvail,IF(ISBLANK(D207),"",fnStepCostHourly*$D207*VLOOKUP(BasisYear,ChemPPI[],14,FALSE)/VLOOKUP(2017,ChemPPI[],14,FALSE))),""))</f>
        <v>N/A at large scale</v>
      </c>
      <c r="F207" s="328" t="str">
        <f t="shared" si="10"/>
        <v>N/A at large scale</v>
      </c>
      <c r="G207" s="327" t="str">
        <f t="shared" si="11"/>
        <v>N/A at large scale</v>
      </c>
      <c r="H207" s="245"/>
      <c r="I207" s="244" t="str">
        <f>IFERROR(VLOOKUP($C207,Steps[],5,FALSE),"")</f>
        <v>A.k.a. calciner. Sub with continuous kiln at M/L scale</v>
      </c>
      <c r="J207" s="248"/>
    </row>
    <row r="208" spans="2:10" ht="15.95" hidden="1" customHeight="1" outlineLevel="1">
      <c r="B208" s="16"/>
      <c r="C208" s="69"/>
      <c r="D208" s="243"/>
      <c r="E208" s="328" t="str">
        <f>IF(ISBLANK(C208),"",IFERROR(IF(fnStepCostHourly=0,fnStepNotAvail,IF(ISBLANK(D208),"",fnStepCostHourly*$D208*VLOOKUP(BasisYear,ChemPPI[],14,FALSE)/VLOOKUP(2017,ChemPPI[],14,FALSE))),""))</f>
        <v/>
      </c>
      <c r="F208" s="328" t="str">
        <f t="shared" si="10"/>
        <v/>
      </c>
      <c r="G208" s="327" t="str">
        <f t="shared" si="11"/>
        <v/>
      </c>
      <c r="H208" s="245"/>
      <c r="I208" s="244" t="str">
        <f>IFERROR(VLOOKUP($C208,Steps[],5,FALSE),"")</f>
        <v/>
      </c>
      <c r="J208" s="248"/>
    </row>
    <row r="209" spans="1:10" ht="15.95" hidden="1" customHeight="1" outlineLevel="1">
      <c r="B209" s="16"/>
      <c r="C209" s="69"/>
      <c r="D209" s="243"/>
      <c r="E209" s="328" t="str">
        <f>IF(ISBLANK(C209),"",IFERROR(IF(fnStepCostHourly=0,fnStepNotAvail,IF(ISBLANK(D209),"",fnStepCostHourly*$D209*VLOOKUP(BasisYear,ChemPPI[],14,FALSE)/VLOOKUP(2017,ChemPPI[],14,FALSE))),""))</f>
        <v/>
      </c>
      <c r="F209" s="328" t="str">
        <f t="shared" si="10"/>
        <v/>
      </c>
      <c r="G209" s="327" t="str">
        <f t="shared" si="11"/>
        <v/>
      </c>
      <c r="H209" s="245"/>
      <c r="I209" s="244" t="str">
        <f>IFERROR(VLOOKUP($C209,Steps[],5,FALSE),"")</f>
        <v/>
      </c>
      <c r="J209" s="248"/>
    </row>
    <row r="210" spans="1:10" ht="15.95" hidden="1" customHeight="1" outlineLevel="1">
      <c r="B210" s="16"/>
      <c r="C210" s="69"/>
      <c r="D210" s="243"/>
      <c r="E210" s="328" t="str">
        <f>IF(ISBLANK(C210),"",IFERROR(IF(fnStepCostHourly=0,fnStepNotAvail,IF(ISBLANK(D210),"",fnStepCostHourly*$D210*VLOOKUP(BasisYear,ChemPPI[],14,FALSE)/VLOOKUP(2017,ChemPPI[],14,FALSE))),""))</f>
        <v/>
      </c>
      <c r="F210" s="328" t="str">
        <f t="shared" si="10"/>
        <v/>
      </c>
      <c r="G210" s="327" t="str">
        <f t="shared" si="11"/>
        <v/>
      </c>
      <c r="H210" s="245"/>
      <c r="I210" s="244" t="str">
        <f>IFERROR(VLOOKUP($C210,Steps[],5,FALSE),"")</f>
        <v/>
      </c>
      <c r="J210" s="248"/>
    </row>
    <row r="211" spans="1:10" ht="15.95" hidden="1" customHeight="1" outlineLevel="1">
      <c r="B211" s="16"/>
      <c r="C211" s="69"/>
      <c r="D211" s="243"/>
      <c r="E211" s="328" t="str">
        <f>IF(ISBLANK(C211),"",IFERROR(IF(fnStepCostHourly=0,fnStepNotAvail,IF(ISBLANK(D211),"",fnStepCostHourly*$D211*VLOOKUP(BasisYear,ChemPPI[],14,FALSE)/VLOOKUP(2017,ChemPPI[],14,FALSE))),""))</f>
        <v/>
      </c>
      <c r="F211" s="328" t="str">
        <f t="shared" si="10"/>
        <v/>
      </c>
      <c r="G211" s="327" t="str">
        <f t="shared" si="11"/>
        <v/>
      </c>
      <c r="H211" s="245"/>
      <c r="I211" s="244" t="str">
        <f>IFERROR(VLOOKUP($C211,Steps[],5,FALSE),"")</f>
        <v/>
      </c>
      <c r="J211" s="248"/>
    </row>
    <row r="212" spans="1:10" ht="15.95" hidden="1" customHeight="1" outlineLevel="1">
      <c r="B212" s="16"/>
      <c r="C212" s="69"/>
      <c r="D212" s="243"/>
      <c r="E212" s="328" t="str">
        <f>IF(ISBLANK(C212),"",IFERROR(IF(fnStepCostHourly=0,fnStepNotAvail,IF(ISBLANK(D212),"",fnStepCostHourly*$D212*VLOOKUP(BasisYear,ChemPPI[],14,FALSE)/VLOOKUP(2017,ChemPPI[],14,FALSE))),""))</f>
        <v/>
      </c>
      <c r="F212" s="328" t="str">
        <f t="shared" si="10"/>
        <v/>
      </c>
      <c r="G212" s="327" t="str">
        <f t="shared" si="11"/>
        <v/>
      </c>
      <c r="H212" s="245"/>
      <c r="I212" s="244" t="str">
        <f>IFERROR(VLOOKUP($C212,Steps[],5,FALSE),"")</f>
        <v/>
      </c>
      <c r="J212" s="248"/>
    </row>
    <row r="213" spans="1:10" ht="15.95" hidden="1" customHeight="1" outlineLevel="1">
      <c r="B213" s="16"/>
      <c r="C213" s="69"/>
      <c r="D213" s="243"/>
      <c r="E213" s="328" t="str">
        <f>IF(ISBLANK(C213),"",IFERROR(IF(fnStepCostHourly=0,fnStepNotAvail,IF(ISBLANK(D213),"",fnStepCostHourly*$D213*VLOOKUP(BasisYear,ChemPPI[],14,FALSE)/VLOOKUP(2017,ChemPPI[],14,FALSE))),""))</f>
        <v/>
      </c>
      <c r="F213" s="328" t="str">
        <f t="shared" si="10"/>
        <v/>
      </c>
      <c r="G213" s="327" t="str">
        <f t="shared" si="11"/>
        <v/>
      </c>
      <c r="H213" s="245"/>
      <c r="I213" s="244" t="str">
        <f>IFERROR(VLOOKUP($C213,Steps[],5,FALSE),"")</f>
        <v/>
      </c>
      <c r="J213" s="248"/>
    </row>
    <row r="214" spans="1:10" ht="15.95" hidden="1" customHeight="1" outlineLevel="1">
      <c r="B214" s="16"/>
      <c r="C214" s="69"/>
      <c r="D214" s="243"/>
      <c r="E214" s="328" t="str">
        <f>IF(ISBLANK(C214),"",IFERROR(IF(fnStepCostHourly=0,fnStepNotAvail,IF(ISBLANK(D214),"",fnStepCostHourly*$D214*VLOOKUP(BasisYear,ChemPPI[],14,FALSE)/VLOOKUP(2017,ChemPPI[],14,FALSE))),""))</f>
        <v/>
      </c>
      <c r="F214" s="328" t="str">
        <f t="shared" si="10"/>
        <v/>
      </c>
      <c r="G214" s="327" t="str">
        <f t="shared" si="11"/>
        <v/>
      </c>
      <c r="H214" s="245"/>
      <c r="I214" s="244" t="str">
        <f>IFERROR(VLOOKUP($C214,Steps[],5,FALSE),"")</f>
        <v/>
      </c>
      <c r="J214" s="248"/>
    </row>
    <row r="215" spans="1:10" ht="15.95" hidden="1" customHeight="1" outlineLevel="1">
      <c r="B215" s="16"/>
      <c r="C215" s="69"/>
      <c r="D215" s="243"/>
      <c r="E215" s="328" t="str">
        <f>IF(ISBLANK(C215),"",IFERROR(IF(fnStepCostHourly=0,fnStepNotAvail,IF(ISBLANK(D215),"",fnStepCostHourly*$D215*VLOOKUP(BasisYear,ChemPPI[],14,FALSE)/VLOOKUP(2017,ChemPPI[],14,FALSE))),""))</f>
        <v/>
      </c>
      <c r="F215" s="328" t="str">
        <f t="shared" si="10"/>
        <v/>
      </c>
      <c r="G215" s="327" t="str">
        <f t="shared" si="11"/>
        <v/>
      </c>
      <c r="H215" s="245"/>
      <c r="I215" s="244" t="str">
        <f>IFERROR(VLOOKUP($C215,Steps[],5,FALSE),"")</f>
        <v/>
      </c>
      <c r="J215" s="248"/>
    </row>
    <row r="216" spans="1:10" ht="15.95" hidden="1" customHeight="1" outlineLevel="1">
      <c r="B216" s="16"/>
      <c r="C216" s="69"/>
      <c r="D216" s="243"/>
      <c r="E216" s="328" t="str">
        <f>IF(ISBLANK(C216),"",IFERROR(IF(fnStepCostHourly=0,fnStepNotAvail,IF(ISBLANK(D216),"",fnStepCostHourly*$D216*VLOOKUP(BasisYear,ChemPPI[],14,FALSE)/VLOOKUP(2017,ChemPPI[],14,FALSE))),""))</f>
        <v/>
      </c>
      <c r="F216" s="328" t="str">
        <f t="shared" si="10"/>
        <v/>
      </c>
      <c r="G216" s="327" t="str">
        <f t="shared" si="11"/>
        <v/>
      </c>
      <c r="H216" s="245"/>
      <c r="I216" s="244" t="str">
        <f>IFERROR(VLOOKUP($C216,Steps[],5,FALSE),"")</f>
        <v/>
      </c>
      <c r="J216" s="248"/>
    </row>
    <row r="217" spans="1:10" ht="16.5" hidden="1" outlineLevel="1" thickBot="1">
      <c r="B217" s="249"/>
      <c r="C217" s="250"/>
      <c r="D217" s="250"/>
      <c r="E217" s="250"/>
      <c r="F217" s="250"/>
      <c r="G217" s="250"/>
      <c r="H217" s="250"/>
      <c r="I217" s="250"/>
      <c r="J217" s="251"/>
    </row>
    <row r="218" spans="1:10" ht="16.5" collapsed="1" thickBot="1">
      <c r="A218" s="300" t="str">
        <f>"&lt;– show/hide "&amp;B186</f>
        <v>&lt;– show/hide Step Process Template: Metal (Earth Abundant) on Metal Oxide</v>
      </c>
    </row>
    <row r="219" spans="1:10" ht="21" thickBot="1">
      <c r="B219" s="341" t="str">
        <f>"Step Process Template: "&amp;C222</f>
        <v>Step Process Template: Metal (PGM) on Carbon</v>
      </c>
      <c r="C219" s="342"/>
      <c r="D219" s="342"/>
      <c r="E219" s="342"/>
      <c r="F219" s="342"/>
      <c r="G219" s="342"/>
      <c r="H219" s="343"/>
    </row>
    <row r="220" spans="1:10" hidden="1" outlineLevel="1">
      <c r="B220" s="13"/>
      <c r="C220" s="14"/>
      <c r="D220" s="14"/>
      <c r="E220" s="14"/>
      <c r="F220" s="14"/>
      <c r="G220" s="14"/>
      <c r="H220" s="15"/>
      <c r="J220" s="198"/>
    </row>
    <row r="221" spans="1:10" hidden="1" outlineLevel="1">
      <c r="B221" s="16"/>
      <c r="C221" s="17" t="s">
        <v>1045</v>
      </c>
      <c r="D221" s="253" t="s">
        <v>953</v>
      </c>
      <c r="E221" s="64" t="s">
        <v>945</v>
      </c>
      <c r="F221" s="64" t="s">
        <v>946</v>
      </c>
      <c r="G221" s="64" t="str">
        <f>"Cost ($/"&amp;OutMassUnit&amp;" catalyst)"</f>
        <v>Cost ($/kg catalyst)</v>
      </c>
      <c r="H221" s="247"/>
      <c r="J221" s="198"/>
    </row>
    <row r="222" spans="1:10" ht="15.95" hidden="1" customHeight="1" outlineLevel="1">
      <c r="B222" s="16"/>
      <c r="C222" s="18" t="s">
        <v>1090</v>
      </c>
      <c r="D222" s="253"/>
      <c r="E222" s="330">
        <f>SUM(E230:E249)</f>
        <v>1635.7479511272554</v>
      </c>
      <c r="F222" s="330">
        <f>SUM(F230:F249)</f>
        <v>65429.918045090228</v>
      </c>
      <c r="G222" s="329">
        <f>SUM(G230:G249)</f>
        <v>0.72124138733958665</v>
      </c>
      <c r="H222" s="322"/>
      <c r="J222" s="198"/>
    </row>
    <row r="223" spans="1:10" ht="15.95" hidden="1" customHeight="1" outlineLevel="1">
      <c r="B223" s="16"/>
      <c r="C223" s="339" t="str">
        <f>"Name: "&amp;C222</f>
        <v>Name: Metal (PGM) on Carbon</v>
      </c>
      <c r="D223" s="253"/>
      <c r="E223" s="333"/>
      <c r="F223" s="333"/>
      <c r="G223" s="334"/>
      <c r="H223" s="322"/>
      <c r="J223" s="198"/>
    </row>
    <row r="224" spans="1:10" ht="15.95" hidden="1" customHeight="1" outlineLevel="1">
      <c r="B224" s="16"/>
      <c r="C224" s="17" t="s">
        <v>1060</v>
      </c>
      <c r="D224" s="253"/>
      <c r="E224" s="333"/>
      <c r="F224" s="333"/>
      <c r="G224" s="334"/>
      <c r="H224" s="322"/>
      <c r="J224" s="198"/>
    </row>
    <row r="225" spans="2:10" ht="15.95" hidden="1" customHeight="1" outlineLevel="1">
      <c r="B225" s="16"/>
      <c r="C225" s="18" t="s">
        <v>1091</v>
      </c>
      <c r="D225" s="253"/>
      <c r="E225" s="333"/>
      <c r="F225" s="333"/>
      <c r="G225" s="334"/>
      <c r="H225" s="322"/>
      <c r="J225" s="198"/>
    </row>
    <row r="226" spans="2:10" ht="15.95" hidden="1" customHeight="1" outlineLevel="1">
      <c r="B226" s="16"/>
      <c r="C226" s="18" t="s">
        <v>1063</v>
      </c>
      <c r="D226" s="253"/>
      <c r="E226" s="333"/>
      <c r="F226" s="333"/>
      <c r="G226" s="334"/>
      <c r="H226" s="322"/>
      <c r="J226" s="198"/>
    </row>
    <row r="227" spans="2:10" ht="16.5" hidden="1" outlineLevel="1" thickBot="1">
      <c r="B227" s="21"/>
      <c r="C227" s="22"/>
      <c r="D227" s="22"/>
      <c r="E227" s="22"/>
      <c r="F227" s="22"/>
      <c r="G227" s="22"/>
      <c r="H227" s="23"/>
      <c r="J227" s="198"/>
    </row>
    <row r="228" spans="2:10" ht="15.95" hidden="1" customHeight="1" outlineLevel="1">
      <c r="B228" s="16"/>
      <c r="C228" s="18"/>
      <c r="D228" s="18"/>
      <c r="E228" s="18"/>
      <c r="F228" s="18"/>
      <c r="G228" s="18"/>
      <c r="H228" s="18"/>
      <c r="I228" s="14"/>
      <c r="J228" s="15"/>
    </row>
    <row r="229" spans="2:10" ht="17.100000000000001" hidden="1" customHeight="1" outlineLevel="1">
      <c r="B229" s="16"/>
      <c r="C229" s="325" t="s">
        <v>930</v>
      </c>
      <c r="D229" s="325" t="s">
        <v>307</v>
      </c>
      <c r="E229" s="325" t="s">
        <v>945</v>
      </c>
      <c r="F229" s="325" t="s">
        <v>946</v>
      </c>
      <c r="G229" s="325" t="str">
        <f>"Cost ($/"&amp;OutMassUnit&amp;" catalyst)"</f>
        <v>Cost ($/kg catalyst)</v>
      </c>
      <c r="H229" s="325"/>
      <c r="I229" s="325" t="s">
        <v>205</v>
      </c>
      <c r="J229" s="247"/>
    </row>
    <row r="230" spans="2:10" ht="15.95" hidden="1" customHeight="1" outlineLevel="1">
      <c r="B230" s="16"/>
      <c r="C230" s="69" t="s">
        <v>916</v>
      </c>
      <c r="D230" s="243">
        <v>1</v>
      </c>
      <c r="E230" s="328">
        <f>IF(ISBLANK(C230),"",IFERROR(IF(fnStepCostHourly=0,fnStepNotAvail,IF(ISBLANK(D230),"",fnStepCostHourly*$D230*VLOOKUP(BasisYear,ChemPPI[],14,FALSE)/VLOOKUP(2017,ChemPPI[],14,FALSE))),""))</f>
        <v>192.44093542673596</v>
      </c>
      <c r="F230" s="328">
        <f t="shared" ref="F230:F249" si="12">IFERROR($E230*$D$9*24,$E230)</f>
        <v>7697.637417069438</v>
      </c>
      <c r="G230" s="327">
        <f t="shared" ref="G230:G249" si="13">IFERROR($F230/$D$7,$F230)</f>
        <v>8.485192792230431E-2</v>
      </c>
      <c r="H230" s="245"/>
      <c r="I230" s="244" t="str">
        <f>IFERROR(VLOOKUP($C230,Steps[],5,FALSE),"")</f>
        <v>-</v>
      </c>
      <c r="J230" s="248"/>
    </row>
    <row r="231" spans="2:10" ht="15.95" hidden="1" customHeight="1" outlineLevel="1">
      <c r="B231" s="16"/>
      <c r="C231" s="69" t="s">
        <v>925</v>
      </c>
      <c r="D231" s="243">
        <v>1</v>
      </c>
      <c r="E231" s="328">
        <f>IF(ISBLANK(C231),"",IFERROR(IF(fnStepCostHourly=0,fnStepNotAvail,IF(ISBLANK(D231),"",fnStepCostHourly*$D231*VLOOKUP(BasisYear,ChemPPI[],14,FALSE)/VLOOKUP(2017,ChemPPI[],14,FALSE))),""))</f>
        <v>577.32280628020783</v>
      </c>
      <c r="F231" s="328">
        <f t="shared" si="12"/>
        <v>23092.912251208312</v>
      </c>
      <c r="G231" s="327">
        <f t="shared" si="13"/>
        <v>0.2545557837669129</v>
      </c>
      <c r="H231" s="245"/>
      <c r="I231" s="244" t="str">
        <f>IFERROR(VLOOKUP($C231,Steps[],5,FALSE),"")</f>
        <v>-</v>
      </c>
      <c r="J231" s="248"/>
    </row>
    <row r="232" spans="2:10" ht="15.95" hidden="1" customHeight="1" outlineLevel="1">
      <c r="B232" s="16"/>
      <c r="C232" s="69" t="s">
        <v>931</v>
      </c>
      <c r="D232" s="243">
        <v>1</v>
      </c>
      <c r="E232" s="328">
        <f>IF(ISBLANK(C232),"",IFERROR(IF(fnStepCostHourly=0,fnStepNotAvail,IF(ISBLANK(D232),"",fnStepCostHourly*$D232*VLOOKUP(BasisYear,ChemPPI[],14,FALSE)/VLOOKUP(2017,ChemPPI[],14,FALSE))),""))</f>
        <v>192.44093542673596</v>
      </c>
      <c r="F232" s="328">
        <f t="shared" si="12"/>
        <v>7697.637417069438</v>
      </c>
      <c r="G232" s="327">
        <f t="shared" si="13"/>
        <v>8.485192792230431E-2</v>
      </c>
      <c r="H232" s="245"/>
      <c r="I232" s="244" t="str">
        <f>IFERROR(VLOOKUP($C232,Steps[],5,FALSE),"")</f>
        <v>-</v>
      </c>
      <c r="J232" s="248"/>
    </row>
    <row r="233" spans="2:10" ht="15.95" hidden="1" customHeight="1" outlineLevel="1">
      <c r="B233" s="16"/>
      <c r="C233" s="335" t="s">
        <v>921</v>
      </c>
      <c r="D233" s="336">
        <f>1*IF($D$6&lt;5,1,IF($D$6&lt;70,0,0))</f>
        <v>0</v>
      </c>
      <c r="E233" s="328" t="str">
        <f>IF(ISBLANK(C233),"",IFERROR(IF(fnStepCostHourly=0,fnStepNotAvail,IF(ISBLANK(D233),"",fnStepCostHourly*$D233*VLOOKUP(BasisYear,ChemPPI[],14,FALSE)/VLOOKUP(2017,ChemPPI[],14,FALSE))),""))</f>
        <v>N/A at large scale</v>
      </c>
      <c r="F233" s="328" t="str">
        <f t="shared" si="12"/>
        <v>N/A at large scale</v>
      </c>
      <c r="G233" s="327" t="str">
        <f t="shared" si="13"/>
        <v>N/A at large scale</v>
      </c>
      <c r="H233" s="245"/>
      <c r="I233" s="244" t="str">
        <f>IFERROR(VLOOKUP($C233,Steps[],5,FALSE),"")</f>
        <v>Substitute with belt or rotary vacuum at M/L scale</v>
      </c>
      <c r="J233" s="248"/>
    </row>
    <row r="234" spans="2:10" ht="15.95" hidden="1" customHeight="1" outlineLevel="1">
      <c r="B234" s="16"/>
      <c r="C234" s="335" t="s">
        <v>919</v>
      </c>
      <c r="D234" s="336">
        <f>1*IF($D$6&lt;5,0,IF($D$6&lt;70,1,1))</f>
        <v>1</v>
      </c>
      <c r="E234" s="328">
        <f>IF(ISBLANK(C234),"",IFERROR(IF(fnStepCostHourly=0,fnStepNotAvail,IF(ISBLANK(D234),"",fnStepCostHourly*$D234*VLOOKUP(BasisYear,ChemPPI[],14,FALSE)/VLOOKUP(2017,ChemPPI[],14,FALSE))),""))</f>
        <v>288.66140314010391</v>
      </c>
      <c r="F234" s="328">
        <f t="shared" si="12"/>
        <v>11546.456125604156</v>
      </c>
      <c r="G234" s="327">
        <f t="shared" si="13"/>
        <v>0.12727789188345645</v>
      </c>
      <c r="H234" s="245"/>
      <c r="I234" s="244" t="str">
        <f>IFERROR(VLOOKUP($C234,Steps[],5,FALSE),"")</f>
        <v>Substitute with plate and frame at small scale</v>
      </c>
      <c r="J234" s="248"/>
    </row>
    <row r="235" spans="2:10" ht="15.95" hidden="1" customHeight="1" outlineLevel="1">
      <c r="B235" s="16"/>
      <c r="C235" s="69" t="s">
        <v>924</v>
      </c>
      <c r="D235" s="243">
        <v>1</v>
      </c>
      <c r="E235" s="328">
        <f>IF(ISBLANK(C235),"",IFERROR(IF(fnStepCostHourly=0,fnStepNotAvail,IF(ISBLANK(D235),"",fnStepCostHourly*$D235*VLOOKUP(BasisYear,ChemPPI[],14,FALSE)/VLOOKUP(2017,ChemPPI[],14,FALSE))),""))</f>
        <v>192.44093542673596</v>
      </c>
      <c r="F235" s="328">
        <f t="shared" si="12"/>
        <v>7697.637417069438</v>
      </c>
      <c r="G235" s="327">
        <f t="shared" si="13"/>
        <v>8.485192792230431E-2</v>
      </c>
      <c r="H235" s="245"/>
      <c r="I235" s="244" t="str">
        <f>IFERROR(VLOOKUP($C235,Steps[],5,FALSE),"")</f>
        <v>-</v>
      </c>
      <c r="J235" s="248"/>
    </row>
    <row r="236" spans="2:10" ht="15.95" hidden="1" customHeight="1" outlineLevel="1">
      <c r="B236" s="16"/>
      <c r="C236" s="69" t="s">
        <v>1066</v>
      </c>
      <c r="D236" s="243">
        <v>1</v>
      </c>
      <c r="E236" s="328">
        <f>IF(ISBLANK(C236),"",IFERROR(IF(fnStepCostHourly=0,fnStepNotAvail,IF(ISBLANK(D236),"",fnStepCostHourly*$D236*VLOOKUP(BasisYear,ChemPPI[],14,FALSE)/VLOOKUP(2017,ChemPPI[],14,FALSE))),""))</f>
        <v>192.44093542673596</v>
      </c>
      <c r="F236" s="328">
        <f t="shared" si="12"/>
        <v>7697.637417069438</v>
      </c>
      <c r="G236" s="327">
        <f t="shared" si="13"/>
        <v>8.485192792230431E-2</v>
      </c>
      <c r="H236" s="245"/>
      <c r="I236" s="244" t="str">
        <f>IFERROR(VLOOKUP($C236,Steps[],5,FALSE),"")</f>
        <v>-</v>
      </c>
      <c r="J236" s="248"/>
    </row>
    <row r="237" spans="2:10" ht="15.95" hidden="1" customHeight="1" outlineLevel="1">
      <c r="B237" s="16"/>
      <c r="C237" s="69"/>
      <c r="D237" s="243"/>
      <c r="E237" s="328" t="str">
        <f>IF(ISBLANK(C237),"",IFERROR(IF(fnStepCostHourly=0,fnStepNotAvail,IF(ISBLANK(D237),"",fnStepCostHourly*$D237*VLOOKUP(BasisYear,ChemPPI[],14,FALSE)/VLOOKUP(2017,ChemPPI[],14,FALSE))),""))</f>
        <v/>
      </c>
      <c r="F237" s="328" t="str">
        <f t="shared" si="12"/>
        <v/>
      </c>
      <c r="G237" s="327" t="str">
        <f t="shared" si="13"/>
        <v/>
      </c>
      <c r="H237" s="245"/>
      <c r="I237" s="244" t="str">
        <f>IFERROR(VLOOKUP($C237,Steps[],5,FALSE),"")</f>
        <v/>
      </c>
      <c r="J237" s="248"/>
    </row>
    <row r="238" spans="2:10" ht="15.95" hidden="1" customHeight="1" outlineLevel="1">
      <c r="B238" s="16"/>
      <c r="C238" s="69"/>
      <c r="D238" s="243"/>
      <c r="E238" s="328" t="str">
        <f>IF(ISBLANK(C238),"",IFERROR(IF(fnStepCostHourly=0,fnStepNotAvail,IF(ISBLANK(D238),"",fnStepCostHourly*$D238*VLOOKUP(BasisYear,ChemPPI[],14,FALSE)/VLOOKUP(2017,ChemPPI[],14,FALSE))),""))</f>
        <v/>
      </c>
      <c r="F238" s="328" t="str">
        <f t="shared" si="12"/>
        <v/>
      </c>
      <c r="G238" s="327" t="str">
        <f t="shared" si="13"/>
        <v/>
      </c>
      <c r="H238" s="245"/>
      <c r="I238" s="244" t="str">
        <f>IFERROR(VLOOKUP($C238,Steps[],5,FALSE),"")</f>
        <v/>
      </c>
      <c r="J238" s="248"/>
    </row>
    <row r="239" spans="2:10" ht="15.95" hidden="1" customHeight="1" outlineLevel="1">
      <c r="B239" s="16"/>
      <c r="C239" s="69"/>
      <c r="D239" s="243"/>
      <c r="E239" s="328" t="str">
        <f>IF(ISBLANK(C239),"",IFERROR(IF(fnStepCostHourly=0,fnStepNotAvail,IF(ISBLANK(D239),"",fnStepCostHourly*$D239*VLOOKUP(BasisYear,ChemPPI[],14,FALSE)/VLOOKUP(2017,ChemPPI[],14,FALSE))),""))</f>
        <v/>
      </c>
      <c r="F239" s="328" t="str">
        <f t="shared" si="12"/>
        <v/>
      </c>
      <c r="G239" s="327" t="str">
        <f t="shared" si="13"/>
        <v/>
      </c>
      <c r="H239" s="245"/>
      <c r="I239" s="244" t="str">
        <f>IFERROR(VLOOKUP($C239,Steps[],5,FALSE),"")</f>
        <v/>
      </c>
      <c r="J239" s="248"/>
    </row>
    <row r="240" spans="2:10" ht="15.95" hidden="1" customHeight="1" outlineLevel="1">
      <c r="B240" s="16"/>
      <c r="C240" s="69"/>
      <c r="D240" s="243"/>
      <c r="E240" s="328" t="str">
        <f>IF(ISBLANK(C240),"",IFERROR(IF(fnStepCostHourly=0,fnStepNotAvail,IF(ISBLANK(D240),"",fnStepCostHourly*$D240*VLOOKUP(BasisYear,ChemPPI[],14,FALSE)/VLOOKUP(2017,ChemPPI[],14,FALSE))),""))</f>
        <v/>
      </c>
      <c r="F240" s="328" t="str">
        <f t="shared" si="12"/>
        <v/>
      </c>
      <c r="G240" s="327" t="str">
        <f t="shared" si="13"/>
        <v/>
      </c>
      <c r="H240" s="245"/>
      <c r="I240" s="244" t="str">
        <f>IFERROR(VLOOKUP($C240,Steps[],5,FALSE),"")</f>
        <v/>
      </c>
      <c r="J240" s="248"/>
    </row>
    <row r="241" spans="1:10" ht="15.95" hidden="1" customHeight="1" outlineLevel="1">
      <c r="B241" s="16"/>
      <c r="C241" s="69"/>
      <c r="D241" s="243"/>
      <c r="E241" s="328" t="str">
        <f>IF(ISBLANK(C241),"",IFERROR(IF(fnStepCostHourly=0,fnStepNotAvail,IF(ISBLANK(D241),"",fnStepCostHourly*$D241*VLOOKUP(BasisYear,ChemPPI[],14,FALSE)/VLOOKUP(2017,ChemPPI[],14,FALSE))),""))</f>
        <v/>
      </c>
      <c r="F241" s="328" t="str">
        <f t="shared" si="12"/>
        <v/>
      </c>
      <c r="G241" s="327" t="str">
        <f t="shared" si="13"/>
        <v/>
      </c>
      <c r="H241" s="245"/>
      <c r="I241" s="244" t="str">
        <f>IFERROR(VLOOKUP($C241,Steps[],5,FALSE),"")</f>
        <v/>
      </c>
      <c r="J241" s="248"/>
    </row>
    <row r="242" spans="1:10" ht="15.95" hidden="1" customHeight="1" outlineLevel="1">
      <c r="B242" s="16"/>
      <c r="C242" s="69"/>
      <c r="D242" s="243"/>
      <c r="E242" s="328" t="str">
        <f>IF(ISBLANK(C242),"",IFERROR(IF(fnStepCostHourly=0,fnStepNotAvail,IF(ISBLANK(D242),"",fnStepCostHourly*$D242*VLOOKUP(BasisYear,ChemPPI[],14,FALSE)/VLOOKUP(2017,ChemPPI[],14,FALSE))),""))</f>
        <v/>
      </c>
      <c r="F242" s="328" t="str">
        <f t="shared" si="12"/>
        <v/>
      </c>
      <c r="G242" s="327" t="str">
        <f t="shared" si="13"/>
        <v/>
      </c>
      <c r="H242" s="245"/>
      <c r="I242" s="244" t="str">
        <f>IFERROR(VLOOKUP($C242,Steps[],5,FALSE),"")</f>
        <v/>
      </c>
      <c r="J242" s="248"/>
    </row>
    <row r="243" spans="1:10" ht="15.95" hidden="1" customHeight="1" outlineLevel="1">
      <c r="B243" s="16"/>
      <c r="C243" s="69"/>
      <c r="D243" s="243"/>
      <c r="E243" s="328" t="str">
        <f>IF(ISBLANK(C243),"",IFERROR(IF(fnStepCostHourly=0,fnStepNotAvail,IF(ISBLANK(D243),"",fnStepCostHourly*$D243*VLOOKUP(BasisYear,ChemPPI[],14,FALSE)/VLOOKUP(2017,ChemPPI[],14,FALSE))),""))</f>
        <v/>
      </c>
      <c r="F243" s="328" t="str">
        <f t="shared" si="12"/>
        <v/>
      </c>
      <c r="G243" s="327" t="str">
        <f t="shared" si="13"/>
        <v/>
      </c>
      <c r="H243" s="245"/>
      <c r="I243" s="244" t="str">
        <f>IFERROR(VLOOKUP($C243,Steps[],5,FALSE),"")</f>
        <v/>
      </c>
      <c r="J243" s="248"/>
    </row>
    <row r="244" spans="1:10" ht="15.95" hidden="1" customHeight="1" outlineLevel="1">
      <c r="B244" s="16"/>
      <c r="C244" s="69"/>
      <c r="D244" s="243"/>
      <c r="E244" s="328" t="str">
        <f>IF(ISBLANK(C244),"",IFERROR(IF(fnStepCostHourly=0,fnStepNotAvail,IF(ISBLANK(D244),"",fnStepCostHourly*$D244*VLOOKUP(BasisYear,ChemPPI[],14,FALSE)/VLOOKUP(2017,ChemPPI[],14,FALSE))),""))</f>
        <v/>
      </c>
      <c r="F244" s="328" t="str">
        <f t="shared" si="12"/>
        <v/>
      </c>
      <c r="G244" s="327" t="str">
        <f t="shared" si="13"/>
        <v/>
      </c>
      <c r="H244" s="245"/>
      <c r="I244" s="244" t="str">
        <f>IFERROR(VLOOKUP($C244,Steps[],5,FALSE),"")</f>
        <v/>
      </c>
      <c r="J244" s="248"/>
    </row>
    <row r="245" spans="1:10" ht="15.95" hidden="1" customHeight="1" outlineLevel="1">
      <c r="B245" s="16"/>
      <c r="C245" s="69"/>
      <c r="D245" s="243"/>
      <c r="E245" s="328" t="str">
        <f>IF(ISBLANK(C245),"",IFERROR(IF(fnStepCostHourly=0,fnStepNotAvail,IF(ISBLANK(D245),"",fnStepCostHourly*$D245*VLOOKUP(BasisYear,ChemPPI[],14,FALSE)/VLOOKUP(2017,ChemPPI[],14,FALSE))),""))</f>
        <v/>
      </c>
      <c r="F245" s="328" t="str">
        <f t="shared" si="12"/>
        <v/>
      </c>
      <c r="G245" s="327" t="str">
        <f t="shared" si="13"/>
        <v/>
      </c>
      <c r="H245" s="245"/>
      <c r="I245" s="244" t="str">
        <f>IFERROR(VLOOKUP($C245,Steps[],5,FALSE),"")</f>
        <v/>
      </c>
      <c r="J245" s="248"/>
    </row>
    <row r="246" spans="1:10" ht="15.95" hidden="1" customHeight="1" outlineLevel="1">
      <c r="B246" s="16"/>
      <c r="C246" s="69"/>
      <c r="D246" s="243"/>
      <c r="E246" s="328" t="str">
        <f>IF(ISBLANK(C246),"",IFERROR(IF(fnStepCostHourly=0,fnStepNotAvail,IF(ISBLANK(D246),"",fnStepCostHourly*$D246*VLOOKUP(BasisYear,ChemPPI[],14,FALSE)/VLOOKUP(2017,ChemPPI[],14,FALSE))),""))</f>
        <v/>
      </c>
      <c r="F246" s="328" t="str">
        <f t="shared" si="12"/>
        <v/>
      </c>
      <c r="G246" s="327" t="str">
        <f t="shared" si="13"/>
        <v/>
      </c>
      <c r="H246" s="245"/>
      <c r="I246" s="244" t="str">
        <f>IFERROR(VLOOKUP($C246,Steps[],5,FALSE),"")</f>
        <v/>
      </c>
      <c r="J246" s="248"/>
    </row>
    <row r="247" spans="1:10" ht="15.95" hidden="1" customHeight="1" outlineLevel="1">
      <c r="B247" s="16"/>
      <c r="C247" s="69"/>
      <c r="D247" s="243"/>
      <c r="E247" s="328" t="str">
        <f>IF(ISBLANK(C247),"",IFERROR(IF(fnStepCostHourly=0,fnStepNotAvail,IF(ISBLANK(D247),"",fnStepCostHourly*$D247*VLOOKUP(BasisYear,ChemPPI[],14,FALSE)/VLOOKUP(2017,ChemPPI[],14,FALSE))),""))</f>
        <v/>
      </c>
      <c r="F247" s="328" t="str">
        <f t="shared" si="12"/>
        <v/>
      </c>
      <c r="G247" s="327" t="str">
        <f t="shared" si="13"/>
        <v/>
      </c>
      <c r="H247" s="245"/>
      <c r="I247" s="244" t="str">
        <f>IFERROR(VLOOKUP($C247,Steps[],5,FALSE),"")</f>
        <v/>
      </c>
      <c r="J247" s="248"/>
    </row>
    <row r="248" spans="1:10" ht="15.95" hidden="1" customHeight="1" outlineLevel="1">
      <c r="B248" s="16"/>
      <c r="C248" s="69"/>
      <c r="D248" s="243"/>
      <c r="E248" s="328" t="str">
        <f>IF(ISBLANK(C248),"",IFERROR(IF(fnStepCostHourly=0,fnStepNotAvail,IF(ISBLANK(D248),"",fnStepCostHourly*$D248*VLOOKUP(BasisYear,ChemPPI[],14,FALSE)/VLOOKUP(2017,ChemPPI[],14,FALSE))),""))</f>
        <v/>
      </c>
      <c r="F248" s="328" t="str">
        <f t="shared" si="12"/>
        <v/>
      </c>
      <c r="G248" s="327" t="str">
        <f t="shared" si="13"/>
        <v/>
      </c>
      <c r="H248" s="245"/>
      <c r="I248" s="244" t="str">
        <f>IFERROR(VLOOKUP($C248,Steps[],5,FALSE),"")</f>
        <v/>
      </c>
      <c r="J248" s="248"/>
    </row>
    <row r="249" spans="1:10" ht="15.95" hidden="1" customHeight="1" outlineLevel="1">
      <c r="B249" s="16"/>
      <c r="C249" s="69"/>
      <c r="D249" s="243"/>
      <c r="E249" s="328" t="str">
        <f>IF(ISBLANK(C249),"",IFERROR(IF(fnStepCostHourly=0,fnStepNotAvail,IF(ISBLANK(D249),"",fnStepCostHourly*$D249*VLOOKUP(BasisYear,ChemPPI[],14,FALSE)/VLOOKUP(2017,ChemPPI[],14,FALSE))),""))</f>
        <v/>
      </c>
      <c r="F249" s="328" t="str">
        <f t="shared" si="12"/>
        <v/>
      </c>
      <c r="G249" s="327" t="str">
        <f t="shared" si="13"/>
        <v/>
      </c>
      <c r="H249" s="245"/>
      <c r="I249" s="244" t="str">
        <f>IFERROR(VLOOKUP($C249,Steps[],5,FALSE),"")</f>
        <v/>
      </c>
      <c r="J249" s="248"/>
    </row>
    <row r="250" spans="1:10" ht="16.5" hidden="1" outlineLevel="1" thickBot="1">
      <c r="B250" s="249"/>
      <c r="C250" s="250"/>
      <c r="D250" s="250"/>
      <c r="E250" s="250"/>
      <c r="F250" s="250"/>
      <c r="G250" s="250"/>
      <c r="H250" s="250"/>
      <c r="I250" s="250"/>
      <c r="J250" s="251"/>
    </row>
    <row r="251" spans="1:10" ht="16.5" collapsed="1" thickBot="1">
      <c r="A251" s="300" t="str">
        <f>"&lt;– show/hide "&amp;B219</f>
        <v>&lt;– show/hide Step Process Template: Metal (PGM) on Carbon</v>
      </c>
    </row>
    <row r="252" spans="1:10" ht="21" thickBot="1">
      <c r="B252" s="341" t="str">
        <f>"Step Process Template: "&amp;C255</f>
        <v>Step Process Template: Metal (PGM) on Metal Oxide</v>
      </c>
      <c r="C252" s="342"/>
      <c r="D252" s="342"/>
      <c r="E252" s="342"/>
      <c r="F252" s="342"/>
      <c r="G252" s="342"/>
      <c r="H252" s="343"/>
    </row>
    <row r="253" spans="1:10" hidden="1" outlineLevel="1">
      <c r="B253" s="13"/>
      <c r="C253" s="14"/>
      <c r="D253" s="14"/>
      <c r="E253" s="14"/>
      <c r="F253" s="14"/>
      <c r="G253" s="14"/>
      <c r="H253" s="15"/>
      <c r="J253" s="198"/>
    </row>
    <row r="254" spans="1:10" hidden="1" outlineLevel="1">
      <c r="B254" s="16"/>
      <c r="C254" s="17" t="s">
        <v>1045</v>
      </c>
      <c r="D254" s="253" t="s">
        <v>953</v>
      </c>
      <c r="E254" s="64" t="s">
        <v>945</v>
      </c>
      <c r="F254" s="64" t="s">
        <v>946</v>
      </c>
      <c r="G254" s="64" t="str">
        <f>"Cost ($/"&amp;OutMassUnit&amp;" catalyst)"</f>
        <v>Cost ($/kg catalyst)</v>
      </c>
      <c r="H254" s="247"/>
      <c r="J254" s="198"/>
    </row>
    <row r="255" spans="1:10" ht="15.95" hidden="1" customHeight="1" outlineLevel="1">
      <c r="B255" s="16"/>
      <c r="C255" s="18" t="s">
        <v>1089</v>
      </c>
      <c r="D255" s="253"/>
      <c r="E255" s="330">
        <f>SUM(E263:E282)</f>
        <v>2044.6849389090694</v>
      </c>
      <c r="F255" s="330">
        <f>SUM(F263:F282)</f>
        <v>81787.39755636279</v>
      </c>
      <c r="G255" s="329">
        <f>SUM(G263:G282)</f>
        <v>0.90155173417448331</v>
      </c>
      <c r="H255" s="322"/>
      <c r="J255" s="198"/>
    </row>
    <row r="256" spans="1:10" ht="15.95" hidden="1" customHeight="1" outlineLevel="1">
      <c r="B256" s="16"/>
      <c r="C256" s="339" t="str">
        <f>"Name: "&amp;C255</f>
        <v>Name: Metal (PGM) on Metal Oxide</v>
      </c>
      <c r="D256" s="253"/>
      <c r="E256" s="333"/>
      <c r="F256" s="333"/>
      <c r="G256" s="334"/>
      <c r="H256" s="322"/>
      <c r="J256" s="198"/>
    </row>
    <row r="257" spans="2:10" ht="15.95" hidden="1" customHeight="1" outlineLevel="1">
      <c r="B257" s="16"/>
      <c r="C257" s="17" t="s">
        <v>1060</v>
      </c>
      <c r="D257" s="253"/>
      <c r="E257" s="333"/>
      <c r="F257" s="333"/>
      <c r="G257" s="334"/>
      <c r="H257" s="322"/>
      <c r="J257" s="198"/>
    </row>
    <row r="258" spans="2:10" ht="15.95" hidden="1" customHeight="1" outlineLevel="1">
      <c r="B258" s="16"/>
      <c r="C258" s="18" t="s">
        <v>1071</v>
      </c>
      <c r="D258" s="253"/>
      <c r="E258" s="333"/>
      <c r="F258" s="333"/>
      <c r="G258" s="334"/>
      <c r="H258" s="322"/>
      <c r="J258" s="198"/>
    </row>
    <row r="259" spans="2:10" ht="15.95" hidden="1" customHeight="1" outlineLevel="1">
      <c r="B259" s="16"/>
      <c r="C259" s="18" t="s">
        <v>1063</v>
      </c>
      <c r="D259" s="253"/>
      <c r="E259" s="333"/>
      <c r="F259" s="333"/>
      <c r="G259" s="334"/>
      <c r="H259" s="322"/>
      <c r="J259" s="198"/>
    </row>
    <row r="260" spans="2:10" ht="16.5" hidden="1" outlineLevel="1" thickBot="1">
      <c r="B260" s="21"/>
      <c r="C260" s="22"/>
      <c r="D260" s="22"/>
      <c r="E260" s="22"/>
      <c r="F260" s="22"/>
      <c r="G260" s="22"/>
      <c r="H260" s="23"/>
      <c r="J260" s="198"/>
    </row>
    <row r="261" spans="2:10" ht="15.95" hidden="1" customHeight="1" outlineLevel="1">
      <c r="B261" s="16"/>
      <c r="C261" s="18"/>
      <c r="D261" s="18"/>
      <c r="E261" s="18"/>
      <c r="F261" s="18"/>
      <c r="G261" s="18"/>
      <c r="H261" s="18"/>
      <c r="I261" s="14"/>
      <c r="J261" s="15"/>
    </row>
    <row r="262" spans="2:10" ht="17.100000000000001" hidden="1" customHeight="1" outlineLevel="1">
      <c r="B262" s="16"/>
      <c r="C262" s="325" t="s">
        <v>930</v>
      </c>
      <c r="D262" s="325" t="s">
        <v>307</v>
      </c>
      <c r="E262" s="325" t="s">
        <v>945</v>
      </c>
      <c r="F262" s="325" t="s">
        <v>946</v>
      </c>
      <c r="G262" s="325" t="str">
        <f>"Cost ($/"&amp;OutMassUnit&amp;" catalyst)"</f>
        <v>Cost ($/kg catalyst)</v>
      </c>
      <c r="H262" s="325"/>
      <c r="I262" s="325" t="s">
        <v>205</v>
      </c>
      <c r="J262" s="247"/>
    </row>
    <row r="263" spans="2:10" ht="15.95" hidden="1" customHeight="1" outlineLevel="1">
      <c r="B263" s="16"/>
      <c r="C263" s="69" t="s">
        <v>916</v>
      </c>
      <c r="D263" s="243">
        <v>1</v>
      </c>
      <c r="E263" s="328">
        <f>IF(ISBLANK(C263),"",IFERROR(IF(fnStepCostHourly=0,fnStepNotAvail,IF(ISBLANK(D263),"",fnStepCostHourly*$D263*VLOOKUP(BasisYear,ChemPPI[],14,FALSE)/VLOOKUP(2017,ChemPPI[],14,FALSE))),""))</f>
        <v>192.44093542673596</v>
      </c>
      <c r="F263" s="328">
        <f t="shared" ref="F263:F282" si="14">IFERROR($E263*$D$9*24,$E263)</f>
        <v>7697.637417069438</v>
      </c>
      <c r="G263" s="327">
        <f t="shared" ref="G263:G282" si="15">IFERROR($F263/$D$7,$F263)</f>
        <v>8.485192792230431E-2</v>
      </c>
      <c r="H263" s="245"/>
      <c r="I263" s="244" t="str">
        <f>IFERROR(VLOOKUP($C263,Steps[],5,FALSE),"")</f>
        <v>-</v>
      </c>
      <c r="J263" s="248"/>
    </row>
    <row r="264" spans="2:10" ht="15.95" hidden="1" customHeight="1" outlineLevel="1">
      <c r="B264" s="16"/>
      <c r="C264" s="335" t="s">
        <v>938</v>
      </c>
      <c r="D264" s="336">
        <f>1*IF($D$6&lt;5,0,IF($D$6&lt;70,1,1))</f>
        <v>1</v>
      </c>
      <c r="E264" s="328">
        <f>IF(ISBLANK(C264),"",IFERROR(IF(fnStepCostHourly=0,fnStepNotAvail,IF(ISBLANK(D264),"",fnStepCostHourly*$D264*VLOOKUP(BasisYear,ChemPPI[],14,FALSE)/VLOOKUP(2017,ChemPPI[],14,FALSE))),""))</f>
        <v>312.71652006844596</v>
      </c>
      <c r="F264" s="328">
        <f t="shared" si="14"/>
        <v>12508.660802737839</v>
      </c>
      <c r="G264" s="327">
        <f t="shared" si="15"/>
        <v>0.13788438287374452</v>
      </c>
      <c r="H264" s="245"/>
      <c r="I264" s="244" t="str">
        <f>IFERROR(VLOOKUP($C264,Steps[],5,FALSE),"")</f>
        <v>A.k.a. calciner. Sub with batch kiln at small scale</v>
      </c>
      <c r="J264" s="248"/>
    </row>
    <row r="265" spans="2:10" ht="15.95" hidden="1" customHeight="1" outlineLevel="1">
      <c r="B265" s="16"/>
      <c r="C265" s="335" t="s">
        <v>940</v>
      </c>
      <c r="D265" s="336">
        <f>1*IF($D$6&lt;5,1,IF($D$6&lt;70,0,0))</f>
        <v>0</v>
      </c>
      <c r="E265" s="328" t="str">
        <f>IF(ISBLANK(C265),"",IFERROR(IF(fnStepCostHourly=0,fnStepNotAvail,IF(ISBLANK(D265),"",fnStepCostHourly*$D265*VLOOKUP(BasisYear,ChemPPI[],14,FALSE)/VLOOKUP(2017,ChemPPI[],14,FALSE))),""))</f>
        <v>N/A at large scale</v>
      </c>
      <c r="F265" s="328" t="str">
        <f t="shared" si="14"/>
        <v>N/A at large scale</v>
      </c>
      <c r="G265" s="327" t="str">
        <f t="shared" si="15"/>
        <v>N/A at large scale</v>
      </c>
      <c r="H265" s="245"/>
      <c r="I265" s="244" t="str">
        <f>IFERROR(VLOOKUP($C265,Steps[],5,FALSE),"")</f>
        <v>A.k.a. calciner. Sub with continuous kiln at M/L scale</v>
      </c>
      <c r="J265" s="248"/>
    </row>
    <row r="266" spans="2:10" ht="15.95" hidden="1" customHeight="1" outlineLevel="1">
      <c r="B266" s="16"/>
      <c r="C266" s="69" t="s">
        <v>931</v>
      </c>
      <c r="D266" s="243">
        <v>1</v>
      </c>
      <c r="E266" s="328">
        <f>IF(ISBLANK(C266),"",IFERROR(IF(fnStepCostHourly=0,fnStepNotAvail,IF(ISBLANK(D266),"",fnStepCostHourly*$D266*VLOOKUP(BasisYear,ChemPPI[],14,FALSE)/VLOOKUP(2017,ChemPPI[],14,FALSE))),""))</f>
        <v>192.44093542673596</v>
      </c>
      <c r="F266" s="328">
        <f t="shared" si="14"/>
        <v>7697.637417069438</v>
      </c>
      <c r="G266" s="327">
        <f t="shared" si="15"/>
        <v>8.485192792230431E-2</v>
      </c>
      <c r="H266" s="245"/>
      <c r="I266" s="244" t="str">
        <f>IFERROR(VLOOKUP($C266,Steps[],5,FALSE),"")</f>
        <v>-</v>
      </c>
      <c r="J266" s="248"/>
    </row>
    <row r="267" spans="2:10" ht="15.95" hidden="1" customHeight="1" outlineLevel="1">
      <c r="B267" s="16" t="s">
        <v>1062</v>
      </c>
      <c r="C267" s="69" t="s">
        <v>917</v>
      </c>
      <c r="D267" s="243">
        <v>1</v>
      </c>
      <c r="E267" s="328">
        <f>IF(ISBLANK(C267),"",IFERROR(IF(fnStepCostHourly=0,fnStepNotAvail,IF(ISBLANK(D267),"",fnStepCostHourly*$D267*VLOOKUP(BasisYear,ChemPPI[],14,FALSE)/VLOOKUP(2017,ChemPPI[],14,FALSE))),""))</f>
        <v>288.66140314010391</v>
      </c>
      <c r="F267" s="328">
        <f t="shared" si="14"/>
        <v>11546.456125604156</v>
      </c>
      <c r="G267" s="327">
        <f t="shared" si="15"/>
        <v>0.12727789188345645</v>
      </c>
      <c r="H267" s="245"/>
      <c r="I267" s="244" t="str">
        <f>IFERROR(VLOOKUP($C267,Steps[],5,FALSE),"")</f>
        <v>-</v>
      </c>
      <c r="J267" s="248"/>
    </row>
    <row r="268" spans="2:10" ht="15.95" hidden="1" customHeight="1" outlineLevel="1">
      <c r="B268" s="16" t="s">
        <v>1062</v>
      </c>
      <c r="C268" s="335" t="s">
        <v>919</v>
      </c>
      <c r="D268" s="336">
        <f>1*IF($D$6&lt;5,0,IF($D$6&lt;70,1,1))</f>
        <v>1</v>
      </c>
      <c r="E268" s="328">
        <f>IF(ISBLANK(C268),"",IFERROR(IF(fnStepCostHourly=0,fnStepNotAvail,IF(ISBLANK(D268),"",fnStepCostHourly*$D268*VLOOKUP(BasisYear,ChemPPI[],14,FALSE)/VLOOKUP(2017,ChemPPI[],14,FALSE))),""))</f>
        <v>288.66140314010391</v>
      </c>
      <c r="F268" s="328">
        <f t="shared" si="14"/>
        <v>11546.456125604156</v>
      </c>
      <c r="G268" s="327">
        <f t="shared" si="15"/>
        <v>0.12727789188345645</v>
      </c>
      <c r="H268" s="245"/>
      <c r="I268" s="244" t="str">
        <f>IFERROR(VLOOKUP($C268,Steps[],5,FALSE),"")</f>
        <v>Substitute with plate and frame at small scale</v>
      </c>
      <c r="J268" s="248"/>
    </row>
    <row r="269" spans="2:10" ht="15.95" hidden="1" customHeight="1" outlineLevel="1">
      <c r="B269" s="337" t="s">
        <v>1070</v>
      </c>
      <c r="C269" s="335" t="s">
        <v>921</v>
      </c>
      <c r="D269" s="336">
        <f>1*IF($D$6&lt;5,1,IF($D$6&lt;70,0,0))</f>
        <v>0</v>
      </c>
      <c r="E269" s="328" t="str">
        <f>IF(ISBLANK(C269),"",IFERROR(IF(fnStepCostHourly=0,fnStepNotAvail,IF(ISBLANK(D269),"",fnStepCostHourly*$D269*VLOOKUP(BasisYear,ChemPPI[],14,FALSE)/VLOOKUP(2017,ChemPPI[],14,FALSE))),""))</f>
        <v>N/A at large scale</v>
      </c>
      <c r="F269" s="328" t="str">
        <f t="shared" si="14"/>
        <v>N/A at large scale</v>
      </c>
      <c r="G269" s="327" t="str">
        <f t="shared" si="15"/>
        <v>N/A at large scale</v>
      </c>
      <c r="H269" s="245"/>
      <c r="I269" s="244" t="str">
        <f>IFERROR(VLOOKUP($C269,Steps[],5,FALSE),"")</f>
        <v>Substitute with belt or rotary vacuum at M/L scale</v>
      </c>
      <c r="J269" s="248"/>
    </row>
    <row r="270" spans="2:10" ht="15.95" hidden="1" customHeight="1" outlineLevel="1">
      <c r="B270" s="16" t="s">
        <v>1062</v>
      </c>
      <c r="C270" s="69" t="s">
        <v>1066</v>
      </c>
      <c r="D270" s="243">
        <v>1</v>
      </c>
      <c r="E270" s="328">
        <f>IF(ISBLANK(C270),"",IFERROR(IF(fnStepCostHourly=0,fnStepNotAvail,IF(ISBLANK(D270),"",fnStepCostHourly*$D270*VLOOKUP(BasisYear,ChemPPI[],14,FALSE)/VLOOKUP(2017,ChemPPI[],14,FALSE))),""))</f>
        <v>192.44093542673596</v>
      </c>
      <c r="F270" s="328">
        <f t="shared" si="14"/>
        <v>7697.637417069438</v>
      </c>
      <c r="G270" s="327">
        <f t="shared" si="15"/>
        <v>8.485192792230431E-2</v>
      </c>
      <c r="H270" s="245"/>
      <c r="I270" s="244" t="str">
        <f>IFERROR(VLOOKUP($C270,Steps[],5,FALSE),"")</f>
        <v>-</v>
      </c>
      <c r="J270" s="248"/>
    </row>
    <row r="271" spans="2:10" ht="15.95" hidden="1" customHeight="1" outlineLevel="1">
      <c r="B271" s="16" t="s">
        <v>1062</v>
      </c>
      <c r="C271" s="69" t="s">
        <v>1065</v>
      </c>
      <c r="D271" s="243">
        <v>2</v>
      </c>
      <c r="E271" s="328">
        <f>IF(ISBLANK(C271),"",IFERROR(IF(fnStepCostHourly=0,fnStepNotAvail,IF(ISBLANK(D271),"",fnStepCostHourly*$D271*VLOOKUP(BasisYear,ChemPPI[],14,FALSE)/VLOOKUP(2017,ChemPPI[],14,FALSE))),""))</f>
        <v>577.32280628020783</v>
      </c>
      <c r="F271" s="328">
        <f t="shared" si="14"/>
        <v>23092.912251208312</v>
      </c>
      <c r="G271" s="327">
        <f t="shared" si="15"/>
        <v>0.2545557837669129</v>
      </c>
      <c r="H271" s="245"/>
      <c r="I271" s="244" t="str">
        <f>IFERROR(VLOOKUP($C271,Steps[],5,FALSE),"")</f>
        <v>For higher temp use kiln</v>
      </c>
      <c r="J271" s="248"/>
    </row>
    <row r="272" spans="2:10" ht="15.95" hidden="1" customHeight="1" outlineLevel="1">
      <c r="B272" s="16"/>
      <c r="C272" s="69"/>
      <c r="D272" s="243"/>
      <c r="E272" s="328" t="str">
        <f>IF(ISBLANK(C272),"",IFERROR(IF(fnStepCostHourly=0,fnStepNotAvail,IF(ISBLANK(D272),"",fnStepCostHourly*$D272*VLOOKUP(BasisYear,ChemPPI[],14,FALSE)/VLOOKUP(2017,ChemPPI[],14,FALSE))),""))</f>
        <v/>
      </c>
      <c r="F272" s="328" t="str">
        <f t="shared" si="14"/>
        <v/>
      </c>
      <c r="G272" s="327" t="str">
        <f t="shared" si="15"/>
        <v/>
      </c>
      <c r="H272" s="245"/>
      <c r="I272" s="244" t="str">
        <f>IFERROR(VLOOKUP($C272,Steps[],5,FALSE),"")</f>
        <v/>
      </c>
      <c r="J272" s="248"/>
    </row>
    <row r="273" spans="1:10" ht="15.95" hidden="1" customHeight="1" outlineLevel="1">
      <c r="B273" s="16"/>
      <c r="C273" s="69"/>
      <c r="D273" s="243"/>
      <c r="E273" s="328" t="str">
        <f>IF(ISBLANK(C273),"",IFERROR(IF(fnStepCostHourly=0,fnStepNotAvail,IF(ISBLANK(D273),"",fnStepCostHourly*$D273*VLOOKUP(BasisYear,ChemPPI[],14,FALSE)/VLOOKUP(2017,ChemPPI[],14,FALSE))),""))</f>
        <v/>
      </c>
      <c r="F273" s="328" t="str">
        <f t="shared" si="14"/>
        <v/>
      </c>
      <c r="G273" s="327" t="str">
        <f t="shared" si="15"/>
        <v/>
      </c>
      <c r="H273" s="245"/>
      <c r="I273" s="244" t="str">
        <f>IFERROR(VLOOKUP($C273,Steps[],5,FALSE),"")</f>
        <v/>
      </c>
      <c r="J273" s="248"/>
    </row>
    <row r="274" spans="1:10" ht="15.95" hidden="1" customHeight="1" outlineLevel="1">
      <c r="B274" s="16"/>
      <c r="C274" s="69"/>
      <c r="D274" s="243"/>
      <c r="E274" s="328" t="str">
        <f>IF(ISBLANK(C274),"",IFERROR(IF(fnStepCostHourly=0,fnStepNotAvail,IF(ISBLANK(D274),"",fnStepCostHourly*$D274*VLOOKUP(BasisYear,ChemPPI[],14,FALSE)/VLOOKUP(2017,ChemPPI[],14,FALSE))),""))</f>
        <v/>
      </c>
      <c r="F274" s="328" t="str">
        <f t="shared" si="14"/>
        <v/>
      </c>
      <c r="G274" s="327" t="str">
        <f t="shared" si="15"/>
        <v/>
      </c>
      <c r="H274" s="245"/>
      <c r="I274" s="244" t="str">
        <f>IFERROR(VLOOKUP($C274,Steps[],5,FALSE),"")</f>
        <v/>
      </c>
      <c r="J274" s="248"/>
    </row>
    <row r="275" spans="1:10" ht="15.95" hidden="1" customHeight="1" outlineLevel="1">
      <c r="B275" s="16"/>
      <c r="C275" s="69"/>
      <c r="D275" s="243"/>
      <c r="E275" s="328" t="str">
        <f>IF(ISBLANK(C275),"",IFERROR(IF(fnStepCostHourly=0,fnStepNotAvail,IF(ISBLANK(D275),"",fnStepCostHourly*$D275*VLOOKUP(BasisYear,ChemPPI[],14,FALSE)/VLOOKUP(2017,ChemPPI[],14,FALSE))),""))</f>
        <v/>
      </c>
      <c r="F275" s="328" t="str">
        <f t="shared" si="14"/>
        <v/>
      </c>
      <c r="G275" s="327" t="str">
        <f t="shared" si="15"/>
        <v/>
      </c>
      <c r="H275" s="245"/>
      <c r="I275" s="244" t="str">
        <f>IFERROR(VLOOKUP($C275,Steps[],5,FALSE),"")</f>
        <v/>
      </c>
      <c r="J275" s="248"/>
    </row>
    <row r="276" spans="1:10" ht="15.95" hidden="1" customHeight="1" outlineLevel="1">
      <c r="B276" s="16"/>
      <c r="C276" s="69"/>
      <c r="D276" s="243"/>
      <c r="E276" s="328" t="str">
        <f>IF(ISBLANK(C276),"",IFERROR(IF(fnStepCostHourly=0,fnStepNotAvail,IF(ISBLANK(D276),"",fnStepCostHourly*$D276*VLOOKUP(BasisYear,ChemPPI[],14,FALSE)/VLOOKUP(2017,ChemPPI[],14,FALSE))),""))</f>
        <v/>
      </c>
      <c r="F276" s="328" t="str">
        <f t="shared" si="14"/>
        <v/>
      </c>
      <c r="G276" s="327" t="str">
        <f t="shared" si="15"/>
        <v/>
      </c>
      <c r="H276" s="245"/>
      <c r="I276" s="244" t="str">
        <f>IFERROR(VLOOKUP($C276,Steps[],5,FALSE),"")</f>
        <v/>
      </c>
      <c r="J276" s="248"/>
    </row>
    <row r="277" spans="1:10" ht="15.95" hidden="1" customHeight="1" outlineLevel="1">
      <c r="B277" s="16"/>
      <c r="C277" s="69"/>
      <c r="D277" s="243"/>
      <c r="E277" s="328" t="str">
        <f>IF(ISBLANK(C277),"",IFERROR(IF(fnStepCostHourly=0,fnStepNotAvail,IF(ISBLANK(D277),"",fnStepCostHourly*$D277*VLOOKUP(BasisYear,ChemPPI[],14,FALSE)/VLOOKUP(2017,ChemPPI[],14,FALSE))),""))</f>
        <v/>
      </c>
      <c r="F277" s="328" t="str">
        <f t="shared" si="14"/>
        <v/>
      </c>
      <c r="G277" s="327" t="str">
        <f t="shared" si="15"/>
        <v/>
      </c>
      <c r="H277" s="245"/>
      <c r="I277" s="244" t="str">
        <f>IFERROR(VLOOKUP($C277,Steps[],5,FALSE),"")</f>
        <v/>
      </c>
      <c r="J277" s="248"/>
    </row>
    <row r="278" spans="1:10" ht="15.95" hidden="1" customHeight="1" outlineLevel="1">
      <c r="B278" s="16"/>
      <c r="C278" s="69"/>
      <c r="D278" s="243"/>
      <c r="E278" s="328" t="str">
        <f>IF(ISBLANK(C278),"",IFERROR(IF(fnStepCostHourly=0,fnStepNotAvail,IF(ISBLANK(D278),"",fnStepCostHourly*$D278*VLOOKUP(BasisYear,ChemPPI[],14,FALSE)/VLOOKUP(2017,ChemPPI[],14,FALSE))),""))</f>
        <v/>
      </c>
      <c r="F278" s="328" t="str">
        <f t="shared" si="14"/>
        <v/>
      </c>
      <c r="G278" s="327" t="str">
        <f t="shared" si="15"/>
        <v/>
      </c>
      <c r="H278" s="245"/>
      <c r="I278" s="244" t="str">
        <f>IFERROR(VLOOKUP($C278,Steps[],5,FALSE),"")</f>
        <v/>
      </c>
      <c r="J278" s="248"/>
    </row>
    <row r="279" spans="1:10" ht="15.95" hidden="1" customHeight="1" outlineLevel="1">
      <c r="B279" s="16"/>
      <c r="C279" s="69"/>
      <c r="D279" s="243"/>
      <c r="E279" s="328" t="str">
        <f>IF(ISBLANK(C279),"",IFERROR(IF(fnStepCostHourly=0,fnStepNotAvail,IF(ISBLANK(D279),"",fnStepCostHourly*$D279*VLOOKUP(BasisYear,ChemPPI[],14,FALSE)/VLOOKUP(2017,ChemPPI[],14,FALSE))),""))</f>
        <v/>
      </c>
      <c r="F279" s="328" t="str">
        <f t="shared" si="14"/>
        <v/>
      </c>
      <c r="G279" s="327" t="str">
        <f t="shared" si="15"/>
        <v/>
      </c>
      <c r="H279" s="245"/>
      <c r="I279" s="244" t="str">
        <f>IFERROR(VLOOKUP($C279,Steps[],5,FALSE),"")</f>
        <v/>
      </c>
      <c r="J279" s="248"/>
    </row>
    <row r="280" spans="1:10" ht="15.95" hidden="1" customHeight="1" outlineLevel="1">
      <c r="B280" s="16"/>
      <c r="C280" s="69"/>
      <c r="D280" s="243"/>
      <c r="E280" s="328" t="str">
        <f>IF(ISBLANK(C280),"",IFERROR(IF(fnStepCostHourly=0,fnStepNotAvail,IF(ISBLANK(D280),"",fnStepCostHourly*$D280*VLOOKUP(BasisYear,ChemPPI[],14,FALSE)/VLOOKUP(2017,ChemPPI[],14,FALSE))),""))</f>
        <v/>
      </c>
      <c r="F280" s="328" t="str">
        <f t="shared" si="14"/>
        <v/>
      </c>
      <c r="G280" s="327" t="str">
        <f t="shared" si="15"/>
        <v/>
      </c>
      <c r="H280" s="245"/>
      <c r="I280" s="244" t="str">
        <f>IFERROR(VLOOKUP($C280,Steps[],5,FALSE),"")</f>
        <v/>
      </c>
      <c r="J280" s="248"/>
    </row>
    <row r="281" spans="1:10" ht="15.95" hidden="1" customHeight="1" outlineLevel="1">
      <c r="B281" s="16"/>
      <c r="C281" s="69"/>
      <c r="D281" s="243"/>
      <c r="E281" s="328" t="str">
        <f>IF(ISBLANK(C281),"",IFERROR(IF(fnStepCostHourly=0,fnStepNotAvail,IF(ISBLANK(D281),"",fnStepCostHourly*$D281*VLOOKUP(BasisYear,ChemPPI[],14,FALSE)/VLOOKUP(2017,ChemPPI[],14,FALSE))),""))</f>
        <v/>
      </c>
      <c r="F281" s="328" t="str">
        <f t="shared" si="14"/>
        <v/>
      </c>
      <c r="G281" s="327" t="str">
        <f t="shared" si="15"/>
        <v/>
      </c>
      <c r="H281" s="245"/>
      <c r="I281" s="244" t="str">
        <f>IFERROR(VLOOKUP($C281,Steps[],5,FALSE),"")</f>
        <v/>
      </c>
      <c r="J281" s="248"/>
    </row>
    <row r="282" spans="1:10" ht="15.95" hidden="1" customHeight="1" outlineLevel="1">
      <c r="B282" s="16"/>
      <c r="C282" s="69"/>
      <c r="D282" s="243"/>
      <c r="E282" s="328" t="str">
        <f>IF(ISBLANK(C282),"",IFERROR(IF(fnStepCostHourly=0,fnStepNotAvail,IF(ISBLANK(D282),"",fnStepCostHourly*$D282*VLOOKUP(BasisYear,ChemPPI[],14,FALSE)/VLOOKUP(2017,ChemPPI[],14,FALSE))),""))</f>
        <v/>
      </c>
      <c r="F282" s="328" t="str">
        <f t="shared" si="14"/>
        <v/>
      </c>
      <c r="G282" s="327" t="str">
        <f t="shared" si="15"/>
        <v/>
      </c>
      <c r="H282" s="245"/>
      <c r="I282" s="244" t="str">
        <f>IFERROR(VLOOKUP($C282,Steps[],5,FALSE),"")</f>
        <v/>
      </c>
      <c r="J282" s="248"/>
    </row>
    <row r="283" spans="1:10" ht="16.5" hidden="1" outlineLevel="1" thickBot="1">
      <c r="B283" s="249"/>
      <c r="C283" s="250"/>
      <c r="D283" s="250"/>
      <c r="E283" s="250"/>
      <c r="F283" s="250"/>
      <c r="G283" s="250"/>
      <c r="H283" s="250"/>
      <c r="I283" s="250"/>
      <c r="J283" s="251"/>
    </row>
    <row r="284" spans="1:10" ht="16.5" collapsed="1" thickBot="1">
      <c r="A284" s="300" t="str">
        <f>"&lt;– show/hide "&amp;B252</f>
        <v>&lt;– show/hide Step Process Template: Metal (PGM) on Metal Oxide</v>
      </c>
    </row>
    <row r="285" spans="1:10" ht="21" thickBot="1">
      <c r="B285" s="341" t="str">
        <f>"Step Process Template: "&amp;C288</f>
        <v>Step Process Template: Red Mud</v>
      </c>
      <c r="C285" s="342"/>
      <c r="D285" s="342"/>
      <c r="E285" s="342"/>
      <c r="F285" s="342"/>
      <c r="G285" s="342"/>
      <c r="H285" s="343"/>
    </row>
    <row r="286" spans="1:10" hidden="1" outlineLevel="1">
      <c r="B286" s="13"/>
      <c r="C286" s="14"/>
      <c r="D286" s="14"/>
      <c r="E286" s="14"/>
      <c r="F286" s="14"/>
      <c r="G286" s="14"/>
      <c r="H286" s="15"/>
      <c r="J286" s="198"/>
    </row>
    <row r="287" spans="1:10" hidden="1" outlineLevel="1">
      <c r="B287" s="16"/>
      <c r="C287" s="17" t="s">
        <v>1045</v>
      </c>
      <c r="D287" s="253" t="s">
        <v>953</v>
      </c>
      <c r="E287" s="64" t="s">
        <v>945</v>
      </c>
      <c r="F287" s="64" t="s">
        <v>946</v>
      </c>
      <c r="G287" s="64" t="str">
        <f>"Cost ($/"&amp;OutMassUnit&amp;" catalyst)"</f>
        <v>Cost ($/kg catalyst)</v>
      </c>
      <c r="H287" s="247"/>
      <c r="J287" s="198"/>
    </row>
    <row r="288" spans="1:10" ht="15.95" hidden="1" customHeight="1" outlineLevel="1">
      <c r="B288" s="16"/>
      <c r="C288" s="18" t="s">
        <v>1085</v>
      </c>
      <c r="D288" s="253"/>
      <c r="E288" s="330">
        <f>SUM(E296:E315)</f>
        <v>1731.9684188406236</v>
      </c>
      <c r="F288" s="330">
        <f>SUM(F296:F315)</f>
        <v>69278.736753624951</v>
      </c>
      <c r="G288" s="329">
        <f>SUM(G296:G315)</f>
        <v>0.76366735130073871</v>
      </c>
      <c r="H288" s="322"/>
      <c r="J288" s="198"/>
    </row>
    <row r="289" spans="2:10" ht="15.95" hidden="1" customHeight="1" outlineLevel="1">
      <c r="B289" s="16"/>
      <c r="C289" s="339" t="str">
        <f>"Name: "&amp;C288</f>
        <v>Name: Red Mud</v>
      </c>
      <c r="D289" s="253"/>
      <c r="E289" s="333"/>
      <c r="F289" s="333"/>
      <c r="G289" s="334"/>
      <c r="H289" s="322"/>
      <c r="J289" s="198"/>
    </row>
    <row r="290" spans="2:10" ht="15.95" hidden="1" customHeight="1" outlineLevel="1">
      <c r="B290" s="16"/>
      <c r="C290" s="17" t="s">
        <v>1060</v>
      </c>
      <c r="D290" s="253"/>
      <c r="E290" s="333"/>
      <c r="F290" s="333"/>
      <c r="G290" s="334"/>
      <c r="H290" s="322"/>
      <c r="J290" s="198"/>
    </row>
    <row r="291" spans="2:10" ht="15.95" hidden="1" customHeight="1" outlineLevel="1">
      <c r="B291" s="16"/>
      <c r="C291" s="18" t="s">
        <v>1086</v>
      </c>
      <c r="D291" s="253"/>
      <c r="E291" s="333"/>
      <c r="F291" s="333"/>
      <c r="G291" s="334"/>
      <c r="H291" s="322"/>
      <c r="J291" s="198"/>
    </row>
    <row r="292" spans="2:10" ht="15.95" hidden="1" customHeight="1" outlineLevel="1">
      <c r="B292" s="16"/>
      <c r="C292" s="18" t="s">
        <v>1063</v>
      </c>
      <c r="D292" s="253"/>
      <c r="E292" s="333"/>
      <c r="F292" s="333"/>
      <c r="G292" s="334"/>
      <c r="H292" s="322"/>
      <c r="J292" s="198"/>
    </row>
    <row r="293" spans="2:10" ht="16.5" hidden="1" outlineLevel="1" thickBot="1">
      <c r="B293" s="21"/>
      <c r="C293" s="22"/>
      <c r="D293" s="22"/>
      <c r="E293" s="22"/>
      <c r="F293" s="22"/>
      <c r="G293" s="22"/>
      <c r="H293" s="23"/>
      <c r="J293" s="198"/>
    </row>
    <row r="294" spans="2:10" ht="15.95" hidden="1" customHeight="1" outlineLevel="1">
      <c r="B294" s="16"/>
      <c r="C294" s="18"/>
      <c r="D294" s="18"/>
      <c r="E294" s="18"/>
      <c r="F294" s="18"/>
      <c r="G294" s="18"/>
      <c r="H294" s="18"/>
      <c r="I294" s="14"/>
      <c r="J294" s="15"/>
    </row>
    <row r="295" spans="2:10" ht="17.100000000000001" hidden="1" customHeight="1" outlineLevel="1">
      <c r="B295" s="16"/>
      <c r="C295" s="325" t="s">
        <v>930</v>
      </c>
      <c r="D295" s="325" t="s">
        <v>307</v>
      </c>
      <c r="E295" s="325" t="s">
        <v>945</v>
      </c>
      <c r="F295" s="325" t="s">
        <v>946</v>
      </c>
      <c r="G295" s="325" t="str">
        <f>"Cost ($/"&amp;OutMassUnit&amp;" catalyst)"</f>
        <v>Cost ($/kg catalyst)</v>
      </c>
      <c r="H295" s="325"/>
      <c r="I295" s="325" t="s">
        <v>205</v>
      </c>
      <c r="J295" s="247"/>
    </row>
    <row r="296" spans="2:10" ht="15.95" hidden="1" customHeight="1" outlineLevel="1">
      <c r="B296" s="16"/>
      <c r="C296" s="335" t="s">
        <v>919</v>
      </c>
      <c r="D296" s="336">
        <f>1*IF($D$6&lt;5,0,IF($D$6&lt;70,1,1))</f>
        <v>1</v>
      </c>
      <c r="E296" s="328">
        <f>IF(ISBLANK(C296),"",IFERROR(IF(fnStepCostHourly=0,fnStepNotAvail,IF(ISBLANK(D296),"",fnStepCostHourly*$D296*VLOOKUP(BasisYear,ChemPPI[],14,FALSE)/VLOOKUP(2017,ChemPPI[],14,FALSE))),""))</f>
        <v>288.66140314010391</v>
      </c>
      <c r="F296" s="328">
        <f t="shared" ref="F296:F315" si="16">IFERROR($E296*$D$9*24,$E296)</f>
        <v>11546.456125604156</v>
      </c>
      <c r="G296" s="327">
        <f t="shared" ref="G296:G315" si="17">IFERROR($F296/$D$7,$F296)</f>
        <v>0.12727789188345645</v>
      </c>
      <c r="H296" s="245"/>
      <c r="I296" s="244" t="str">
        <f>IFERROR(VLOOKUP($C296,Steps[],5,FALSE),"")</f>
        <v>Substitute with plate and frame at small scale</v>
      </c>
      <c r="J296" s="248"/>
    </row>
    <row r="297" spans="2:10" ht="15.95" hidden="1" customHeight="1" outlineLevel="1">
      <c r="B297" s="16"/>
      <c r="C297" s="335" t="s">
        <v>921</v>
      </c>
      <c r="D297" s="336">
        <f>1*IF($D$6&lt;5,1,IF($D$6&lt;70,0,0))</f>
        <v>0</v>
      </c>
      <c r="E297" s="328" t="str">
        <f>IF(ISBLANK(C297),"",IFERROR(IF(fnStepCostHourly=0,fnStepNotAvail,IF(ISBLANK(D297),"",fnStepCostHourly*$D297*VLOOKUP(BasisYear,ChemPPI[],14,FALSE)/VLOOKUP(2017,ChemPPI[],14,FALSE))),""))</f>
        <v>N/A at large scale</v>
      </c>
      <c r="F297" s="328" t="str">
        <f t="shared" si="16"/>
        <v>N/A at large scale</v>
      </c>
      <c r="G297" s="327" t="str">
        <f t="shared" si="17"/>
        <v>N/A at large scale</v>
      </c>
      <c r="H297" s="245"/>
      <c r="I297" s="244" t="str">
        <f>IFERROR(VLOOKUP($C297,Steps[],5,FALSE),"")</f>
        <v>Substitute with belt or rotary vacuum at M/L scale</v>
      </c>
      <c r="J297" s="248"/>
    </row>
    <row r="298" spans="2:10" ht="15.95" hidden="1" customHeight="1" outlineLevel="1">
      <c r="B298" s="16"/>
      <c r="C298" s="69" t="s">
        <v>935</v>
      </c>
      <c r="D298" s="243">
        <v>1</v>
      </c>
      <c r="E298" s="328">
        <f>IF(ISBLANK(C298),"",IFERROR(IF(fnStepCostHourly=0,fnStepNotAvail,IF(ISBLANK(D298),"",fnStepCostHourly*$D298*VLOOKUP(BasisYear,ChemPPI[],14,FALSE)/VLOOKUP(2017,ChemPPI[],14,FALSE))),""))</f>
        <v>192.44093542673596</v>
      </c>
      <c r="F298" s="328">
        <f t="shared" si="16"/>
        <v>7697.637417069438</v>
      </c>
      <c r="G298" s="327">
        <f t="shared" si="17"/>
        <v>8.485192792230431E-2</v>
      </c>
      <c r="H298" s="245"/>
      <c r="I298" s="244" t="str">
        <f>IFERROR(VLOOKUP($C298,Steps[],5,FALSE),"")</f>
        <v>Muller</v>
      </c>
      <c r="J298" s="248"/>
    </row>
    <row r="299" spans="2:10" ht="15.95" hidden="1" customHeight="1" outlineLevel="1">
      <c r="B299" s="16"/>
      <c r="C299" s="335" t="s">
        <v>926</v>
      </c>
      <c r="D299" s="336">
        <f>1*IF($D$6&lt;5,0,IF($D$6&lt;70,1,1))</f>
        <v>1</v>
      </c>
      <c r="E299" s="328">
        <f>IF(ISBLANK(C299),"",IFERROR(IF(fnStepCostHourly=0,fnStepNotAvail,IF(ISBLANK(D299),"",fnStepCostHourly*$D299*VLOOKUP(BasisYear,ChemPPI[],14,FALSE)/VLOOKUP(2017,ChemPPI[],14,FALSE))),""))</f>
        <v>529.21257242352385</v>
      </c>
      <c r="F299" s="328">
        <f t="shared" si="16"/>
        <v>21168.502896940954</v>
      </c>
      <c r="G299" s="327">
        <f t="shared" si="17"/>
        <v>0.23334280178633685</v>
      </c>
      <c r="H299" s="245"/>
      <c r="I299" s="244" t="str">
        <f>IFERROR(VLOOKUP($C299,Steps[],5,FALSE),"")</f>
        <v>Substitute with rotary dryer at small scale</v>
      </c>
      <c r="J299" s="248"/>
    </row>
    <row r="300" spans="2:10" ht="15.95" hidden="1" customHeight="1" outlineLevel="1">
      <c r="B300" s="16"/>
      <c r="C300" s="335" t="s">
        <v>1066</v>
      </c>
      <c r="D300" s="336">
        <f>1*IF($D$6&lt;5,1,IF($D$6&lt;70,0,0))</f>
        <v>0</v>
      </c>
      <c r="E300" s="328">
        <f>IF(ISBLANK(C300),"",IFERROR(IF(fnStepCostHourly=0,fnStepNotAvail,IF(ISBLANK(D300),"",fnStepCostHourly*$D300*VLOOKUP(BasisYear,ChemPPI[],14,FALSE)/VLOOKUP(2017,ChemPPI[],14,FALSE))),""))</f>
        <v>0</v>
      </c>
      <c r="F300" s="328">
        <f t="shared" si="16"/>
        <v>0</v>
      </c>
      <c r="G300" s="327">
        <f t="shared" si="17"/>
        <v>0</v>
      </c>
      <c r="H300" s="245"/>
      <c r="I300" s="244" t="str">
        <f>IFERROR(VLOOKUP($C300,Steps[],5,FALSE),"")</f>
        <v>-</v>
      </c>
      <c r="J300" s="248"/>
    </row>
    <row r="301" spans="2:10" ht="15.95" hidden="1" customHeight="1" outlineLevel="1">
      <c r="B301" s="16"/>
      <c r="C301" s="69" t="s">
        <v>936</v>
      </c>
      <c r="D301" s="243">
        <v>1</v>
      </c>
      <c r="E301" s="328">
        <f>IF(ISBLANK(C301),"",IFERROR(IF(fnStepCostHourly=0,fnStepNotAvail,IF(ISBLANK(D301),"",fnStepCostHourly*$D301*VLOOKUP(BasisYear,ChemPPI[],14,FALSE)/VLOOKUP(2017,ChemPPI[],14,FALSE))),""))</f>
        <v>408.93698778181391</v>
      </c>
      <c r="F301" s="328">
        <f t="shared" si="16"/>
        <v>16357.479511272555</v>
      </c>
      <c r="G301" s="327">
        <f t="shared" si="17"/>
        <v>0.18031034683489666</v>
      </c>
      <c r="H301" s="245"/>
      <c r="I301" s="244" t="str">
        <f>IFERROR(VLOOKUP($C301,Steps[],5,FALSE),"")</f>
        <v>Bonnot</v>
      </c>
      <c r="J301" s="248"/>
    </row>
    <row r="302" spans="2:10" ht="15.95" hidden="1" customHeight="1" outlineLevel="1">
      <c r="B302" s="337"/>
      <c r="C302" s="335" t="s">
        <v>938</v>
      </c>
      <c r="D302" s="336">
        <f>1*IF($D$6&lt;5,0,IF($D$6&lt;70,1,1))</f>
        <v>1</v>
      </c>
      <c r="E302" s="328">
        <f>IF(ISBLANK(C302),"",IFERROR(IF(fnStepCostHourly=0,fnStepNotAvail,IF(ISBLANK(D302),"",fnStepCostHourly*$D302*VLOOKUP(BasisYear,ChemPPI[],14,FALSE)/VLOOKUP(2017,ChemPPI[],14,FALSE))),""))</f>
        <v>312.71652006844596</v>
      </c>
      <c r="F302" s="328">
        <f t="shared" si="16"/>
        <v>12508.660802737839</v>
      </c>
      <c r="G302" s="327">
        <f t="shared" si="17"/>
        <v>0.13788438287374452</v>
      </c>
      <c r="H302" s="245"/>
      <c r="I302" s="244" t="str">
        <f>IFERROR(VLOOKUP($C302,Steps[],5,FALSE),"")</f>
        <v>A.k.a. calciner. Sub with batch kiln at small scale</v>
      </c>
      <c r="J302" s="248"/>
    </row>
    <row r="303" spans="2:10" ht="15.95" hidden="1" customHeight="1" outlineLevel="1">
      <c r="B303" s="16"/>
      <c r="C303" s="335" t="s">
        <v>940</v>
      </c>
      <c r="D303" s="336">
        <f>1*IF($D$6&lt;5,1,IF($D$6&lt;70,0,0))</f>
        <v>0</v>
      </c>
      <c r="E303" s="328" t="str">
        <f>IF(ISBLANK(C303),"",IFERROR(IF(fnStepCostHourly=0,fnStepNotAvail,IF(ISBLANK(D303),"",fnStepCostHourly*$D303*VLOOKUP(BasisYear,ChemPPI[],14,FALSE)/VLOOKUP(2017,ChemPPI[],14,FALSE))),""))</f>
        <v>N/A at large scale</v>
      </c>
      <c r="F303" s="328" t="str">
        <f t="shared" si="16"/>
        <v>N/A at large scale</v>
      </c>
      <c r="G303" s="327" t="str">
        <f t="shared" si="17"/>
        <v>N/A at large scale</v>
      </c>
      <c r="H303" s="245"/>
      <c r="I303" s="244" t="str">
        <f>IFERROR(VLOOKUP($C303,Steps[],5,FALSE),"")</f>
        <v>A.k.a. calciner. Sub with continuous kiln at M/L scale</v>
      </c>
      <c r="J303" s="248"/>
    </row>
    <row r="304" spans="2:10" ht="15.95" hidden="1" customHeight="1" outlineLevel="1">
      <c r="B304" s="16"/>
      <c r="C304" s="69"/>
      <c r="D304" s="243"/>
      <c r="E304" s="328" t="str">
        <f>IF(ISBLANK(C304),"",IFERROR(IF(fnStepCostHourly=0,fnStepNotAvail,IF(ISBLANK(D304),"",fnStepCostHourly*$D304*VLOOKUP(BasisYear,ChemPPI[],14,FALSE)/VLOOKUP(2017,ChemPPI[],14,FALSE))),""))</f>
        <v/>
      </c>
      <c r="F304" s="328" t="str">
        <f t="shared" si="16"/>
        <v/>
      </c>
      <c r="G304" s="327" t="str">
        <f t="shared" si="17"/>
        <v/>
      </c>
      <c r="H304" s="245"/>
      <c r="I304" s="244" t="str">
        <f>IFERROR(VLOOKUP($C304,Steps[],5,FALSE),"")</f>
        <v/>
      </c>
      <c r="J304" s="248"/>
    </row>
    <row r="305" spans="1:10" ht="15.95" hidden="1" customHeight="1" outlineLevel="1">
      <c r="B305" s="16"/>
      <c r="C305" s="69"/>
      <c r="D305" s="243"/>
      <c r="E305" s="328" t="str">
        <f>IF(ISBLANK(C305),"",IFERROR(IF(fnStepCostHourly=0,fnStepNotAvail,IF(ISBLANK(D305),"",fnStepCostHourly*$D305*VLOOKUP(BasisYear,ChemPPI[],14,FALSE)/VLOOKUP(2017,ChemPPI[],14,FALSE))),""))</f>
        <v/>
      </c>
      <c r="F305" s="328" t="str">
        <f t="shared" si="16"/>
        <v/>
      </c>
      <c r="G305" s="327" t="str">
        <f t="shared" si="17"/>
        <v/>
      </c>
      <c r="H305" s="245"/>
      <c r="I305" s="244" t="str">
        <f>IFERROR(VLOOKUP($C305,Steps[],5,FALSE),"")</f>
        <v/>
      </c>
      <c r="J305" s="248"/>
    </row>
    <row r="306" spans="1:10" ht="15.95" hidden="1" customHeight="1" outlineLevel="1">
      <c r="B306" s="16"/>
      <c r="C306" s="69"/>
      <c r="D306" s="243"/>
      <c r="E306" s="328" t="str">
        <f>IF(ISBLANK(C306),"",IFERROR(IF(fnStepCostHourly=0,fnStepNotAvail,IF(ISBLANK(D306),"",fnStepCostHourly*$D306*VLOOKUP(BasisYear,ChemPPI[],14,FALSE)/VLOOKUP(2017,ChemPPI[],14,FALSE))),""))</f>
        <v/>
      </c>
      <c r="F306" s="328" t="str">
        <f t="shared" si="16"/>
        <v/>
      </c>
      <c r="G306" s="327" t="str">
        <f t="shared" si="17"/>
        <v/>
      </c>
      <c r="H306" s="245"/>
      <c r="I306" s="244" t="str">
        <f>IFERROR(VLOOKUP($C306,Steps[],5,FALSE),"")</f>
        <v/>
      </c>
      <c r="J306" s="248"/>
    </row>
    <row r="307" spans="1:10" ht="15.95" hidden="1" customHeight="1" outlineLevel="1">
      <c r="B307" s="16"/>
      <c r="C307" s="69"/>
      <c r="D307" s="243"/>
      <c r="E307" s="328" t="str">
        <f>IF(ISBLANK(C307),"",IFERROR(IF(fnStepCostHourly=0,fnStepNotAvail,IF(ISBLANK(D307),"",fnStepCostHourly*$D307*VLOOKUP(BasisYear,ChemPPI[],14,FALSE)/VLOOKUP(2017,ChemPPI[],14,FALSE))),""))</f>
        <v/>
      </c>
      <c r="F307" s="328" t="str">
        <f t="shared" si="16"/>
        <v/>
      </c>
      <c r="G307" s="327" t="str">
        <f t="shared" si="17"/>
        <v/>
      </c>
      <c r="H307" s="245"/>
      <c r="I307" s="244" t="str">
        <f>IFERROR(VLOOKUP($C307,Steps[],5,FALSE),"")</f>
        <v/>
      </c>
      <c r="J307" s="248"/>
    </row>
    <row r="308" spans="1:10" ht="15.95" hidden="1" customHeight="1" outlineLevel="1">
      <c r="B308" s="16"/>
      <c r="C308" s="69"/>
      <c r="D308" s="243"/>
      <c r="E308" s="328" t="str">
        <f>IF(ISBLANK(C308),"",IFERROR(IF(fnStepCostHourly=0,fnStepNotAvail,IF(ISBLANK(D308),"",fnStepCostHourly*$D308*VLOOKUP(BasisYear,ChemPPI[],14,FALSE)/VLOOKUP(2017,ChemPPI[],14,FALSE))),""))</f>
        <v/>
      </c>
      <c r="F308" s="328" t="str">
        <f t="shared" si="16"/>
        <v/>
      </c>
      <c r="G308" s="327" t="str">
        <f t="shared" si="17"/>
        <v/>
      </c>
      <c r="H308" s="245"/>
      <c r="I308" s="244" t="str">
        <f>IFERROR(VLOOKUP($C308,Steps[],5,FALSE),"")</f>
        <v/>
      </c>
      <c r="J308" s="248"/>
    </row>
    <row r="309" spans="1:10" ht="15.95" hidden="1" customHeight="1" outlineLevel="1">
      <c r="B309" s="16"/>
      <c r="C309" s="69"/>
      <c r="D309" s="243"/>
      <c r="E309" s="328" t="str">
        <f>IF(ISBLANK(C309),"",IFERROR(IF(fnStepCostHourly=0,fnStepNotAvail,IF(ISBLANK(D309),"",fnStepCostHourly*$D309*VLOOKUP(BasisYear,ChemPPI[],14,FALSE)/VLOOKUP(2017,ChemPPI[],14,FALSE))),""))</f>
        <v/>
      </c>
      <c r="F309" s="328" t="str">
        <f t="shared" si="16"/>
        <v/>
      </c>
      <c r="G309" s="327" t="str">
        <f t="shared" si="17"/>
        <v/>
      </c>
      <c r="H309" s="245"/>
      <c r="I309" s="244" t="str">
        <f>IFERROR(VLOOKUP($C309,Steps[],5,FALSE),"")</f>
        <v/>
      </c>
      <c r="J309" s="248"/>
    </row>
    <row r="310" spans="1:10" ht="15.95" hidden="1" customHeight="1" outlineLevel="1">
      <c r="B310" s="16"/>
      <c r="C310" s="69"/>
      <c r="D310" s="243"/>
      <c r="E310" s="328" t="str">
        <f>IF(ISBLANK(C310),"",IFERROR(IF(fnStepCostHourly=0,fnStepNotAvail,IF(ISBLANK(D310),"",fnStepCostHourly*$D310*VLOOKUP(BasisYear,ChemPPI[],14,FALSE)/VLOOKUP(2017,ChemPPI[],14,FALSE))),""))</f>
        <v/>
      </c>
      <c r="F310" s="328" t="str">
        <f t="shared" si="16"/>
        <v/>
      </c>
      <c r="G310" s="327" t="str">
        <f t="shared" si="17"/>
        <v/>
      </c>
      <c r="H310" s="245"/>
      <c r="I310" s="244" t="str">
        <f>IFERROR(VLOOKUP($C310,Steps[],5,FALSE),"")</f>
        <v/>
      </c>
      <c r="J310" s="248"/>
    </row>
    <row r="311" spans="1:10" ht="15.95" hidden="1" customHeight="1" outlineLevel="1">
      <c r="B311" s="16"/>
      <c r="C311" s="69"/>
      <c r="D311" s="243"/>
      <c r="E311" s="328" t="str">
        <f>IF(ISBLANK(C311),"",IFERROR(IF(fnStepCostHourly=0,fnStepNotAvail,IF(ISBLANK(D311),"",fnStepCostHourly*$D311*VLOOKUP(BasisYear,ChemPPI[],14,FALSE)/VLOOKUP(2017,ChemPPI[],14,FALSE))),""))</f>
        <v/>
      </c>
      <c r="F311" s="328" t="str">
        <f t="shared" si="16"/>
        <v/>
      </c>
      <c r="G311" s="327" t="str">
        <f t="shared" si="17"/>
        <v/>
      </c>
      <c r="H311" s="245"/>
      <c r="I311" s="244" t="str">
        <f>IFERROR(VLOOKUP($C311,Steps[],5,FALSE),"")</f>
        <v/>
      </c>
      <c r="J311" s="248"/>
    </row>
    <row r="312" spans="1:10" ht="15.95" hidden="1" customHeight="1" outlineLevel="1">
      <c r="B312" s="16"/>
      <c r="C312" s="69"/>
      <c r="D312" s="243"/>
      <c r="E312" s="328" t="str">
        <f>IF(ISBLANK(C312),"",IFERROR(IF(fnStepCostHourly=0,fnStepNotAvail,IF(ISBLANK(D312),"",fnStepCostHourly*$D312*VLOOKUP(BasisYear,ChemPPI[],14,FALSE)/VLOOKUP(2017,ChemPPI[],14,FALSE))),""))</f>
        <v/>
      </c>
      <c r="F312" s="328" t="str">
        <f t="shared" si="16"/>
        <v/>
      </c>
      <c r="G312" s="327" t="str">
        <f t="shared" si="17"/>
        <v/>
      </c>
      <c r="H312" s="245"/>
      <c r="I312" s="244" t="str">
        <f>IFERROR(VLOOKUP($C312,Steps[],5,FALSE),"")</f>
        <v/>
      </c>
      <c r="J312" s="248"/>
    </row>
    <row r="313" spans="1:10" ht="15.95" hidden="1" customHeight="1" outlineLevel="1">
      <c r="B313" s="16"/>
      <c r="C313" s="69"/>
      <c r="D313" s="243"/>
      <c r="E313" s="328" t="str">
        <f>IF(ISBLANK(C313),"",IFERROR(IF(fnStepCostHourly=0,fnStepNotAvail,IF(ISBLANK(D313),"",fnStepCostHourly*$D313*VLOOKUP(BasisYear,ChemPPI[],14,FALSE)/VLOOKUP(2017,ChemPPI[],14,FALSE))),""))</f>
        <v/>
      </c>
      <c r="F313" s="328" t="str">
        <f t="shared" si="16"/>
        <v/>
      </c>
      <c r="G313" s="327" t="str">
        <f t="shared" si="17"/>
        <v/>
      </c>
      <c r="H313" s="245"/>
      <c r="I313" s="244" t="str">
        <f>IFERROR(VLOOKUP($C313,Steps[],5,FALSE),"")</f>
        <v/>
      </c>
      <c r="J313" s="248"/>
    </row>
    <row r="314" spans="1:10" ht="15.95" hidden="1" customHeight="1" outlineLevel="1">
      <c r="B314" s="16"/>
      <c r="C314" s="69"/>
      <c r="D314" s="243"/>
      <c r="E314" s="328" t="str">
        <f>IF(ISBLANK(C314),"",IFERROR(IF(fnStepCostHourly=0,fnStepNotAvail,IF(ISBLANK(D314),"",fnStepCostHourly*$D314*VLOOKUP(BasisYear,ChemPPI[],14,FALSE)/VLOOKUP(2017,ChemPPI[],14,FALSE))),""))</f>
        <v/>
      </c>
      <c r="F314" s="328" t="str">
        <f t="shared" si="16"/>
        <v/>
      </c>
      <c r="G314" s="327" t="str">
        <f t="shared" si="17"/>
        <v/>
      </c>
      <c r="H314" s="245"/>
      <c r="I314" s="244" t="str">
        <f>IFERROR(VLOOKUP($C314,Steps[],5,FALSE),"")</f>
        <v/>
      </c>
      <c r="J314" s="248"/>
    </row>
    <row r="315" spans="1:10" ht="15.95" hidden="1" customHeight="1" outlineLevel="1">
      <c r="B315" s="16"/>
      <c r="C315" s="69"/>
      <c r="D315" s="243"/>
      <c r="E315" s="328" t="str">
        <f>IF(ISBLANK(C315),"",IFERROR(IF(fnStepCostHourly=0,fnStepNotAvail,IF(ISBLANK(D315),"",fnStepCostHourly*$D315*VLOOKUP(BasisYear,ChemPPI[],14,FALSE)/VLOOKUP(2017,ChemPPI[],14,FALSE))),""))</f>
        <v/>
      </c>
      <c r="F315" s="328" t="str">
        <f t="shared" si="16"/>
        <v/>
      </c>
      <c r="G315" s="327" t="str">
        <f t="shared" si="17"/>
        <v/>
      </c>
      <c r="H315" s="245"/>
      <c r="I315" s="244" t="str">
        <f>IFERROR(VLOOKUP($C315,Steps[],5,FALSE),"")</f>
        <v/>
      </c>
      <c r="J315" s="248"/>
    </row>
    <row r="316" spans="1:10" ht="16.5" hidden="1" outlineLevel="1" thickBot="1">
      <c r="B316" s="249"/>
      <c r="C316" s="250"/>
      <c r="D316" s="250"/>
      <c r="E316" s="250"/>
      <c r="F316" s="250"/>
      <c r="G316" s="250"/>
      <c r="H316" s="250"/>
      <c r="I316" s="250"/>
      <c r="J316" s="251"/>
    </row>
    <row r="317" spans="1:10" ht="16.5" collapsed="1" thickBot="1">
      <c r="A317" s="300" t="str">
        <f>"&lt;– show/hide "&amp;B285</f>
        <v>&lt;– show/hide Step Process Template: Red Mud</v>
      </c>
    </row>
    <row r="318" spans="1:10" ht="21" thickBot="1">
      <c r="B318" s="341" t="str">
        <f>"Step Process Template: "&amp;C321</f>
        <v>Step Process Template: Zeolite Beta (Bulk)</v>
      </c>
      <c r="C318" s="342"/>
      <c r="D318" s="342"/>
      <c r="E318" s="342"/>
      <c r="F318" s="342"/>
      <c r="G318" s="342"/>
      <c r="H318" s="343"/>
    </row>
    <row r="319" spans="1:10" hidden="1" outlineLevel="1">
      <c r="B319" s="13"/>
      <c r="C319" s="14"/>
      <c r="D319" s="14"/>
      <c r="E319" s="14"/>
      <c r="F319" s="14"/>
      <c r="G319" s="14"/>
      <c r="H319" s="15"/>
      <c r="J319" s="198"/>
    </row>
    <row r="320" spans="1:10" hidden="1" outlineLevel="1">
      <c r="B320" s="16"/>
      <c r="C320" s="17" t="s">
        <v>1045</v>
      </c>
      <c r="D320" s="253" t="s">
        <v>953</v>
      </c>
      <c r="E320" s="64" t="s">
        <v>945</v>
      </c>
      <c r="F320" s="64" t="s">
        <v>946</v>
      </c>
      <c r="G320" s="64" t="str">
        <f>"Cost ($/"&amp;OutMassUnit&amp;" catalyst)"</f>
        <v>Cost ($/kg catalyst)</v>
      </c>
      <c r="H320" s="247"/>
      <c r="J320" s="198"/>
    </row>
    <row r="321" spans="2:10" ht="15.95" hidden="1" customHeight="1" outlineLevel="1">
      <c r="B321" s="16"/>
      <c r="C321" s="18" t="s">
        <v>1081</v>
      </c>
      <c r="D321" s="253"/>
      <c r="E321" s="330">
        <f>SUM(E329:E350)</f>
        <v>4017.2045270331128</v>
      </c>
      <c r="F321" s="330">
        <f>SUM(F329:F350)</f>
        <v>160688.18108132452</v>
      </c>
      <c r="G321" s="329">
        <f>SUM(G329:G350)</f>
        <v>1.7712839953781025</v>
      </c>
      <c r="H321" s="322"/>
      <c r="J321" s="198"/>
    </row>
    <row r="322" spans="2:10" ht="15.95" hidden="1" customHeight="1" outlineLevel="1">
      <c r="B322" s="16"/>
      <c r="C322" s="339" t="str">
        <f>"Name: "&amp;C321</f>
        <v>Name: Zeolite Beta (Bulk)</v>
      </c>
      <c r="D322" s="253"/>
      <c r="E322" s="333"/>
      <c r="F322" s="333"/>
      <c r="G322" s="334"/>
      <c r="H322" s="322"/>
      <c r="J322" s="198"/>
    </row>
    <row r="323" spans="2:10" ht="15.95" hidden="1" customHeight="1" outlineLevel="1">
      <c r="B323" s="16"/>
      <c r="C323" s="17" t="s">
        <v>1060</v>
      </c>
      <c r="D323" s="253"/>
      <c r="E323" s="333"/>
      <c r="F323" s="333"/>
      <c r="G323" s="334"/>
      <c r="H323" s="322"/>
      <c r="J323" s="198"/>
    </row>
    <row r="324" spans="2:10" ht="15.95" hidden="1" customHeight="1" outlineLevel="1">
      <c r="B324" s="16"/>
      <c r="C324" s="18" t="s">
        <v>1082</v>
      </c>
      <c r="D324" s="253"/>
      <c r="E324" s="333"/>
      <c r="F324" s="333"/>
      <c r="G324" s="334"/>
      <c r="H324" s="322"/>
      <c r="J324" s="198"/>
    </row>
    <row r="325" spans="2:10" ht="15.95" hidden="1" customHeight="1" outlineLevel="1">
      <c r="B325" s="16"/>
      <c r="C325" s="18" t="s">
        <v>1063</v>
      </c>
      <c r="D325" s="253"/>
      <c r="E325" s="333"/>
      <c r="F325" s="333"/>
      <c r="G325" s="334"/>
      <c r="H325" s="322"/>
      <c r="J325" s="198"/>
    </row>
    <row r="326" spans="2:10" ht="16.5" hidden="1" outlineLevel="1" thickBot="1">
      <c r="B326" s="21"/>
      <c r="C326" s="22"/>
      <c r="D326" s="22"/>
      <c r="E326" s="22"/>
      <c r="F326" s="22"/>
      <c r="G326" s="22"/>
      <c r="H326" s="23"/>
      <c r="J326" s="198"/>
    </row>
    <row r="327" spans="2:10" ht="15.95" hidden="1" customHeight="1" outlineLevel="1">
      <c r="B327" s="16"/>
      <c r="C327" s="18"/>
      <c r="D327" s="18"/>
      <c r="E327" s="18"/>
      <c r="F327" s="18"/>
      <c r="G327" s="18"/>
      <c r="H327" s="18"/>
      <c r="I327" s="14"/>
      <c r="J327" s="15"/>
    </row>
    <row r="328" spans="2:10" ht="17.100000000000001" hidden="1" customHeight="1" outlineLevel="1">
      <c r="B328" s="16"/>
      <c r="C328" s="325" t="s">
        <v>930</v>
      </c>
      <c r="D328" s="325" t="s">
        <v>307</v>
      </c>
      <c r="E328" s="325" t="s">
        <v>945</v>
      </c>
      <c r="F328" s="325" t="s">
        <v>946</v>
      </c>
      <c r="G328" s="325" t="str">
        <f>"Cost ($/"&amp;OutMassUnit&amp;" catalyst)"</f>
        <v>Cost ($/kg catalyst)</v>
      </c>
      <c r="H328" s="325"/>
      <c r="I328" s="325" t="s">
        <v>205</v>
      </c>
      <c r="J328" s="247"/>
    </row>
    <row r="329" spans="2:10" ht="15.95" hidden="1" customHeight="1" outlineLevel="1">
      <c r="B329" s="16"/>
      <c r="C329" s="69" t="s">
        <v>924</v>
      </c>
      <c r="D329" s="243">
        <v>1</v>
      </c>
      <c r="E329" s="328">
        <f>IF(ISBLANK(C329),"",IFERROR(IF(fnStepCostHourly=0,fnStepNotAvail,IF(ISBLANK(D329),"",fnStepCostHourly*$D329*VLOOKUP(BasisYear,ChemPPI[],14,FALSE)/VLOOKUP(2017,ChemPPI[],14,FALSE))),""))</f>
        <v>192.44093542673596</v>
      </c>
      <c r="F329" s="328">
        <f t="shared" ref="F329:F350" si="18">IFERROR($E329*$D$9*24,$E329)</f>
        <v>7697.637417069438</v>
      </c>
      <c r="G329" s="327">
        <f t="shared" ref="G329:G350" si="19">IFERROR($F329/$D$7,$F329)</f>
        <v>8.485192792230431E-2</v>
      </c>
      <c r="H329" s="245"/>
      <c r="I329" s="244" t="str">
        <f>IFERROR(VLOOKUP($C329,Steps[],5,FALSE),"")</f>
        <v>-</v>
      </c>
      <c r="J329" s="248"/>
    </row>
    <row r="330" spans="2:10" ht="15.95" hidden="1" customHeight="1" outlineLevel="1">
      <c r="B330" s="16"/>
      <c r="C330" s="69" t="s">
        <v>917</v>
      </c>
      <c r="D330" s="243">
        <v>2</v>
      </c>
      <c r="E330" s="328">
        <f>IF(ISBLANK(C330),"",IFERROR(IF(fnStepCostHourly=0,fnStepNotAvail,IF(ISBLANK(D330),"",fnStepCostHourly*$D330*VLOOKUP(BasisYear,ChemPPI[],14,FALSE)/VLOOKUP(2017,ChemPPI[],14,FALSE))),""))</f>
        <v>577.32280628020783</v>
      </c>
      <c r="F330" s="328">
        <f t="shared" si="18"/>
        <v>23092.912251208312</v>
      </c>
      <c r="G330" s="327">
        <f t="shared" si="19"/>
        <v>0.2545557837669129</v>
      </c>
      <c r="H330" s="245"/>
      <c r="I330" s="244" t="str">
        <f>IFERROR(VLOOKUP($C330,Steps[],5,FALSE),"")</f>
        <v>-</v>
      </c>
      <c r="J330" s="248"/>
    </row>
    <row r="331" spans="2:10" ht="15.95" hidden="1" customHeight="1" outlineLevel="1">
      <c r="B331" s="16"/>
      <c r="C331" s="69" t="s">
        <v>924</v>
      </c>
      <c r="D331" s="243">
        <v>1</v>
      </c>
      <c r="E331" s="328">
        <f>IF(ISBLANK(C331),"",IFERROR(IF(fnStepCostHourly=0,fnStepNotAvail,IF(ISBLANK(D331),"",fnStepCostHourly*$D331*VLOOKUP(BasisYear,ChemPPI[],14,FALSE)/VLOOKUP(2017,ChemPPI[],14,FALSE))),""))</f>
        <v>192.44093542673596</v>
      </c>
      <c r="F331" s="328">
        <f t="shared" si="18"/>
        <v>7697.637417069438</v>
      </c>
      <c r="G331" s="327">
        <f t="shared" si="19"/>
        <v>8.485192792230431E-2</v>
      </c>
      <c r="H331" s="245"/>
      <c r="I331" s="244" t="str">
        <f>IFERROR(VLOOKUP($C331,Steps[],5,FALSE),"")</f>
        <v>-</v>
      </c>
      <c r="J331" s="248"/>
    </row>
    <row r="332" spans="2:10" ht="15.95" hidden="1" customHeight="1" outlineLevel="1">
      <c r="B332" s="16"/>
      <c r="C332" s="335" t="s">
        <v>919</v>
      </c>
      <c r="D332" s="336">
        <f>1*IF($D$6&lt;5,0,IF($D$6&lt;70,1,1))</f>
        <v>1</v>
      </c>
      <c r="E332" s="328">
        <f>IF(ISBLANK(C332),"",IFERROR(IF(fnStepCostHourly=0,fnStepNotAvail,IF(ISBLANK(D332),"",fnStepCostHourly*$D332*VLOOKUP(BasisYear,ChemPPI[],14,FALSE)/VLOOKUP(2017,ChemPPI[],14,FALSE))),""))</f>
        <v>288.66140314010391</v>
      </c>
      <c r="F332" s="328">
        <f t="shared" si="18"/>
        <v>11546.456125604156</v>
      </c>
      <c r="G332" s="327">
        <f t="shared" si="19"/>
        <v>0.12727789188345645</v>
      </c>
      <c r="H332" s="245"/>
      <c r="I332" s="244" t="str">
        <f>IFERROR(VLOOKUP($C332,Steps[],5,FALSE),"")</f>
        <v>Substitute with plate and frame at small scale</v>
      </c>
      <c r="J332" s="248"/>
    </row>
    <row r="333" spans="2:10" ht="15.95" hidden="1" customHeight="1" outlineLevel="1">
      <c r="B333" s="16"/>
      <c r="C333" s="335" t="s">
        <v>921</v>
      </c>
      <c r="D333" s="336">
        <f>1*IF($D$6&lt;5,1,IF($D$6&lt;70,0,0))</f>
        <v>0</v>
      </c>
      <c r="E333" s="328" t="str">
        <f>IF(ISBLANK(C333),"",IFERROR(IF(fnStepCostHourly=0,fnStepNotAvail,IF(ISBLANK(D333),"",fnStepCostHourly*$D333*VLOOKUP(BasisYear,ChemPPI[],14,FALSE)/VLOOKUP(2017,ChemPPI[],14,FALSE))),""))</f>
        <v>N/A at large scale</v>
      </c>
      <c r="F333" s="328" t="str">
        <f t="shared" si="18"/>
        <v>N/A at large scale</v>
      </c>
      <c r="G333" s="327" t="str">
        <f t="shared" si="19"/>
        <v>N/A at large scale</v>
      </c>
      <c r="H333" s="245"/>
      <c r="I333" s="244" t="str">
        <f>IFERROR(VLOOKUP($C333,Steps[],5,FALSE),"")</f>
        <v>Substitute with belt or rotary vacuum at M/L scale</v>
      </c>
      <c r="J333" s="248"/>
    </row>
    <row r="334" spans="2:10" ht="15.95" hidden="1" customHeight="1" outlineLevel="1">
      <c r="B334" s="16"/>
      <c r="C334" s="69" t="s">
        <v>1065</v>
      </c>
      <c r="D334" s="243">
        <v>1</v>
      </c>
      <c r="E334" s="328">
        <f>IF(ISBLANK(C334),"",IFERROR(IF(fnStepCostHourly=0,fnStepNotAvail,IF(ISBLANK(D334),"",fnStepCostHourly*$D334*VLOOKUP(BasisYear,ChemPPI[],14,FALSE)/VLOOKUP(2017,ChemPPI[],14,FALSE))),""))</f>
        <v>288.66140314010391</v>
      </c>
      <c r="F334" s="328">
        <f t="shared" si="18"/>
        <v>11546.456125604156</v>
      </c>
      <c r="G334" s="327">
        <f t="shared" si="19"/>
        <v>0.12727789188345645</v>
      </c>
      <c r="H334" s="245"/>
      <c r="I334" s="244" t="str">
        <f>IFERROR(VLOOKUP($C334,Steps[],5,FALSE),"")</f>
        <v>For higher temp use kiln</v>
      </c>
      <c r="J334" s="248"/>
    </row>
    <row r="335" spans="2:10" ht="15.95" hidden="1" customHeight="1" outlineLevel="1">
      <c r="B335" s="16"/>
      <c r="C335" s="335" t="s">
        <v>938</v>
      </c>
      <c r="D335" s="336">
        <f>1*IF($D$6&lt;5,0,IF($D$6&lt;70,1,1))</f>
        <v>1</v>
      </c>
      <c r="E335" s="328">
        <f>IF(ISBLANK(C335),"",IFERROR(IF(fnStepCostHourly=0,fnStepNotAvail,IF(ISBLANK(D335),"",fnStepCostHourly*$D335*VLOOKUP(BasisYear,ChemPPI[],14,FALSE)/VLOOKUP(2017,ChemPPI[],14,FALSE))),""))</f>
        <v>312.71652006844596</v>
      </c>
      <c r="F335" s="328">
        <f t="shared" si="18"/>
        <v>12508.660802737839</v>
      </c>
      <c r="G335" s="327">
        <f t="shared" si="19"/>
        <v>0.13788438287374452</v>
      </c>
      <c r="H335" s="245"/>
      <c r="I335" s="244" t="str">
        <f>IFERROR(VLOOKUP($C335,Steps[],5,FALSE),"")</f>
        <v>A.k.a. calciner. Sub with batch kiln at small scale</v>
      </c>
      <c r="J335" s="248"/>
    </row>
    <row r="336" spans="2:10" ht="15.95" hidden="1" customHeight="1" outlineLevel="1">
      <c r="B336" s="16"/>
      <c r="C336" s="335" t="s">
        <v>940</v>
      </c>
      <c r="D336" s="336">
        <f>1*IF($D$6&lt;5,1,IF($D$6&lt;70,0,0))</f>
        <v>0</v>
      </c>
      <c r="E336" s="328" t="str">
        <f>IF(ISBLANK(C336),"",IFERROR(IF(fnStepCostHourly=0,fnStepNotAvail,IF(ISBLANK(D336),"",fnStepCostHourly*$D336*VLOOKUP(BasisYear,ChemPPI[],14,FALSE)/VLOOKUP(2017,ChemPPI[],14,FALSE))),""))</f>
        <v>N/A at large scale</v>
      </c>
      <c r="F336" s="328" t="str">
        <f t="shared" si="18"/>
        <v>N/A at large scale</v>
      </c>
      <c r="G336" s="327" t="str">
        <f t="shared" si="19"/>
        <v>N/A at large scale</v>
      </c>
      <c r="H336" s="245"/>
      <c r="I336" s="244" t="str">
        <f>IFERROR(VLOOKUP($C336,Steps[],5,FALSE),"")</f>
        <v>A.k.a. calciner. Sub with continuous kiln at M/L scale</v>
      </c>
      <c r="J336" s="248"/>
    </row>
    <row r="337" spans="1:10" ht="15.95" hidden="1" customHeight="1" outlineLevel="1">
      <c r="B337" s="16"/>
      <c r="C337" s="69" t="s">
        <v>925</v>
      </c>
      <c r="D337" s="243">
        <v>1</v>
      </c>
      <c r="E337" s="328">
        <f>IF(ISBLANK(C337),"",IFERROR(IF(fnStepCostHourly=0,fnStepNotAvail,IF(ISBLANK(D337),"",fnStepCostHourly*$D337*VLOOKUP(BasisYear,ChemPPI[],14,FALSE)/VLOOKUP(2017,ChemPPI[],14,FALSE))),""))</f>
        <v>577.32280628020783</v>
      </c>
      <c r="F337" s="328">
        <f t="shared" si="18"/>
        <v>23092.912251208312</v>
      </c>
      <c r="G337" s="327">
        <f t="shared" si="19"/>
        <v>0.2545557837669129</v>
      </c>
      <c r="H337" s="245"/>
      <c r="I337" s="244" t="str">
        <f>IFERROR(VLOOKUP($C337,Steps[],5,FALSE),"")</f>
        <v>-</v>
      </c>
      <c r="J337" s="248"/>
    </row>
    <row r="338" spans="1:10" ht="15.95" hidden="1" customHeight="1" outlineLevel="1">
      <c r="B338" s="16"/>
      <c r="C338" s="335" t="s">
        <v>919</v>
      </c>
      <c r="D338" s="336">
        <f>1*IF($D$6&lt;5,0,IF($D$6&lt;70,1,1))</f>
        <v>1</v>
      </c>
      <c r="E338" s="328">
        <f>IF(ISBLANK(C338),"",IFERROR(IF(fnStepCostHourly=0,fnStepNotAvail,IF(ISBLANK(D338),"",fnStepCostHourly*$D338*VLOOKUP(BasisYear,ChemPPI[],14,FALSE)/VLOOKUP(2017,ChemPPI[],14,FALSE))),""))</f>
        <v>288.66140314010391</v>
      </c>
      <c r="F338" s="328">
        <f t="shared" si="18"/>
        <v>11546.456125604156</v>
      </c>
      <c r="G338" s="327">
        <f t="shared" si="19"/>
        <v>0.12727789188345645</v>
      </c>
      <c r="H338" s="245"/>
      <c r="I338" s="244" t="str">
        <f>IFERROR(VLOOKUP($C338,Steps[],5,FALSE),"")</f>
        <v>Substitute with plate and frame at small scale</v>
      </c>
      <c r="J338" s="248"/>
    </row>
    <row r="339" spans="1:10" ht="15.95" hidden="1" customHeight="1" outlineLevel="1">
      <c r="B339" s="16"/>
      <c r="C339" s="335" t="s">
        <v>921</v>
      </c>
      <c r="D339" s="336">
        <f>1*IF($D$6&lt;5,1,IF($D$6&lt;70,0,0))</f>
        <v>0</v>
      </c>
      <c r="E339" s="328" t="str">
        <f>IF(ISBLANK(C339),"",IFERROR(IF(fnStepCostHourly=0,fnStepNotAvail,IF(ISBLANK(D339),"",fnStepCostHourly*$D339*VLOOKUP(BasisYear,ChemPPI[],14,FALSE)/VLOOKUP(2017,ChemPPI[],14,FALSE))),""))</f>
        <v>N/A at large scale</v>
      </c>
      <c r="F339" s="328" t="str">
        <f t="shared" si="18"/>
        <v>N/A at large scale</v>
      </c>
      <c r="G339" s="327" t="str">
        <f t="shared" si="19"/>
        <v>N/A at large scale</v>
      </c>
      <c r="H339" s="245"/>
      <c r="I339" s="244" t="str">
        <f>IFERROR(VLOOKUP($C339,Steps[],5,FALSE),"")</f>
        <v>Substitute with belt or rotary vacuum at M/L scale</v>
      </c>
      <c r="J339" s="248"/>
    </row>
    <row r="340" spans="1:10" ht="15.95" hidden="1" customHeight="1" outlineLevel="1">
      <c r="B340" s="16"/>
      <c r="C340" s="335" t="s">
        <v>938</v>
      </c>
      <c r="D340" s="336">
        <f>1*IF($D$6&lt;5,0,IF($D$6&lt;70,1,1))</f>
        <v>1</v>
      </c>
      <c r="E340" s="328">
        <f>IF(ISBLANK(C340),"",IFERROR(IF(fnStepCostHourly=0,fnStepNotAvail,IF(ISBLANK(D340),"",fnStepCostHourly*$D340*VLOOKUP(BasisYear,ChemPPI[],14,FALSE)/VLOOKUP(2017,ChemPPI[],14,FALSE))),""))</f>
        <v>312.71652006844596</v>
      </c>
      <c r="F340" s="328">
        <f t="shared" si="18"/>
        <v>12508.660802737839</v>
      </c>
      <c r="G340" s="327">
        <f t="shared" si="19"/>
        <v>0.13788438287374452</v>
      </c>
      <c r="H340" s="245"/>
      <c r="I340" s="244" t="str">
        <f>IFERROR(VLOOKUP($C340,Steps[],5,FALSE),"")</f>
        <v>A.k.a. calciner. Sub with batch kiln at small scale</v>
      </c>
      <c r="J340" s="248"/>
    </row>
    <row r="341" spans="1:10" ht="15.95" hidden="1" customHeight="1" outlineLevel="1">
      <c r="B341" s="16"/>
      <c r="C341" s="335" t="s">
        <v>940</v>
      </c>
      <c r="D341" s="336">
        <f>1*IF($D$6&lt;5,1,IF($D$6&lt;70,0,0))</f>
        <v>0</v>
      </c>
      <c r="E341" s="328" t="str">
        <f>IF(ISBLANK(C341),"",IFERROR(IF(fnStepCostHourly=0,fnStepNotAvail,IF(ISBLANK(D341),"",fnStepCostHourly*$D341*VLOOKUP(BasisYear,ChemPPI[],14,FALSE)/VLOOKUP(2017,ChemPPI[],14,FALSE))),""))</f>
        <v>N/A at large scale</v>
      </c>
      <c r="F341" s="328" t="str">
        <f t="shared" si="18"/>
        <v>N/A at large scale</v>
      </c>
      <c r="G341" s="327" t="str">
        <f t="shared" si="19"/>
        <v>N/A at large scale</v>
      </c>
      <c r="H341" s="245"/>
      <c r="I341" s="244" t="str">
        <f>IFERROR(VLOOKUP($C341,Steps[],5,FALSE),"")</f>
        <v>A.k.a. calciner. Sub with continuous kiln at M/L scale</v>
      </c>
      <c r="J341" s="248"/>
    </row>
    <row r="342" spans="1:10" ht="15.95" hidden="1" customHeight="1" outlineLevel="1">
      <c r="B342" s="16"/>
      <c r="C342" s="69" t="s">
        <v>931</v>
      </c>
      <c r="D342" s="243">
        <v>1</v>
      </c>
      <c r="E342" s="328">
        <f>IF(ISBLANK(C342),"",IFERROR(IF(fnStepCostHourly=0,fnStepNotAvail,IF(ISBLANK(D342),"",fnStepCostHourly*$D342*VLOOKUP(BasisYear,ChemPPI[],14,FALSE)/VLOOKUP(2017,ChemPPI[],14,FALSE))),""))</f>
        <v>192.44093542673596</v>
      </c>
      <c r="F342" s="328">
        <f t="shared" si="18"/>
        <v>7697.637417069438</v>
      </c>
      <c r="G342" s="327">
        <f t="shared" si="19"/>
        <v>8.485192792230431E-2</v>
      </c>
      <c r="H342" s="245"/>
      <c r="I342" s="244" t="str">
        <f>IFERROR(VLOOKUP($C342,Steps[],5,FALSE),"")</f>
        <v>-</v>
      </c>
      <c r="J342" s="248"/>
    </row>
    <row r="343" spans="1:10" ht="15.95" hidden="1" customHeight="1" outlineLevel="1">
      <c r="B343" s="16"/>
      <c r="C343" s="69" t="s">
        <v>922</v>
      </c>
      <c r="D343" s="243">
        <v>1</v>
      </c>
      <c r="E343" s="328">
        <f>IF(ISBLANK(C343),"",IFERROR(IF(fnStepCostHourly=0,fnStepNotAvail,IF(ISBLANK(D343),"",fnStepCostHourly*$D343*VLOOKUP(BasisYear,ChemPPI[],14,FALSE)/VLOOKUP(2017,ChemPPI[],14,FALSE))),""))</f>
        <v>192.44093542673596</v>
      </c>
      <c r="F343" s="328">
        <f t="shared" si="18"/>
        <v>7697.637417069438</v>
      </c>
      <c r="G343" s="327">
        <f t="shared" si="19"/>
        <v>8.485192792230431E-2</v>
      </c>
      <c r="H343" s="245"/>
      <c r="I343" s="244" t="str">
        <f>IFERROR(VLOOKUP($C343,Steps[],5,FALSE),"")</f>
        <v>-</v>
      </c>
      <c r="J343" s="248"/>
    </row>
    <row r="344" spans="1:10" ht="15.95" hidden="1" customHeight="1" outlineLevel="1">
      <c r="B344" s="16"/>
      <c r="C344" s="69" t="s">
        <v>935</v>
      </c>
      <c r="D344" s="243">
        <v>1</v>
      </c>
      <c r="E344" s="328">
        <f>IF(ISBLANK(C344),"",IFERROR(IF(fnStepCostHourly=0,fnStepNotAvail,IF(ISBLANK(D344),"",fnStepCostHourly*$D344*VLOOKUP(BasisYear,ChemPPI[],14,FALSE)/VLOOKUP(2017,ChemPPI[],14,FALSE))),""))</f>
        <v>192.44093542673596</v>
      </c>
      <c r="F344" s="328">
        <f t="shared" si="18"/>
        <v>7697.637417069438</v>
      </c>
      <c r="G344" s="327">
        <f t="shared" si="19"/>
        <v>8.485192792230431E-2</v>
      </c>
      <c r="H344" s="245"/>
      <c r="I344" s="244" t="str">
        <f>IFERROR(VLOOKUP($C344,Steps[],5,FALSE),"")</f>
        <v>Muller</v>
      </c>
      <c r="J344" s="248"/>
    </row>
    <row r="345" spans="1:10" ht="15.95" hidden="1" customHeight="1" outlineLevel="1">
      <c r="B345" s="16"/>
      <c r="C345" s="69" t="s">
        <v>936</v>
      </c>
      <c r="D345" s="243">
        <v>1</v>
      </c>
      <c r="E345" s="328">
        <f>IF(ISBLANK(C345),"",IFERROR(IF(fnStepCostHourly=0,fnStepNotAvail,IF(ISBLANK(D345),"",fnStepCostHourly*$D345*VLOOKUP(BasisYear,ChemPPI[],14,FALSE)/VLOOKUP(2017,ChemPPI[],14,FALSE))),""))</f>
        <v>408.93698778181391</v>
      </c>
      <c r="F345" s="328">
        <f t="shared" si="18"/>
        <v>16357.479511272555</v>
      </c>
      <c r="G345" s="327">
        <f t="shared" si="19"/>
        <v>0.18031034683489666</v>
      </c>
      <c r="H345" s="245"/>
      <c r="I345" s="244" t="str">
        <f>IFERROR(VLOOKUP($C345,Steps[],5,FALSE),"")</f>
        <v>Bonnot</v>
      </c>
      <c r="J345" s="248"/>
    </row>
    <row r="346" spans="1:10" ht="15.95" hidden="1" customHeight="1" outlineLevel="1">
      <c r="B346" s="16"/>
      <c r="C346" s="69"/>
      <c r="D346" s="243"/>
      <c r="E346" s="328" t="str">
        <f>IF(ISBLANK(C346),"",IFERROR(IF(fnStepCostHourly=0,fnStepNotAvail,IF(ISBLANK(D346),"",fnStepCostHourly*$D346*VLOOKUP(BasisYear,ChemPPI[],14,FALSE)/VLOOKUP(2017,ChemPPI[],14,FALSE))),""))</f>
        <v/>
      </c>
      <c r="F346" s="328" t="str">
        <f t="shared" si="18"/>
        <v/>
      </c>
      <c r="G346" s="327" t="str">
        <f t="shared" si="19"/>
        <v/>
      </c>
      <c r="H346" s="245"/>
      <c r="I346" s="244" t="str">
        <f>IFERROR(VLOOKUP($C346,Steps[],5,FALSE),"")</f>
        <v/>
      </c>
      <c r="J346" s="248"/>
    </row>
    <row r="347" spans="1:10" ht="15.95" hidden="1" customHeight="1" outlineLevel="1">
      <c r="B347" s="16"/>
      <c r="C347" s="69"/>
      <c r="D347" s="243"/>
      <c r="E347" s="328" t="str">
        <f>IF(ISBLANK(C347),"",IFERROR(IF(fnStepCostHourly=0,fnStepNotAvail,IF(ISBLANK(D347),"",fnStepCostHourly*$D347*VLOOKUP(BasisYear,ChemPPI[],14,FALSE)/VLOOKUP(2017,ChemPPI[],14,FALSE))),""))</f>
        <v/>
      </c>
      <c r="F347" s="328" t="str">
        <f t="shared" si="18"/>
        <v/>
      </c>
      <c r="G347" s="327" t="str">
        <f t="shared" si="19"/>
        <v/>
      </c>
      <c r="H347" s="245"/>
      <c r="I347" s="244" t="str">
        <f>IFERROR(VLOOKUP($C347,Steps[],5,FALSE),"")</f>
        <v/>
      </c>
      <c r="J347" s="248"/>
    </row>
    <row r="348" spans="1:10" ht="15.95" hidden="1" customHeight="1" outlineLevel="1">
      <c r="B348" s="16"/>
      <c r="C348" s="69"/>
      <c r="D348" s="243"/>
      <c r="E348" s="328" t="str">
        <f>IF(ISBLANK(C348),"",IFERROR(IF(fnStepCostHourly=0,fnStepNotAvail,IF(ISBLANK(D348),"",fnStepCostHourly*$D348*VLOOKUP(BasisYear,ChemPPI[],14,FALSE)/VLOOKUP(2017,ChemPPI[],14,FALSE))),""))</f>
        <v/>
      </c>
      <c r="F348" s="328" t="str">
        <f t="shared" si="18"/>
        <v/>
      </c>
      <c r="G348" s="327" t="str">
        <f t="shared" si="19"/>
        <v/>
      </c>
      <c r="H348" s="245"/>
      <c r="I348" s="244" t="str">
        <f>IFERROR(VLOOKUP($C348,Steps[],5,FALSE),"")</f>
        <v/>
      </c>
      <c r="J348" s="248"/>
    </row>
    <row r="349" spans="1:10" ht="15.95" hidden="1" customHeight="1" outlineLevel="1">
      <c r="B349" s="16"/>
      <c r="C349" s="69"/>
      <c r="D349" s="243"/>
      <c r="E349" s="328" t="str">
        <f>IF(ISBLANK(C349),"",IFERROR(IF(fnStepCostHourly=0,fnStepNotAvail,IF(ISBLANK(D349),"",fnStepCostHourly*$D349*VLOOKUP(BasisYear,ChemPPI[],14,FALSE)/VLOOKUP(2017,ChemPPI[],14,FALSE))),""))</f>
        <v/>
      </c>
      <c r="F349" s="328" t="str">
        <f t="shared" si="18"/>
        <v/>
      </c>
      <c r="G349" s="327" t="str">
        <f t="shared" si="19"/>
        <v/>
      </c>
      <c r="H349" s="245"/>
      <c r="I349" s="244" t="str">
        <f>IFERROR(VLOOKUP($C349,Steps[],5,FALSE),"")</f>
        <v/>
      </c>
      <c r="J349" s="248"/>
    </row>
    <row r="350" spans="1:10" ht="15.95" hidden="1" customHeight="1" outlineLevel="1">
      <c r="B350" s="16"/>
      <c r="C350" s="69"/>
      <c r="D350" s="243"/>
      <c r="E350" s="328" t="str">
        <f>IF(ISBLANK(C350),"",IFERROR(IF(fnStepCostHourly=0,fnStepNotAvail,IF(ISBLANK(D350),"",fnStepCostHourly*$D350*VLOOKUP(BasisYear,ChemPPI[],14,FALSE)/VLOOKUP(2017,ChemPPI[],14,FALSE))),""))</f>
        <v/>
      </c>
      <c r="F350" s="328" t="str">
        <f t="shared" si="18"/>
        <v/>
      </c>
      <c r="G350" s="327" t="str">
        <f t="shared" si="19"/>
        <v/>
      </c>
      <c r="H350" s="245"/>
      <c r="I350" s="244" t="str">
        <f>IFERROR(VLOOKUP($C350,Steps[],5,FALSE),"")</f>
        <v/>
      </c>
      <c r="J350" s="248"/>
    </row>
    <row r="351" spans="1:10" ht="16.5" hidden="1" outlineLevel="1" thickBot="1">
      <c r="B351" s="249"/>
      <c r="C351" s="250"/>
      <c r="D351" s="250"/>
      <c r="E351" s="250"/>
      <c r="F351" s="250"/>
      <c r="G351" s="250"/>
      <c r="H351" s="250"/>
      <c r="I351" s="250"/>
      <c r="J351" s="251"/>
    </row>
    <row r="352" spans="1:10" ht="16.5" collapsed="1" thickBot="1">
      <c r="A352" s="300" t="str">
        <f>"&lt;– show/hide "&amp;B318</f>
        <v>&lt;– show/hide Step Process Template: Zeolite Beta (Bulk)</v>
      </c>
    </row>
    <row r="353" spans="2:10" ht="21" thickBot="1">
      <c r="B353" s="341" t="str">
        <f>"Step Process Template: "&amp;C356</f>
        <v>Step Process Template: Zeolite Beta with Metal Active Site</v>
      </c>
      <c r="C353" s="342"/>
      <c r="D353" s="342"/>
      <c r="E353" s="342"/>
      <c r="F353" s="342"/>
      <c r="G353" s="342"/>
      <c r="H353" s="343"/>
    </row>
    <row r="354" spans="2:10" hidden="1" outlineLevel="1">
      <c r="B354" s="13"/>
      <c r="C354" s="14"/>
      <c r="D354" s="14"/>
      <c r="E354" s="14"/>
      <c r="F354" s="14"/>
      <c r="G354" s="14"/>
      <c r="H354" s="15"/>
      <c r="J354" s="198"/>
    </row>
    <row r="355" spans="2:10" hidden="1" outlineLevel="1">
      <c r="B355" s="16"/>
      <c r="C355" s="17" t="s">
        <v>1045</v>
      </c>
      <c r="D355" s="253" t="s">
        <v>953</v>
      </c>
      <c r="E355" s="64" t="s">
        <v>945</v>
      </c>
      <c r="F355" s="64" t="s">
        <v>946</v>
      </c>
      <c r="G355" s="64" t="str">
        <f>"Cost ($/"&amp;OutMassUnit&amp;" catalyst)"</f>
        <v>Cost ($/kg catalyst)</v>
      </c>
      <c r="H355" s="247"/>
      <c r="J355" s="198"/>
    </row>
    <row r="356" spans="2:10" ht="15.95" hidden="1" customHeight="1" outlineLevel="1">
      <c r="B356" s="16"/>
      <c r="C356" s="18" t="s">
        <v>1083</v>
      </c>
      <c r="D356" s="253"/>
      <c r="E356" s="330">
        <f>SUM(E364:E389)</f>
        <v>4811.023385668399</v>
      </c>
      <c r="F356" s="330">
        <f>SUM(F364:F389)</f>
        <v>192440.93542673596</v>
      </c>
      <c r="G356" s="329">
        <f>SUM(G364:G389)</f>
        <v>2.121298198057608</v>
      </c>
      <c r="H356" s="322"/>
      <c r="J356" s="198"/>
    </row>
    <row r="357" spans="2:10" ht="15.95" hidden="1" customHeight="1" outlineLevel="1">
      <c r="B357" s="16"/>
      <c r="C357" s="339" t="str">
        <f>"Name: "&amp;C356</f>
        <v>Name: Zeolite Beta with Metal Active Site</v>
      </c>
      <c r="D357" s="253"/>
      <c r="E357" s="333"/>
      <c r="F357" s="333"/>
      <c r="G357" s="334"/>
      <c r="H357" s="322"/>
      <c r="J357" s="198"/>
    </row>
    <row r="358" spans="2:10" ht="15.95" hidden="1" customHeight="1" outlineLevel="1">
      <c r="B358" s="16"/>
      <c r="C358" s="17" t="s">
        <v>1060</v>
      </c>
      <c r="D358" s="253"/>
      <c r="E358" s="333"/>
      <c r="F358" s="333"/>
      <c r="G358" s="334"/>
      <c r="H358" s="322"/>
      <c r="J358" s="198"/>
    </row>
    <row r="359" spans="2:10" ht="15.95" hidden="1" customHeight="1" outlineLevel="1">
      <c r="B359" s="16"/>
      <c r="C359" s="18" t="s">
        <v>1084</v>
      </c>
      <c r="D359" s="253"/>
      <c r="E359" s="333"/>
      <c r="F359" s="333"/>
      <c r="G359" s="334"/>
      <c r="H359" s="322"/>
      <c r="J359" s="198"/>
    </row>
    <row r="360" spans="2:10" ht="15.95" hidden="1" customHeight="1" outlineLevel="1">
      <c r="B360" s="16"/>
      <c r="C360" s="18" t="s">
        <v>1063</v>
      </c>
      <c r="D360" s="253"/>
      <c r="E360" s="333"/>
      <c r="F360" s="333"/>
      <c r="G360" s="334"/>
      <c r="H360" s="322"/>
      <c r="J360" s="198"/>
    </row>
    <row r="361" spans="2:10" ht="16.5" hidden="1" outlineLevel="1" thickBot="1">
      <c r="B361" s="21"/>
      <c r="C361" s="22"/>
      <c r="D361" s="22"/>
      <c r="E361" s="22"/>
      <c r="F361" s="22"/>
      <c r="G361" s="22"/>
      <c r="H361" s="23"/>
      <c r="J361" s="198"/>
    </row>
    <row r="362" spans="2:10" ht="15.95" hidden="1" customHeight="1" outlineLevel="1">
      <c r="B362" s="16"/>
      <c r="C362" s="18"/>
      <c r="D362" s="18"/>
      <c r="E362" s="18"/>
      <c r="F362" s="18"/>
      <c r="G362" s="18"/>
      <c r="H362" s="18"/>
      <c r="I362" s="14"/>
      <c r="J362" s="15"/>
    </row>
    <row r="363" spans="2:10" ht="17.100000000000001" hidden="1" customHeight="1" outlineLevel="1">
      <c r="B363" s="16"/>
      <c r="C363" s="325" t="s">
        <v>930</v>
      </c>
      <c r="D363" s="325" t="s">
        <v>307</v>
      </c>
      <c r="E363" s="325" t="s">
        <v>945</v>
      </c>
      <c r="F363" s="325" t="s">
        <v>946</v>
      </c>
      <c r="G363" s="325" t="str">
        <f>"Cost ($/"&amp;OutMassUnit&amp;" catalyst)"</f>
        <v>Cost ($/kg catalyst)</v>
      </c>
      <c r="H363" s="325"/>
      <c r="I363" s="325" t="s">
        <v>205</v>
      </c>
      <c r="J363" s="247"/>
    </row>
    <row r="364" spans="2:10" ht="15.95" hidden="1" customHeight="1" outlineLevel="1">
      <c r="B364" s="16"/>
      <c r="C364" s="69" t="s">
        <v>924</v>
      </c>
      <c r="D364" s="243">
        <v>1</v>
      </c>
      <c r="E364" s="328">
        <f>IF(ISBLANK(C364),"",IFERROR(IF(fnStepCostHourly=0,fnStepNotAvail,IF(ISBLANK(D364),"",fnStepCostHourly*$D364*VLOOKUP(BasisYear,ChemPPI[],14,FALSE)/VLOOKUP(2017,ChemPPI[],14,FALSE))),""))</f>
        <v>192.44093542673596</v>
      </c>
      <c r="F364" s="328">
        <f t="shared" ref="F364:F389" si="20">IFERROR($E364*$D$9*24,$E364)</f>
        <v>7697.637417069438</v>
      </c>
      <c r="G364" s="327">
        <f t="shared" ref="G364:G389" si="21">IFERROR($F364/$D$7,$F364)</f>
        <v>8.485192792230431E-2</v>
      </c>
      <c r="H364" s="245"/>
      <c r="I364" s="244" t="str">
        <f>IFERROR(VLOOKUP($C364,Steps[],5,FALSE),"")</f>
        <v>-</v>
      </c>
      <c r="J364" s="248"/>
    </row>
    <row r="365" spans="2:10" ht="15.95" hidden="1" customHeight="1" outlineLevel="1">
      <c r="B365" s="16"/>
      <c r="C365" s="69" t="s">
        <v>917</v>
      </c>
      <c r="D365" s="243">
        <v>2</v>
      </c>
      <c r="E365" s="328">
        <f>IF(ISBLANK(C365),"",IFERROR(IF(fnStepCostHourly=0,fnStepNotAvail,IF(ISBLANK(D365),"",fnStepCostHourly*$D365*VLOOKUP(BasisYear,ChemPPI[],14,FALSE)/VLOOKUP(2017,ChemPPI[],14,FALSE))),""))</f>
        <v>577.32280628020783</v>
      </c>
      <c r="F365" s="328">
        <f t="shared" si="20"/>
        <v>23092.912251208312</v>
      </c>
      <c r="G365" s="327">
        <f t="shared" si="21"/>
        <v>0.2545557837669129</v>
      </c>
      <c r="H365" s="245"/>
      <c r="I365" s="244" t="str">
        <f>IFERROR(VLOOKUP($C365,Steps[],5,FALSE),"")</f>
        <v>-</v>
      </c>
      <c r="J365" s="248"/>
    </row>
    <row r="366" spans="2:10" ht="15.95" hidden="1" customHeight="1" outlineLevel="1">
      <c r="B366" s="16"/>
      <c r="C366" s="69" t="s">
        <v>924</v>
      </c>
      <c r="D366" s="243">
        <v>1</v>
      </c>
      <c r="E366" s="328">
        <f>IF(ISBLANK(C366),"",IFERROR(IF(fnStepCostHourly=0,fnStepNotAvail,IF(ISBLANK(D366),"",fnStepCostHourly*$D366*VLOOKUP(BasisYear,ChemPPI[],14,FALSE)/VLOOKUP(2017,ChemPPI[],14,FALSE))),""))</f>
        <v>192.44093542673596</v>
      </c>
      <c r="F366" s="328">
        <f t="shared" si="20"/>
        <v>7697.637417069438</v>
      </c>
      <c r="G366" s="327">
        <f t="shared" si="21"/>
        <v>8.485192792230431E-2</v>
      </c>
      <c r="H366" s="245"/>
      <c r="I366" s="244" t="str">
        <f>IFERROR(VLOOKUP($C366,Steps[],5,FALSE),"")</f>
        <v>-</v>
      </c>
      <c r="J366" s="248"/>
    </row>
    <row r="367" spans="2:10" ht="15.95" hidden="1" customHeight="1" outlineLevel="1">
      <c r="B367" s="16"/>
      <c r="C367" s="335" t="s">
        <v>919</v>
      </c>
      <c r="D367" s="336">
        <f>1*IF($D$6&lt;5,0,IF($D$6&lt;70,1,1))</f>
        <v>1</v>
      </c>
      <c r="E367" s="328">
        <f>IF(ISBLANK(C367),"",IFERROR(IF(fnStepCostHourly=0,fnStepNotAvail,IF(ISBLANK(D367),"",fnStepCostHourly*$D367*VLOOKUP(BasisYear,ChemPPI[],14,FALSE)/VLOOKUP(2017,ChemPPI[],14,FALSE))),""))</f>
        <v>288.66140314010391</v>
      </c>
      <c r="F367" s="328">
        <f t="shared" si="20"/>
        <v>11546.456125604156</v>
      </c>
      <c r="G367" s="327">
        <f t="shared" si="21"/>
        <v>0.12727789188345645</v>
      </c>
      <c r="H367" s="245"/>
      <c r="I367" s="244" t="str">
        <f>IFERROR(VLOOKUP($C367,Steps[],5,FALSE),"")</f>
        <v>Substitute with plate and frame at small scale</v>
      </c>
      <c r="J367" s="248"/>
    </row>
    <row r="368" spans="2:10" ht="15.95" hidden="1" customHeight="1" outlineLevel="1">
      <c r="B368" s="16"/>
      <c r="C368" s="335" t="s">
        <v>921</v>
      </c>
      <c r="D368" s="336">
        <f>1*IF($D$6&lt;5,1,IF($D$6&lt;70,0,0))</f>
        <v>0</v>
      </c>
      <c r="E368" s="328" t="str">
        <f>IF(ISBLANK(C368),"",IFERROR(IF(fnStepCostHourly=0,fnStepNotAvail,IF(ISBLANK(D368),"",fnStepCostHourly*$D368*VLOOKUP(BasisYear,ChemPPI[],14,FALSE)/VLOOKUP(2017,ChemPPI[],14,FALSE))),""))</f>
        <v>N/A at large scale</v>
      </c>
      <c r="F368" s="328" t="str">
        <f t="shared" si="20"/>
        <v>N/A at large scale</v>
      </c>
      <c r="G368" s="327" t="str">
        <f t="shared" si="21"/>
        <v>N/A at large scale</v>
      </c>
      <c r="H368" s="245"/>
      <c r="I368" s="244" t="str">
        <f>IFERROR(VLOOKUP($C368,Steps[],5,FALSE),"")</f>
        <v>Substitute with belt or rotary vacuum at M/L scale</v>
      </c>
      <c r="J368" s="248"/>
    </row>
    <row r="369" spans="2:10" ht="15.95" hidden="1" customHeight="1" outlineLevel="1">
      <c r="B369" s="16"/>
      <c r="C369" s="69" t="s">
        <v>1065</v>
      </c>
      <c r="D369" s="243">
        <v>1</v>
      </c>
      <c r="E369" s="328">
        <f>IF(ISBLANK(C369),"",IFERROR(IF(fnStepCostHourly=0,fnStepNotAvail,IF(ISBLANK(D369),"",fnStepCostHourly*$D369*VLOOKUP(BasisYear,ChemPPI[],14,FALSE)/VLOOKUP(2017,ChemPPI[],14,FALSE))),""))</f>
        <v>288.66140314010391</v>
      </c>
      <c r="F369" s="328">
        <f t="shared" si="20"/>
        <v>11546.456125604156</v>
      </c>
      <c r="G369" s="327">
        <f t="shared" si="21"/>
        <v>0.12727789188345645</v>
      </c>
      <c r="H369" s="245"/>
      <c r="I369" s="244" t="str">
        <f>IFERROR(VLOOKUP($C369,Steps[],5,FALSE),"")</f>
        <v>For higher temp use kiln</v>
      </c>
      <c r="J369" s="248"/>
    </row>
    <row r="370" spans="2:10" ht="15.95" hidden="1" customHeight="1" outlineLevel="1">
      <c r="B370" s="16"/>
      <c r="C370" s="335" t="s">
        <v>938</v>
      </c>
      <c r="D370" s="336">
        <f>1*IF($D$6&lt;5,0,IF($D$6&lt;70,1,1))</f>
        <v>1</v>
      </c>
      <c r="E370" s="328">
        <f>IF(ISBLANK(C370),"",IFERROR(IF(fnStepCostHourly=0,fnStepNotAvail,IF(ISBLANK(D370),"",fnStepCostHourly*$D370*VLOOKUP(BasisYear,ChemPPI[],14,FALSE)/VLOOKUP(2017,ChemPPI[],14,FALSE))),""))</f>
        <v>312.71652006844596</v>
      </c>
      <c r="F370" s="328">
        <f t="shared" si="20"/>
        <v>12508.660802737839</v>
      </c>
      <c r="G370" s="327">
        <f t="shared" si="21"/>
        <v>0.13788438287374452</v>
      </c>
      <c r="H370" s="245"/>
      <c r="I370" s="244" t="str">
        <f>IFERROR(VLOOKUP($C370,Steps[],5,FALSE),"")</f>
        <v>A.k.a. calciner. Sub with batch kiln at small scale</v>
      </c>
      <c r="J370" s="248"/>
    </row>
    <row r="371" spans="2:10" ht="15.95" hidden="1" customHeight="1" outlineLevel="1">
      <c r="B371" s="16"/>
      <c r="C371" s="335" t="s">
        <v>940</v>
      </c>
      <c r="D371" s="336">
        <f>1*IF($D$6&lt;5,1,IF($D$6&lt;70,0,0))</f>
        <v>0</v>
      </c>
      <c r="E371" s="328" t="str">
        <f>IF(ISBLANK(C371),"",IFERROR(IF(fnStepCostHourly=0,fnStepNotAvail,IF(ISBLANK(D371),"",fnStepCostHourly*$D371*VLOOKUP(BasisYear,ChemPPI[],14,FALSE)/VLOOKUP(2017,ChemPPI[],14,FALSE))),""))</f>
        <v>N/A at large scale</v>
      </c>
      <c r="F371" s="328" t="str">
        <f t="shared" si="20"/>
        <v>N/A at large scale</v>
      </c>
      <c r="G371" s="327" t="str">
        <f t="shared" si="21"/>
        <v>N/A at large scale</v>
      </c>
      <c r="H371" s="245"/>
      <c r="I371" s="244" t="str">
        <f>IFERROR(VLOOKUP($C371,Steps[],5,FALSE),"")</f>
        <v>A.k.a. calciner. Sub with continuous kiln at M/L scale</v>
      </c>
      <c r="J371" s="248"/>
    </row>
    <row r="372" spans="2:10" ht="15.95" hidden="1" customHeight="1" outlineLevel="1">
      <c r="B372" s="16"/>
      <c r="C372" s="69" t="s">
        <v>925</v>
      </c>
      <c r="D372" s="243">
        <v>1</v>
      </c>
      <c r="E372" s="328">
        <f>IF(ISBLANK(C372),"",IFERROR(IF(fnStepCostHourly=0,fnStepNotAvail,IF(ISBLANK(D372),"",fnStepCostHourly*$D372*VLOOKUP(BasisYear,ChemPPI[],14,FALSE)/VLOOKUP(2017,ChemPPI[],14,FALSE))),""))</f>
        <v>577.32280628020783</v>
      </c>
      <c r="F372" s="328">
        <f t="shared" si="20"/>
        <v>23092.912251208312</v>
      </c>
      <c r="G372" s="327">
        <f t="shared" si="21"/>
        <v>0.2545557837669129</v>
      </c>
      <c r="H372" s="245"/>
      <c r="I372" s="244" t="str">
        <f>IFERROR(VLOOKUP($C372,Steps[],5,FALSE),"")</f>
        <v>-</v>
      </c>
      <c r="J372" s="248"/>
    </row>
    <row r="373" spans="2:10" ht="15.95" hidden="1" customHeight="1" outlineLevel="1">
      <c r="B373" s="16"/>
      <c r="C373" s="335" t="s">
        <v>919</v>
      </c>
      <c r="D373" s="336">
        <f>1*IF($D$6&lt;5,0,IF($D$6&lt;70,1,1))</f>
        <v>1</v>
      </c>
      <c r="E373" s="328">
        <f>IF(ISBLANK(C373),"",IFERROR(IF(fnStepCostHourly=0,fnStepNotAvail,IF(ISBLANK(D373),"",fnStepCostHourly*$D373*VLOOKUP(BasisYear,ChemPPI[],14,FALSE)/VLOOKUP(2017,ChemPPI[],14,FALSE))),""))</f>
        <v>288.66140314010391</v>
      </c>
      <c r="F373" s="328">
        <f t="shared" si="20"/>
        <v>11546.456125604156</v>
      </c>
      <c r="G373" s="327">
        <f t="shared" si="21"/>
        <v>0.12727789188345645</v>
      </c>
      <c r="H373" s="245"/>
      <c r="I373" s="244" t="str">
        <f>IFERROR(VLOOKUP($C373,Steps[],5,FALSE),"")</f>
        <v>Substitute with plate and frame at small scale</v>
      </c>
      <c r="J373" s="248"/>
    </row>
    <row r="374" spans="2:10" ht="15.95" hidden="1" customHeight="1" outlineLevel="1">
      <c r="B374" s="16"/>
      <c r="C374" s="335" t="s">
        <v>921</v>
      </c>
      <c r="D374" s="336">
        <f>1*IF($D$6&lt;5,1,IF($D$6&lt;70,0,0))</f>
        <v>0</v>
      </c>
      <c r="E374" s="328" t="str">
        <f>IF(ISBLANK(C374),"",IFERROR(IF(fnStepCostHourly=0,fnStepNotAvail,IF(ISBLANK(D374),"",fnStepCostHourly*$D374*VLOOKUP(BasisYear,ChemPPI[],14,FALSE)/VLOOKUP(2017,ChemPPI[],14,FALSE))),""))</f>
        <v>N/A at large scale</v>
      </c>
      <c r="F374" s="328" t="str">
        <f t="shared" si="20"/>
        <v>N/A at large scale</v>
      </c>
      <c r="G374" s="327" t="str">
        <f t="shared" si="21"/>
        <v>N/A at large scale</v>
      </c>
      <c r="H374" s="245"/>
      <c r="I374" s="244" t="str">
        <f>IFERROR(VLOOKUP($C374,Steps[],5,FALSE),"")</f>
        <v>Substitute with belt or rotary vacuum at M/L scale</v>
      </c>
      <c r="J374" s="248"/>
    </row>
    <row r="375" spans="2:10" ht="15.95" hidden="1" customHeight="1" outlineLevel="1">
      <c r="B375" s="16"/>
      <c r="C375" s="335" t="s">
        <v>938</v>
      </c>
      <c r="D375" s="336">
        <f>1*IF($D$6&lt;5,0,IF($D$6&lt;70,1,1))</f>
        <v>1</v>
      </c>
      <c r="E375" s="328">
        <f>IF(ISBLANK(C375),"",IFERROR(IF(fnStepCostHourly=0,fnStepNotAvail,IF(ISBLANK(D375),"",fnStepCostHourly*$D375*VLOOKUP(BasisYear,ChemPPI[],14,FALSE)/VLOOKUP(2017,ChemPPI[],14,FALSE))),""))</f>
        <v>312.71652006844596</v>
      </c>
      <c r="F375" s="328">
        <f t="shared" si="20"/>
        <v>12508.660802737839</v>
      </c>
      <c r="G375" s="327">
        <f t="shared" si="21"/>
        <v>0.13788438287374452</v>
      </c>
      <c r="H375" s="245"/>
      <c r="I375" s="244" t="str">
        <f>IFERROR(VLOOKUP($C375,Steps[],5,FALSE),"")</f>
        <v>A.k.a. calciner. Sub with batch kiln at small scale</v>
      </c>
      <c r="J375" s="248"/>
    </row>
    <row r="376" spans="2:10" ht="15.95" hidden="1" customHeight="1" outlineLevel="1">
      <c r="B376" s="16"/>
      <c r="C376" s="335" t="s">
        <v>940</v>
      </c>
      <c r="D376" s="336">
        <f>1*IF($D$6&lt;5,1,IF($D$6&lt;70,0,0))</f>
        <v>0</v>
      </c>
      <c r="E376" s="328" t="str">
        <f>IF(ISBLANK(C376),"",IFERROR(IF(fnStepCostHourly=0,fnStepNotAvail,IF(ISBLANK(D376),"",fnStepCostHourly*$D376*VLOOKUP(BasisYear,ChemPPI[],14,FALSE)/VLOOKUP(2017,ChemPPI[],14,FALSE))),""))</f>
        <v>N/A at large scale</v>
      </c>
      <c r="F376" s="328" t="str">
        <f t="shared" si="20"/>
        <v>N/A at large scale</v>
      </c>
      <c r="G376" s="327" t="str">
        <f t="shared" si="21"/>
        <v>N/A at large scale</v>
      </c>
      <c r="H376" s="245"/>
      <c r="I376" s="244" t="str">
        <f>IFERROR(VLOOKUP($C376,Steps[],5,FALSE),"")</f>
        <v>A.k.a. calciner. Sub with continuous kiln at M/L scale</v>
      </c>
      <c r="J376" s="248"/>
    </row>
    <row r="377" spans="2:10" ht="15.95" hidden="1" customHeight="1" outlineLevel="1">
      <c r="B377" s="16"/>
      <c r="C377" s="69" t="s">
        <v>931</v>
      </c>
      <c r="D377" s="243">
        <v>1</v>
      </c>
      <c r="E377" s="328">
        <f>IF(ISBLANK(C377),"",IFERROR(IF(fnStepCostHourly=0,fnStepNotAvail,IF(ISBLANK(D377),"",fnStepCostHourly*$D377*VLOOKUP(BasisYear,ChemPPI[],14,FALSE)/VLOOKUP(2017,ChemPPI[],14,FALSE))),""))</f>
        <v>192.44093542673596</v>
      </c>
      <c r="F377" s="328">
        <f t="shared" si="20"/>
        <v>7697.637417069438</v>
      </c>
      <c r="G377" s="327">
        <f t="shared" si="21"/>
        <v>8.485192792230431E-2</v>
      </c>
      <c r="H377" s="245"/>
      <c r="I377" s="244" t="str">
        <f>IFERROR(VLOOKUP($C377,Steps[],5,FALSE),"")</f>
        <v>-</v>
      </c>
      <c r="J377" s="248"/>
    </row>
    <row r="378" spans="2:10" ht="15.95" hidden="1" customHeight="1" outlineLevel="1">
      <c r="B378" s="16"/>
      <c r="C378" s="69" t="s">
        <v>922</v>
      </c>
      <c r="D378" s="243">
        <v>1</v>
      </c>
      <c r="E378" s="328">
        <f>IF(ISBLANK(C378),"",IFERROR(IF(fnStepCostHourly=0,fnStepNotAvail,IF(ISBLANK(D378),"",fnStepCostHourly*$D378*VLOOKUP(BasisYear,ChemPPI[],14,FALSE)/VLOOKUP(2017,ChemPPI[],14,FALSE))),""))</f>
        <v>192.44093542673596</v>
      </c>
      <c r="F378" s="328">
        <f t="shared" si="20"/>
        <v>7697.637417069438</v>
      </c>
      <c r="G378" s="327">
        <f t="shared" si="21"/>
        <v>8.485192792230431E-2</v>
      </c>
      <c r="H378" s="245"/>
      <c r="I378" s="244" t="str">
        <f>IFERROR(VLOOKUP($C378,Steps[],5,FALSE),"")</f>
        <v>-</v>
      </c>
      <c r="J378" s="248"/>
    </row>
    <row r="379" spans="2:10" ht="15.95" hidden="1" customHeight="1" outlineLevel="1">
      <c r="B379" s="16"/>
      <c r="C379" s="69" t="s">
        <v>935</v>
      </c>
      <c r="D379" s="243">
        <v>1</v>
      </c>
      <c r="E379" s="328">
        <f>IF(ISBLANK(C379),"",IFERROR(IF(fnStepCostHourly=0,fnStepNotAvail,IF(ISBLANK(D379),"",fnStepCostHourly*$D379*VLOOKUP(BasisYear,ChemPPI[],14,FALSE)/VLOOKUP(2017,ChemPPI[],14,FALSE))),""))</f>
        <v>192.44093542673596</v>
      </c>
      <c r="F379" s="328">
        <f t="shared" si="20"/>
        <v>7697.637417069438</v>
      </c>
      <c r="G379" s="327">
        <f t="shared" si="21"/>
        <v>8.485192792230431E-2</v>
      </c>
      <c r="H379" s="245"/>
      <c r="I379" s="244" t="str">
        <f>IFERROR(VLOOKUP($C379,Steps[],5,FALSE),"")</f>
        <v>Muller</v>
      </c>
      <c r="J379" s="248"/>
    </row>
    <row r="380" spans="2:10" ht="15.95" hidden="1" customHeight="1" outlineLevel="1">
      <c r="B380" s="16"/>
      <c r="C380" s="69" t="s">
        <v>936</v>
      </c>
      <c r="D380" s="243">
        <v>1</v>
      </c>
      <c r="E380" s="328">
        <f>IF(ISBLANK(C380),"",IFERROR(IF(fnStepCostHourly=0,fnStepNotAvail,IF(ISBLANK(D380),"",fnStepCostHourly*$D380*VLOOKUP(BasisYear,ChemPPI[],14,FALSE)/VLOOKUP(2017,ChemPPI[],14,FALSE))),""))</f>
        <v>408.93698778181391</v>
      </c>
      <c r="F380" s="328">
        <f t="shared" si="20"/>
        <v>16357.479511272555</v>
      </c>
      <c r="G380" s="327">
        <f t="shared" si="21"/>
        <v>0.18031034683489666</v>
      </c>
      <c r="H380" s="245"/>
      <c r="I380" s="244" t="str">
        <f>IFERROR(VLOOKUP($C380,Steps[],5,FALSE),"")</f>
        <v>Bonnot</v>
      </c>
      <c r="J380" s="248"/>
    </row>
    <row r="381" spans="2:10" ht="15.95" hidden="1" customHeight="1" outlineLevel="1">
      <c r="B381" s="16"/>
      <c r="C381" s="69" t="s">
        <v>916</v>
      </c>
      <c r="D381" s="243">
        <v>1</v>
      </c>
      <c r="E381" s="328">
        <f>IF(ISBLANK(C381),"",IFERROR(IF(fnStepCostHourly=0,fnStepNotAvail,IF(ISBLANK(D381),"",fnStepCostHourly*$D381*VLOOKUP(BasisYear,ChemPPI[],14,FALSE)/VLOOKUP(2017,ChemPPI[],14,FALSE))),""))</f>
        <v>192.44093542673596</v>
      </c>
      <c r="F381" s="328">
        <f t="shared" si="20"/>
        <v>7697.637417069438</v>
      </c>
      <c r="G381" s="327">
        <f t="shared" si="21"/>
        <v>8.485192792230431E-2</v>
      </c>
      <c r="H381" s="245"/>
      <c r="I381" s="244" t="str">
        <f>IFERROR(VLOOKUP($C381,Steps[],5,FALSE),"")</f>
        <v>-</v>
      </c>
      <c r="J381" s="248"/>
    </row>
    <row r="382" spans="2:10" ht="15.95" hidden="1" customHeight="1" outlineLevel="1">
      <c r="B382" s="16"/>
      <c r="C382" s="69" t="s">
        <v>1065</v>
      </c>
      <c r="D382" s="243">
        <v>1</v>
      </c>
      <c r="E382" s="328">
        <f>IF(ISBLANK(C382),"",IFERROR(IF(fnStepCostHourly=0,fnStepNotAvail,IF(ISBLANK(D382),"",fnStepCostHourly*$D382*VLOOKUP(BasisYear,ChemPPI[],14,FALSE)/VLOOKUP(2017,ChemPPI[],14,FALSE))),""))</f>
        <v>288.66140314010391</v>
      </c>
      <c r="F382" s="328">
        <f t="shared" si="20"/>
        <v>11546.456125604156</v>
      </c>
      <c r="G382" s="327">
        <f t="shared" si="21"/>
        <v>0.12727789188345645</v>
      </c>
      <c r="H382" s="245"/>
      <c r="I382" s="244" t="str">
        <f>IFERROR(VLOOKUP($C382,Steps[],5,FALSE),"")</f>
        <v>For higher temp use kiln</v>
      </c>
      <c r="J382" s="248"/>
    </row>
    <row r="383" spans="2:10" ht="15.95" hidden="1" customHeight="1" outlineLevel="1">
      <c r="B383" s="16"/>
      <c r="C383" s="335" t="s">
        <v>938</v>
      </c>
      <c r="D383" s="336">
        <f>1*IF($D$6&lt;5,0,IF($D$6&lt;70,1,1))</f>
        <v>1</v>
      </c>
      <c r="E383" s="328">
        <f>IF(ISBLANK(C383),"",IFERROR(IF(fnStepCostHourly=0,fnStepNotAvail,IF(ISBLANK(D383),"",fnStepCostHourly*$D383*VLOOKUP(BasisYear,ChemPPI[],14,FALSE)/VLOOKUP(2017,ChemPPI[],14,FALSE))),""))</f>
        <v>312.71652006844596</v>
      </c>
      <c r="F383" s="328">
        <f t="shared" si="20"/>
        <v>12508.660802737839</v>
      </c>
      <c r="G383" s="327">
        <f t="shared" si="21"/>
        <v>0.13788438287374452</v>
      </c>
      <c r="H383" s="245"/>
      <c r="I383" s="244" t="str">
        <f>IFERROR(VLOOKUP($C383,Steps[],5,FALSE),"")</f>
        <v>A.k.a. calciner. Sub with batch kiln at small scale</v>
      </c>
      <c r="J383" s="248"/>
    </row>
    <row r="384" spans="2:10" ht="15.95" hidden="1" customHeight="1" outlineLevel="1">
      <c r="B384" s="16"/>
      <c r="C384" s="335" t="s">
        <v>940</v>
      </c>
      <c r="D384" s="336">
        <f>1*IF($D$6&lt;5,1,IF($D$6&lt;70,0,0))</f>
        <v>0</v>
      </c>
      <c r="E384" s="328" t="str">
        <f>IF(ISBLANK(C384),"",IFERROR(IF(fnStepCostHourly=0,fnStepNotAvail,IF(ISBLANK(D384),"",fnStepCostHourly*$D384*VLOOKUP(BasisYear,ChemPPI[],14,FALSE)/VLOOKUP(2017,ChemPPI[],14,FALSE))),""))</f>
        <v>N/A at large scale</v>
      </c>
      <c r="F384" s="328" t="str">
        <f t="shared" si="20"/>
        <v>N/A at large scale</v>
      </c>
      <c r="G384" s="327" t="str">
        <f t="shared" si="21"/>
        <v>N/A at large scale</v>
      </c>
      <c r="H384" s="245"/>
      <c r="I384" s="244" t="str">
        <f>IFERROR(VLOOKUP($C384,Steps[],5,FALSE),"")</f>
        <v>A.k.a. calciner. Sub with continuous kiln at M/L scale</v>
      </c>
      <c r="J384" s="248"/>
    </row>
    <row r="385" spans="1:10" ht="15.95" hidden="1" customHeight="1" outlineLevel="1">
      <c r="B385" s="16"/>
      <c r="C385" s="69"/>
      <c r="D385" s="243"/>
      <c r="E385" s="328" t="str">
        <f>IF(ISBLANK(C385),"",IFERROR(IF(fnStepCostHourly=0,fnStepNotAvail,IF(ISBLANK(D385),"",fnStepCostHourly*$D385*VLOOKUP(BasisYear,ChemPPI[],14,FALSE)/VLOOKUP(2017,ChemPPI[],14,FALSE))),""))</f>
        <v/>
      </c>
      <c r="F385" s="328" t="str">
        <f t="shared" si="20"/>
        <v/>
      </c>
      <c r="G385" s="327" t="str">
        <f t="shared" si="21"/>
        <v/>
      </c>
      <c r="H385" s="245"/>
      <c r="I385" s="244" t="str">
        <f>IFERROR(VLOOKUP($C385,Steps[],5,FALSE),"")</f>
        <v/>
      </c>
      <c r="J385" s="248"/>
    </row>
    <row r="386" spans="1:10" ht="15.95" hidden="1" customHeight="1" outlineLevel="1">
      <c r="B386" s="16"/>
      <c r="C386" s="69"/>
      <c r="D386" s="243"/>
      <c r="E386" s="328" t="str">
        <f>IF(ISBLANK(C386),"",IFERROR(IF(fnStepCostHourly=0,fnStepNotAvail,IF(ISBLANK(D386),"",fnStepCostHourly*$D386*VLOOKUP(BasisYear,ChemPPI[],14,FALSE)/VLOOKUP(2017,ChemPPI[],14,FALSE))),""))</f>
        <v/>
      </c>
      <c r="F386" s="328" t="str">
        <f t="shared" si="20"/>
        <v/>
      </c>
      <c r="G386" s="327" t="str">
        <f t="shared" si="21"/>
        <v/>
      </c>
      <c r="H386" s="245"/>
      <c r="I386" s="244" t="str">
        <f>IFERROR(VLOOKUP($C386,Steps[],5,FALSE),"")</f>
        <v/>
      </c>
      <c r="J386" s="248"/>
    </row>
    <row r="387" spans="1:10" ht="15.95" hidden="1" customHeight="1" outlineLevel="1">
      <c r="B387" s="16"/>
      <c r="C387" s="69"/>
      <c r="D387" s="243"/>
      <c r="E387" s="328" t="str">
        <f>IF(ISBLANK(C387),"",IFERROR(IF(fnStepCostHourly=0,fnStepNotAvail,IF(ISBLANK(D387),"",fnStepCostHourly*$D387*VLOOKUP(BasisYear,ChemPPI[],14,FALSE)/VLOOKUP(2017,ChemPPI[],14,FALSE))),""))</f>
        <v/>
      </c>
      <c r="F387" s="328" t="str">
        <f t="shared" si="20"/>
        <v/>
      </c>
      <c r="G387" s="327" t="str">
        <f t="shared" si="21"/>
        <v/>
      </c>
      <c r="H387" s="245"/>
      <c r="I387" s="244" t="str">
        <f>IFERROR(VLOOKUP($C387,Steps[],5,FALSE),"")</f>
        <v/>
      </c>
      <c r="J387" s="248"/>
    </row>
    <row r="388" spans="1:10" ht="15.95" hidden="1" customHeight="1" outlineLevel="1">
      <c r="B388" s="16"/>
      <c r="C388" s="69"/>
      <c r="D388" s="243"/>
      <c r="E388" s="328" t="str">
        <f>IF(ISBLANK(C388),"",IFERROR(IF(fnStepCostHourly=0,fnStepNotAvail,IF(ISBLANK(D388),"",fnStepCostHourly*$D388*VLOOKUP(BasisYear,ChemPPI[],14,FALSE)/VLOOKUP(2017,ChemPPI[],14,FALSE))),""))</f>
        <v/>
      </c>
      <c r="F388" s="328" t="str">
        <f t="shared" si="20"/>
        <v/>
      </c>
      <c r="G388" s="327" t="str">
        <f t="shared" si="21"/>
        <v/>
      </c>
      <c r="H388" s="245"/>
      <c r="I388" s="244" t="str">
        <f>IFERROR(VLOOKUP($C388,Steps[],5,FALSE),"")</f>
        <v/>
      </c>
      <c r="J388" s="248"/>
    </row>
    <row r="389" spans="1:10" ht="15.95" hidden="1" customHeight="1" outlineLevel="1">
      <c r="B389" s="16"/>
      <c r="C389" s="69"/>
      <c r="D389" s="243"/>
      <c r="E389" s="328" t="str">
        <f>IF(ISBLANK(C389),"",IFERROR(IF(fnStepCostHourly=0,fnStepNotAvail,IF(ISBLANK(D389),"",fnStepCostHourly*$D389*VLOOKUP(BasisYear,ChemPPI[],14,FALSE)/VLOOKUP(2017,ChemPPI[],14,FALSE))),""))</f>
        <v/>
      </c>
      <c r="F389" s="328" t="str">
        <f t="shared" si="20"/>
        <v/>
      </c>
      <c r="G389" s="327" t="str">
        <f t="shared" si="21"/>
        <v/>
      </c>
      <c r="H389" s="245"/>
      <c r="I389" s="244" t="str">
        <f>IFERROR(VLOOKUP($C389,Steps[],5,FALSE),"")</f>
        <v/>
      </c>
      <c r="J389" s="248"/>
    </row>
    <row r="390" spans="1:10" ht="16.5" hidden="1" outlineLevel="1" thickBot="1">
      <c r="B390" s="249"/>
      <c r="C390" s="250"/>
      <c r="D390" s="250"/>
      <c r="E390" s="250"/>
      <c r="F390" s="250"/>
      <c r="G390" s="250"/>
      <c r="H390" s="250"/>
      <c r="I390" s="250"/>
      <c r="J390" s="251"/>
    </row>
    <row r="391" spans="1:10" ht="16.5" collapsed="1" thickBot="1">
      <c r="A391" s="300" t="str">
        <f>"&lt;– show/hide "&amp;B353</f>
        <v>&lt;– show/hide Step Process Template: Zeolite Beta with Metal Active Site</v>
      </c>
    </row>
    <row r="392" spans="1:10" ht="21" thickBot="1">
      <c r="B392" s="341" t="str">
        <f>"Step Process Template: "&amp;C395</f>
        <v>Step Process Template: Zeolite ZSM-5 (Bulk)</v>
      </c>
      <c r="C392" s="342"/>
      <c r="D392" s="342"/>
      <c r="E392" s="342"/>
      <c r="F392" s="342"/>
      <c r="G392" s="342"/>
      <c r="H392" s="343"/>
    </row>
    <row r="393" spans="1:10" hidden="1" outlineLevel="1">
      <c r="B393" s="13"/>
      <c r="C393" s="14"/>
      <c r="D393" s="14"/>
      <c r="E393" s="14"/>
      <c r="F393" s="14"/>
      <c r="G393" s="14"/>
      <c r="H393" s="15"/>
      <c r="J393" s="198"/>
    </row>
    <row r="394" spans="1:10" hidden="1" outlineLevel="1">
      <c r="B394" s="16"/>
      <c r="C394" s="17" t="s">
        <v>1045</v>
      </c>
      <c r="D394" s="253" t="s">
        <v>953</v>
      </c>
      <c r="E394" s="64" t="s">
        <v>945</v>
      </c>
      <c r="F394" s="64" t="s">
        <v>946</v>
      </c>
      <c r="G394" s="64" t="str">
        <f>"Cost ($/"&amp;OutMassUnit&amp;" catalyst)"</f>
        <v>Cost ($/kg catalyst)</v>
      </c>
      <c r="H394" s="247"/>
      <c r="J394" s="198"/>
    </row>
    <row r="395" spans="1:10" ht="15.95" hidden="1" customHeight="1" outlineLevel="1">
      <c r="B395" s="16"/>
      <c r="C395" s="18" t="s">
        <v>1079</v>
      </c>
      <c r="D395" s="253"/>
      <c r="E395" s="330">
        <f>SUM(E403:E422)</f>
        <v>4642.6375671700052</v>
      </c>
      <c r="F395" s="330">
        <f>SUM(F403:F422)</f>
        <v>185705.50268680017</v>
      </c>
      <c r="G395" s="329">
        <f>SUM(G403:G422)</f>
        <v>2.0470527611255913</v>
      </c>
      <c r="H395" s="322"/>
      <c r="J395" s="198"/>
    </row>
    <row r="396" spans="1:10" ht="15.95" hidden="1" customHeight="1" outlineLevel="1">
      <c r="B396" s="16"/>
      <c r="C396" s="339" t="str">
        <f>"Name: "&amp;C395</f>
        <v>Name: Zeolite ZSM-5 (Bulk)</v>
      </c>
      <c r="D396" s="253"/>
      <c r="E396" s="333"/>
      <c r="F396" s="333"/>
      <c r="G396" s="334"/>
      <c r="H396" s="322"/>
      <c r="J396" s="198"/>
    </row>
    <row r="397" spans="1:10" ht="15.95" hidden="1" customHeight="1" outlineLevel="1">
      <c r="B397" s="16"/>
      <c r="C397" s="17" t="s">
        <v>1060</v>
      </c>
      <c r="D397" s="253"/>
      <c r="E397" s="333"/>
      <c r="F397" s="333"/>
      <c r="G397" s="334"/>
      <c r="H397" s="322"/>
      <c r="J397" s="198"/>
    </row>
    <row r="398" spans="1:10" ht="15.95" hidden="1" customHeight="1" outlineLevel="1">
      <c r="B398" s="16"/>
      <c r="C398" s="18" t="s">
        <v>1075</v>
      </c>
      <c r="D398" s="253"/>
      <c r="E398" s="333"/>
      <c r="F398" s="333"/>
      <c r="G398" s="334"/>
      <c r="H398" s="322"/>
      <c r="J398" s="198"/>
    </row>
    <row r="399" spans="1:10" ht="15.95" hidden="1" customHeight="1" outlineLevel="1">
      <c r="B399" s="16"/>
      <c r="C399" s="18" t="s">
        <v>1063</v>
      </c>
      <c r="D399" s="253"/>
      <c r="E399" s="333"/>
      <c r="F399" s="333"/>
      <c r="G399" s="334"/>
      <c r="H399" s="322"/>
      <c r="J399" s="198"/>
    </row>
    <row r="400" spans="1:10" ht="16.5" hidden="1" outlineLevel="1" thickBot="1">
      <c r="B400" s="21"/>
      <c r="C400" s="22"/>
      <c r="D400" s="22"/>
      <c r="E400" s="22"/>
      <c r="F400" s="22"/>
      <c r="G400" s="22"/>
      <c r="H400" s="23"/>
      <c r="J400" s="198"/>
    </row>
    <row r="401" spans="2:10" ht="15.95" hidden="1" customHeight="1" outlineLevel="1">
      <c r="B401" s="16"/>
      <c r="C401" s="18"/>
      <c r="D401" s="18"/>
      <c r="E401" s="18"/>
      <c r="F401" s="18"/>
      <c r="G401" s="18"/>
      <c r="H401" s="18"/>
      <c r="I401" s="14"/>
      <c r="J401" s="15"/>
    </row>
    <row r="402" spans="2:10" ht="17.100000000000001" hidden="1" customHeight="1" outlineLevel="1">
      <c r="B402" s="16"/>
      <c r="C402" s="325" t="s">
        <v>930</v>
      </c>
      <c r="D402" s="325" t="s">
        <v>307</v>
      </c>
      <c r="E402" s="325" t="s">
        <v>945</v>
      </c>
      <c r="F402" s="325" t="s">
        <v>946</v>
      </c>
      <c r="G402" s="325" t="str">
        <f>"Cost ($/"&amp;OutMassUnit&amp;" catalyst)"</f>
        <v>Cost ($/kg catalyst)</v>
      </c>
      <c r="H402" s="325"/>
      <c r="I402" s="325" t="s">
        <v>205</v>
      </c>
      <c r="J402" s="247"/>
    </row>
    <row r="403" spans="2:10" ht="15.95" hidden="1" customHeight="1" outlineLevel="1">
      <c r="B403" s="16"/>
      <c r="C403" s="69" t="s">
        <v>924</v>
      </c>
      <c r="D403" s="243">
        <v>1</v>
      </c>
      <c r="E403" s="328">
        <f>IF(ISBLANK(C403),"",IFERROR(IF(fnStepCostHourly=0,fnStepNotAvail,IF(ISBLANK(D403),"",fnStepCostHourly*$D403*VLOOKUP(BasisYear,ChemPPI[],14,FALSE)/VLOOKUP(2017,ChemPPI[],14,FALSE))),""))</f>
        <v>192.44093542673596</v>
      </c>
      <c r="F403" s="328">
        <f t="shared" ref="F403:F422" si="22">IFERROR($E403*$D$9*24,$E403)</f>
        <v>7697.637417069438</v>
      </c>
      <c r="G403" s="327">
        <f t="shared" ref="G403:G422" si="23">IFERROR($F403/$D$7,$F403)</f>
        <v>8.485192792230431E-2</v>
      </c>
      <c r="H403" s="245"/>
      <c r="I403" s="244" t="str">
        <f>IFERROR(VLOOKUP($C403,Steps[],5,FALSE),"")</f>
        <v>-</v>
      </c>
      <c r="J403" s="248"/>
    </row>
    <row r="404" spans="2:10" ht="15.95" hidden="1" customHeight="1" outlineLevel="1">
      <c r="B404" s="16"/>
      <c r="C404" s="69" t="s">
        <v>917</v>
      </c>
      <c r="D404" s="243">
        <v>3</v>
      </c>
      <c r="E404" s="328">
        <f>IF(ISBLANK(C404),"",IFERROR(IF(fnStepCostHourly=0,fnStepNotAvail,IF(ISBLANK(D404),"",fnStepCostHourly*$D404*VLOOKUP(BasisYear,ChemPPI[],14,FALSE)/VLOOKUP(2017,ChemPPI[],14,FALSE))),""))</f>
        <v>865.9842094203118</v>
      </c>
      <c r="F404" s="328">
        <f t="shared" si="22"/>
        <v>34639.368376812468</v>
      </c>
      <c r="G404" s="327">
        <f t="shared" si="23"/>
        <v>0.38183367565036935</v>
      </c>
      <c r="H404" s="245"/>
      <c r="I404" s="244" t="str">
        <f>IFERROR(VLOOKUP($C404,Steps[],5,FALSE),"")</f>
        <v>-</v>
      </c>
      <c r="J404" s="248"/>
    </row>
    <row r="405" spans="2:10" ht="15.95" hidden="1" customHeight="1" outlineLevel="1">
      <c r="B405" s="16"/>
      <c r="C405" s="335" t="s">
        <v>919</v>
      </c>
      <c r="D405" s="336">
        <f>2*IF($D$6&lt;5,0,IF($D$6&lt;70,1,1))</f>
        <v>2</v>
      </c>
      <c r="E405" s="328">
        <f>IF(ISBLANK(C405),"",IFERROR(IF(fnStepCostHourly=0,fnStepNotAvail,IF(ISBLANK(D405),"",fnStepCostHourly*$D405*VLOOKUP(BasisYear,ChemPPI[],14,FALSE)/VLOOKUP(2017,ChemPPI[],14,FALSE))),""))</f>
        <v>577.32280628020783</v>
      </c>
      <c r="F405" s="328">
        <f t="shared" si="22"/>
        <v>23092.912251208312</v>
      </c>
      <c r="G405" s="327">
        <f t="shared" si="23"/>
        <v>0.2545557837669129</v>
      </c>
      <c r="H405" s="245"/>
      <c r="I405" s="244" t="str">
        <f>IFERROR(VLOOKUP($C405,Steps[],5,FALSE),"")</f>
        <v>Substitute with plate and frame at small scale</v>
      </c>
      <c r="J405" s="248"/>
    </row>
    <row r="406" spans="2:10" ht="15.95" hidden="1" customHeight="1" outlineLevel="1">
      <c r="B406" s="16"/>
      <c r="C406" s="335" t="s">
        <v>921</v>
      </c>
      <c r="D406" s="336">
        <f>2*IF($D$6&lt;5,1,IF($D$6&lt;70,0,0))</f>
        <v>0</v>
      </c>
      <c r="E406" s="328" t="str">
        <f>IF(ISBLANK(C406),"",IFERROR(IF(fnStepCostHourly=0,fnStepNotAvail,IF(ISBLANK(D406),"",fnStepCostHourly*$D406*VLOOKUP(BasisYear,ChemPPI[],14,FALSE)/VLOOKUP(2017,ChemPPI[],14,FALSE))),""))</f>
        <v>N/A at large scale</v>
      </c>
      <c r="F406" s="328" t="str">
        <f t="shared" si="22"/>
        <v>N/A at large scale</v>
      </c>
      <c r="G406" s="327" t="str">
        <f t="shared" si="23"/>
        <v>N/A at large scale</v>
      </c>
      <c r="H406" s="245"/>
      <c r="I406" s="244" t="str">
        <f>IFERROR(VLOOKUP($C406,Steps[],5,FALSE),"")</f>
        <v>Substitute with belt or rotary vacuum at M/L scale</v>
      </c>
      <c r="J406" s="248"/>
    </row>
    <row r="407" spans="2:10" ht="15.95" hidden="1" customHeight="1" outlineLevel="1">
      <c r="B407" s="16"/>
      <c r="C407" s="69" t="s">
        <v>925</v>
      </c>
      <c r="D407" s="243">
        <v>2</v>
      </c>
      <c r="E407" s="328">
        <f>IF(ISBLANK(C407),"",IFERROR(IF(fnStepCostHourly=0,fnStepNotAvail,IF(ISBLANK(D407),"",fnStepCostHourly*$D407*VLOOKUP(BasisYear,ChemPPI[],14,FALSE)/VLOOKUP(2017,ChemPPI[],14,FALSE))),""))</f>
        <v>1154.6456125604157</v>
      </c>
      <c r="F407" s="328">
        <f t="shared" si="22"/>
        <v>46185.824502416624</v>
      </c>
      <c r="G407" s="327">
        <f t="shared" si="23"/>
        <v>0.5091115675338258</v>
      </c>
      <c r="H407" s="245"/>
      <c r="I407" s="244" t="str">
        <f>IFERROR(VLOOKUP($C407,Steps[],5,FALSE),"")</f>
        <v>-</v>
      </c>
      <c r="J407" s="248"/>
    </row>
    <row r="408" spans="2:10" ht="15.95" hidden="1" customHeight="1" outlineLevel="1">
      <c r="B408" s="16"/>
      <c r="C408" s="335" t="s">
        <v>919</v>
      </c>
      <c r="D408" s="336">
        <f>2*IF($D$6&lt;5,0,IF($D$6&lt;70,1,1))</f>
        <v>2</v>
      </c>
      <c r="E408" s="328">
        <f>IF(ISBLANK(C408),"",IFERROR(IF(fnStepCostHourly=0,fnStepNotAvail,IF(ISBLANK(D408),"",fnStepCostHourly*$D408*VLOOKUP(BasisYear,ChemPPI[],14,FALSE)/VLOOKUP(2017,ChemPPI[],14,FALSE))),""))</f>
        <v>577.32280628020783</v>
      </c>
      <c r="F408" s="328">
        <f t="shared" si="22"/>
        <v>23092.912251208312</v>
      </c>
      <c r="G408" s="327">
        <f t="shared" si="23"/>
        <v>0.2545557837669129</v>
      </c>
      <c r="H408" s="245"/>
      <c r="I408" s="244" t="str">
        <f>IFERROR(VLOOKUP($C408,Steps[],5,FALSE),"")</f>
        <v>Substitute with plate and frame at small scale</v>
      </c>
      <c r="J408" s="248"/>
    </row>
    <row r="409" spans="2:10" ht="15.95" hidden="1" customHeight="1" outlineLevel="1">
      <c r="B409" s="16"/>
      <c r="C409" s="335" t="s">
        <v>921</v>
      </c>
      <c r="D409" s="336">
        <f>2*IF($D$6&lt;5,1,IF($D$6&lt;70,0,0))</f>
        <v>0</v>
      </c>
      <c r="E409" s="328" t="str">
        <f>IF(ISBLANK(C409),"",IFERROR(IF(fnStepCostHourly=0,fnStepNotAvail,IF(ISBLANK(D409),"",fnStepCostHourly*$D409*VLOOKUP(BasisYear,ChemPPI[],14,FALSE)/VLOOKUP(2017,ChemPPI[],14,FALSE))),""))</f>
        <v>N/A at large scale</v>
      </c>
      <c r="F409" s="328" t="str">
        <f t="shared" si="22"/>
        <v>N/A at large scale</v>
      </c>
      <c r="G409" s="327" t="str">
        <f t="shared" si="23"/>
        <v>N/A at large scale</v>
      </c>
      <c r="H409" s="245"/>
      <c r="I409" s="244" t="str">
        <f>IFERROR(VLOOKUP($C409,Steps[],5,FALSE),"")</f>
        <v>Substitute with belt or rotary vacuum at M/L scale</v>
      </c>
      <c r="J409" s="248"/>
    </row>
    <row r="410" spans="2:10" ht="15.95" hidden="1" customHeight="1" outlineLevel="1">
      <c r="B410" s="16"/>
      <c r="C410" s="69" t="s">
        <v>1065</v>
      </c>
      <c r="D410" s="243">
        <v>2</v>
      </c>
      <c r="E410" s="328">
        <f>IF(ISBLANK(C410),"",IFERROR(IF(fnStepCostHourly=0,fnStepNotAvail,IF(ISBLANK(D410),"",fnStepCostHourly*$D410*VLOOKUP(BasisYear,ChemPPI[],14,FALSE)/VLOOKUP(2017,ChemPPI[],14,FALSE))),""))</f>
        <v>577.32280628020783</v>
      </c>
      <c r="F410" s="328">
        <f t="shared" si="22"/>
        <v>23092.912251208312</v>
      </c>
      <c r="G410" s="327">
        <f t="shared" si="23"/>
        <v>0.2545557837669129</v>
      </c>
      <c r="H410" s="245"/>
      <c r="I410" s="244" t="str">
        <f>IFERROR(VLOOKUP($C410,Steps[],5,FALSE),"")</f>
        <v>For higher temp use kiln</v>
      </c>
      <c r="J410" s="248"/>
    </row>
    <row r="411" spans="2:10" ht="15.95" hidden="1" customHeight="1" outlineLevel="1">
      <c r="B411" s="16"/>
      <c r="C411" s="335" t="s">
        <v>938</v>
      </c>
      <c r="D411" s="336">
        <f>1*IF($D$6&lt;5,0,IF($D$6&lt;70,1,1))</f>
        <v>1</v>
      </c>
      <c r="E411" s="328">
        <f>IF(ISBLANK(C411),"",IFERROR(IF(fnStepCostHourly=0,fnStepNotAvail,IF(ISBLANK(D411),"",fnStepCostHourly*$D411*VLOOKUP(BasisYear,ChemPPI[],14,FALSE)/VLOOKUP(2017,ChemPPI[],14,FALSE))),""))</f>
        <v>312.71652006844596</v>
      </c>
      <c r="F411" s="328">
        <f t="shared" si="22"/>
        <v>12508.660802737839</v>
      </c>
      <c r="G411" s="327">
        <f t="shared" si="23"/>
        <v>0.13788438287374452</v>
      </c>
      <c r="H411" s="245"/>
      <c r="I411" s="244" t="str">
        <f>IFERROR(VLOOKUP($C411,Steps[],5,FALSE),"")</f>
        <v>A.k.a. calciner. Sub with batch kiln at small scale</v>
      </c>
      <c r="J411" s="248"/>
    </row>
    <row r="412" spans="2:10" ht="15.95" hidden="1" customHeight="1" outlineLevel="1">
      <c r="B412" s="16"/>
      <c r="C412" s="335" t="s">
        <v>940</v>
      </c>
      <c r="D412" s="336">
        <f>1*IF($D$6&lt;5,1,IF($D$6&lt;70,0,0))</f>
        <v>0</v>
      </c>
      <c r="E412" s="328" t="str">
        <f>IF(ISBLANK(C412),"",IFERROR(IF(fnStepCostHourly=0,fnStepNotAvail,IF(ISBLANK(D412),"",fnStepCostHourly*$D412*VLOOKUP(BasisYear,ChemPPI[],14,FALSE)/VLOOKUP(2017,ChemPPI[],14,FALSE))),""))</f>
        <v>N/A at large scale</v>
      </c>
      <c r="F412" s="328" t="str">
        <f t="shared" si="22"/>
        <v>N/A at large scale</v>
      </c>
      <c r="G412" s="327" t="str">
        <f t="shared" si="23"/>
        <v>N/A at large scale</v>
      </c>
      <c r="H412" s="245"/>
      <c r="I412" s="244" t="str">
        <f>IFERROR(VLOOKUP($C412,Steps[],5,FALSE),"")</f>
        <v>A.k.a. calciner. Sub with continuous kiln at M/L scale</v>
      </c>
      <c r="J412" s="248"/>
    </row>
    <row r="413" spans="2:10" ht="15.95" hidden="1" customHeight="1" outlineLevel="1">
      <c r="B413" s="16"/>
      <c r="C413" s="69" t="s">
        <v>931</v>
      </c>
      <c r="D413" s="243">
        <v>1</v>
      </c>
      <c r="E413" s="328">
        <f>IF(ISBLANK(C413),"",IFERROR(IF(fnStepCostHourly=0,fnStepNotAvail,IF(ISBLANK(D413),"",fnStepCostHourly*$D413*VLOOKUP(BasisYear,ChemPPI[],14,FALSE)/VLOOKUP(2017,ChemPPI[],14,FALSE))),""))</f>
        <v>192.44093542673596</v>
      </c>
      <c r="F413" s="328">
        <f t="shared" si="22"/>
        <v>7697.637417069438</v>
      </c>
      <c r="G413" s="327">
        <f t="shared" si="23"/>
        <v>8.485192792230431E-2</v>
      </c>
      <c r="H413" s="245"/>
      <c r="I413" s="244" t="str">
        <f>IFERROR(VLOOKUP($C413,Steps[],5,FALSE),"")</f>
        <v>-</v>
      </c>
      <c r="J413" s="248"/>
    </row>
    <row r="414" spans="2:10" ht="15.95" hidden="1" customHeight="1" outlineLevel="1">
      <c r="B414" s="16"/>
      <c r="C414" s="69" t="s">
        <v>922</v>
      </c>
      <c r="D414" s="243">
        <v>1</v>
      </c>
      <c r="E414" s="328">
        <f>IF(ISBLANK(C414),"",IFERROR(IF(fnStepCostHourly=0,fnStepNotAvail,IF(ISBLANK(D414),"",fnStepCostHourly*$D414*VLOOKUP(BasisYear,ChemPPI[],14,FALSE)/VLOOKUP(2017,ChemPPI[],14,FALSE))),""))</f>
        <v>192.44093542673596</v>
      </c>
      <c r="F414" s="328">
        <f t="shared" si="22"/>
        <v>7697.637417069438</v>
      </c>
      <c r="G414" s="327">
        <f t="shared" si="23"/>
        <v>8.485192792230431E-2</v>
      </c>
      <c r="H414" s="245"/>
      <c r="I414" s="244" t="str">
        <f>IFERROR(VLOOKUP($C414,Steps[],5,FALSE),"")</f>
        <v>-</v>
      </c>
      <c r="J414" s="248"/>
    </row>
    <row r="415" spans="2:10" ht="15.95" hidden="1" customHeight="1" outlineLevel="1">
      <c r="B415" s="16"/>
      <c r="C415" s="69"/>
      <c r="D415" s="243"/>
      <c r="E415" s="328" t="str">
        <f>IF(ISBLANK(C415),"",IFERROR(IF(fnStepCostHourly=0,fnStepNotAvail,IF(ISBLANK(D415),"",fnStepCostHourly*$D415*VLOOKUP(BasisYear,ChemPPI[],14,FALSE)/VLOOKUP(2017,ChemPPI[],14,FALSE))),""))</f>
        <v/>
      </c>
      <c r="F415" s="328" t="str">
        <f t="shared" si="22"/>
        <v/>
      </c>
      <c r="G415" s="327" t="str">
        <f t="shared" si="23"/>
        <v/>
      </c>
      <c r="H415" s="245"/>
      <c r="I415" s="244" t="str">
        <f>IFERROR(VLOOKUP($C415,Steps[],5,FALSE),"")</f>
        <v/>
      </c>
      <c r="J415" s="248"/>
    </row>
    <row r="416" spans="2:10" ht="15.95" hidden="1" customHeight="1" outlineLevel="1">
      <c r="B416" s="16"/>
      <c r="C416" s="69"/>
      <c r="D416" s="243"/>
      <c r="E416" s="328" t="str">
        <f>IF(ISBLANK(C416),"",IFERROR(IF(fnStepCostHourly=0,fnStepNotAvail,IF(ISBLANK(D416),"",fnStepCostHourly*$D416*VLOOKUP(BasisYear,ChemPPI[],14,FALSE)/VLOOKUP(2017,ChemPPI[],14,FALSE))),""))</f>
        <v/>
      </c>
      <c r="F416" s="328" t="str">
        <f t="shared" si="22"/>
        <v/>
      </c>
      <c r="G416" s="327" t="str">
        <f t="shared" si="23"/>
        <v/>
      </c>
      <c r="H416" s="245"/>
      <c r="I416" s="244" t="str">
        <f>IFERROR(VLOOKUP($C416,Steps[],5,FALSE),"")</f>
        <v/>
      </c>
      <c r="J416" s="248"/>
    </row>
    <row r="417" spans="1:10" ht="15.95" hidden="1" customHeight="1" outlineLevel="1">
      <c r="B417" s="16"/>
      <c r="C417" s="69"/>
      <c r="D417" s="243"/>
      <c r="E417" s="328" t="str">
        <f>IF(ISBLANK(C417),"",IFERROR(IF(fnStepCostHourly=0,fnStepNotAvail,IF(ISBLANK(D417),"",fnStepCostHourly*$D417*VLOOKUP(BasisYear,ChemPPI[],14,FALSE)/VLOOKUP(2017,ChemPPI[],14,FALSE))),""))</f>
        <v/>
      </c>
      <c r="F417" s="328" t="str">
        <f t="shared" si="22"/>
        <v/>
      </c>
      <c r="G417" s="327" t="str">
        <f t="shared" si="23"/>
        <v/>
      </c>
      <c r="H417" s="245"/>
      <c r="I417" s="244" t="str">
        <f>IFERROR(VLOOKUP($C417,Steps[],5,FALSE),"")</f>
        <v/>
      </c>
      <c r="J417" s="248"/>
    </row>
    <row r="418" spans="1:10" ht="15.95" hidden="1" customHeight="1" outlineLevel="1">
      <c r="B418" s="16"/>
      <c r="C418" s="69"/>
      <c r="D418" s="243"/>
      <c r="E418" s="328" t="str">
        <f>IF(ISBLANK(C418),"",IFERROR(IF(fnStepCostHourly=0,fnStepNotAvail,IF(ISBLANK(D418),"",fnStepCostHourly*$D418*VLOOKUP(BasisYear,ChemPPI[],14,FALSE)/VLOOKUP(2017,ChemPPI[],14,FALSE))),""))</f>
        <v/>
      </c>
      <c r="F418" s="328" t="str">
        <f t="shared" si="22"/>
        <v/>
      </c>
      <c r="G418" s="327" t="str">
        <f t="shared" si="23"/>
        <v/>
      </c>
      <c r="H418" s="245"/>
      <c r="I418" s="244" t="str">
        <f>IFERROR(VLOOKUP($C418,Steps[],5,FALSE),"")</f>
        <v/>
      </c>
      <c r="J418" s="248"/>
    </row>
    <row r="419" spans="1:10" ht="15.95" hidden="1" customHeight="1" outlineLevel="1">
      <c r="B419" s="16"/>
      <c r="C419" s="69"/>
      <c r="D419" s="243"/>
      <c r="E419" s="328" t="str">
        <f>IF(ISBLANK(C419),"",IFERROR(IF(fnStepCostHourly=0,fnStepNotAvail,IF(ISBLANK(D419),"",fnStepCostHourly*$D419*VLOOKUP(BasisYear,ChemPPI[],14,FALSE)/VLOOKUP(2017,ChemPPI[],14,FALSE))),""))</f>
        <v/>
      </c>
      <c r="F419" s="328" t="str">
        <f t="shared" si="22"/>
        <v/>
      </c>
      <c r="G419" s="327" t="str">
        <f t="shared" si="23"/>
        <v/>
      </c>
      <c r="H419" s="245"/>
      <c r="I419" s="244" t="str">
        <f>IFERROR(VLOOKUP($C419,Steps[],5,FALSE),"")</f>
        <v/>
      </c>
      <c r="J419" s="248"/>
    </row>
    <row r="420" spans="1:10" ht="15.95" hidden="1" customHeight="1" outlineLevel="1">
      <c r="B420" s="16"/>
      <c r="C420" s="69"/>
      <c r="D420" s="243"/>
      <c r="E420" s="328" t="str">
        <f>IF(ISBLANK(C420),"",IFERROR(IF(fnStepCostHourly=0,fnStepNotAvail,IF(ISBLANK(D420),"",fnStepCostHourly*$D420*VLOOKUP(BasisYear,ChemPPI[],14,FALSE)/VLOOKUP(2017,ChemPPI[],14,FALSE))),""))</f>
        <v/>
      </c>
      <c r="F420" s="328" t="str">
        <f t="shared" si="22"/>
        <v/>
      </c>
      <c r="G420" s="327" t="str">
        <f t="shared" si="23"/>
        <v/>
      </c>
      <c r="H420" s="245"/>
      <c r="I420" s="244" t="str">
        <f>IFERROR(VLOOKUP($C420,Steps[],5,FALSE),"")</f>
        <v/>
      </c>
      <c r="J420" s="248"/>
    </row>
    <row r="421" spans="1:10" ht="15.95" hidden="1" customHeight="1" outlineLevel="1">
      <c r="B421" s="16"/>
      <c r="C421" s="69"/>
      <c r="D421" s="243"/>
      <c r="E421" s="328" t="str">
        <f>IF(ISBLANK(C421),"",IFERROR(IF(fnStepCostHourly=0,fnStepNotAvail,IF(ISBLANK(D421),"",fnStepCostHourly*$D421*VLOOKUP(BasisYear,ChemPPI[],14,FALSE)/VLOOKUP(2017,ChemPPI[],14,FALSE))),""))</f>
        <v/>
      </c>
      <c r="F421" s="328" t="str">
        <f t="shared" si="22"/>
        <v/>
      </c>
      <c r="G421" s="327" t="str">
        <f t="shared" si="23"/>
        <v/>
      </c>
      <c r="H421" s="245"/>
      <c r="I421" s="244" t="str">
        <f>IFERROR(VLOOKUP($C421,Steps[],5,FALSE),"")</f>
        <v/>
      </c>
      <c r="J421" s="248"/>
    </row>
    <row r="422" spans="1:10" ht="15.95" hidden="1" customHeight="1" outlineLevel="1">
      <c r="B422" s="16"/>
      <c r="C422" s="69"/>
      <c r="D422" s="243"/>
      <c r="E422" s="328" t="str">
        <f>IF(ISBLANK(C422),"",IFERROR(IF(fnStepCostHourly=0,fnStepNotAvail,IF(ISBLANK(D422),"",fnStepCostHourly*$D422*VLOOKUP(BasisYear,ChemPPI[],14,FALSE)/VLOOKUP(2017,ChemPPI[],14,FALSE))),""))</f>
        <v/>
      </c>
      <c r="F422" s="328" t="str">
        <f t="shared" si="22"/>
        <v/>
      </c>
      <c r="G422" s="327" t="str">
        <f t="shared" si="23"/>
        <v/>
      </c>
      <c r="H422" s="245"/>
      <c r="I422" s="244" t="str">
        <f>IFERROR(VLOOKUP($C422,Steps[],5,FALSE),"")</f>
        <v/>
      </c>
      <c r="J422" s="248"/>
    </row>
    <row r="423" spans="1:10" ht="16.5" hidden="1" outlineLevel="1" thickBot="1">
      <c r="B423" s="249"/>
      <c r="C423" s="250"/>
      <c r="D423" s="250"/>
      <c r="E423" s="250"/>
      <c r="F423" s="250"/>
      <c r="G423" s="250"/>
      <c r="H423" s="250"/>
      <c r="I423" s="250"/>
      <c r="J423" s="251"/>
    </row>
    <row r="424" spans="1:10" ht="16.5" collapsed="1" thickBot="1">
      <c r="A424" s="300" t="str">
        <f>"&lt;– show/hide "&amp;B392</f>
        <v>&lt;– show/hide Step Process Template: Zeolite ZSM-5 (Bulk)</v>
      </c>
    </row>
    <row r="425" spans="1:10" ht="21" thickBot="1">
      <c r="B425" s="341" t="str">
        <f>"Step Process Template: "&amp;C428</f>
        <v>Step Process Template: Zeolite ZSM-5 Diluted with Metal Oxide</v>
      </c>
      <c r="C425" s="342"/>
      <c r="D425" s="342"/>
      <c r="E425" s="342"/>
      <c r="F425" s="342"/>
      <c r="G425" s="342"/>
      <c r="H425" s="343"/>
    </row>
    <row r="426" spans="1:10" hidden="1" outlineLevel="1">
      <c r="B426" s="13"/>
      <c r="C426" s="14"/>
      <c r="D426" s="14"/>
      <c r="E426" s="14"/>
      <c r="F426" s="14"/>
      <c r="G426" s="14"/>
      <c r="H426" s="15"/>
      <c r="J426" s="198"/>
    </row>
    <row r="427" spans="1:10" hidden="1" outlineLevel="1">
      <c r="B427" s="16"/>
      <c r="C427" s="17" t="s">
        <v>1045</v>
      </c>
      <c r="D427" s="253" t="s">
        <v>953</v>
      </c>
      <c r="E427" s="64" t="s">
        <v>945</v>
      </c>
      <c r="F427" s="64" t="s">
        <v>946</v>
      </c>
      <c r="G427" s="64" t="str">
        <f>"Cost ($/"&amp;OutMassUnit&amp;" catalyst)"</f>
        <v>Cost ($/kg catalyst)</v>
      </c>
      <c r="H427" s="247"/>
      <c r="J427" s="198"/>
    </row>
    <row r="428" spans="1:10" ht="15.95" hidden="1" customHeight="1" outlineLevel="1">
      <c r="B428" s="16"/>
      <c r="C428" s="18" t="s">
        <v>1080</v>
      </c>
      <c r="D428" s="253"/>
      <c r="E428" s="330">
        <f>SUM(E436:E455)</f>
        <v>4738.858034883373</v>
      </c>
      <c r="F428" s="330">
        <f>SUM(F436:F455)</f>
        <v>189554.3213953349</v>
      </c>
      <c r="G428" s="329">
        <f>SUM(G436:G455)</f>
        <v>2.0894787250867437</v>
      </c>
      <c r="H428" s="322"/>
      <c r="J428" s="198"/>
    </row>
    <row r="429" spans="1:10" ht="15.95" hidden="1" customHeight="1" outlineLevel="1">
      <c r="B429" s="16"/>
      <c r="C429" s="339" t="str">
        <f>"Name: "&amp;C428</f>
        <v>Name: Zeolite ZSM-5 Diluted with Metal Oxide</v>
      </c>
      <c r="D429" s="253"/>
      <c r="E429" s="333"/>
      <c r="F429" s="333"/>
      <c r="G429" s="334"/>
      <c r="H429" s="322"/>
      <c r="J429" s="198"/>
    </row>
    <row r="430" spans="1:10" ht="15.95" hidden="1" customHeight="1" outlineLevel="1">
      <c r="B430" s="16"/>
      <c r="C430" s="17" t="s">
        <v>1060</v>
      </c>
      <c r="D430" s="253"/>
      <c r="E430" s="333"/>
      <c r="F430" s="333"/>
      <c r="G430" s="334"/>
      <c r="H430" s="322"/>
      <c r="J430" s="198"/>
    </row>
    <row r="431" spans="1:10" ht="15.95" hidden="1" customHeight="1" outlineLevel="1">
      <c r="B431" s="16"/>
      <c r="C431" s="18" t="s">
        <v>1076</v>
      </c>
      <c r="D431" s="253"/>
      <c r="E431" s="333"/>
      <c r="F431" s="333"/>
      <c r="G431" s="334"/>
      <c r="H431" s="322"/>
      <c r="J431" s="198"/>
    </row>
    <row r="432" spans="1:10" ht="15.95" hidden="1" customHeight="1" outlineLevel="1">
      <c r="B432" s="16"/>
      <c r="C432" s="18" t="s">
        <v>1063</v>
      </c>
      <c r="D432" s="253"/>
      <c r="E432" s="333"/>
      <c r="F432" s="333"/>
      <c r="G432" s="334"/>
      <c r="H432" s="322"/>
      <c r="J432" s="198"/>
    </row>
    <row r="433" spans="2:10" ht="16.5" hidden="1" outlineLevel="1" thickBot="1">
      <c r="B433" s="21"/>
      <c r="C433" s="22"/>
      <c r="D433" s="22"/>
      <c r="E433" s="22"/>
      <c r="F433" s="22"/>
      <c r="G433" s="22"/>
      <c r="H433" s="23"/>
      <c r="J433" s="198"/>
    </row>
    <row r="434" spans="2:10" ht="15.95" hidden="1" customHeight="1" outlineLevel="1">
      <c r="B434" s="16"/>
      <c r="C434" s="18"/>
      <c r="D434" s="18"/>
      <c r="E434" s="18"/>
      <c r="F434" s="18"/>
      <c r="G434" s="18"/>
      <c r="H434" s="18"/>
      <c r="I434" s="14"/>
      <c r="J434" s="15"/>
    </row>
    <row r="435" spans="2:10" ht="17.100000000000001" hidden="1" customHeight="1" outlineLevel="1">
      <c r="B435" s="16"/>
      <c r="C435" s="325" t="s">
        <v>930</v>
      </c>
      <c r="D435" s="325" t="s">
        <v>307</v>
      </c>
      <c r="E435" s="325" t="s">
        <v>945</v>
      </c>
      <c r="F435" s="325" t="s">
        <v>946</v>
      </c>
      <c r="G435" s="325" t="str">
        <f>"Cost ($/"&amp;OutMassUnit&amp;" catalyst)"</f>
        <v>Cost ($/kg catalyst)</v>
      </c>
      <c r="H435" s="325"/>
      <c r="I435" s="325" t="s">
        <v>205</v>
      </c>
      <c r="J435" s="247"/>
    </row>
    <row r="436" spans="2:10" ht="15.95" hidden="1" customHeight="1" outlineLevel="1">
      <c r="B436" s="16"/>
      <c r="C436" s="69" t="s">
        <v>924</v>
      </c>
      <c r="D436" s="243">
        <v>1</v>
      </c>
      <c r="E436" s="328">
        <f>IF(ISBLANK(C436),"",IFERROR(IF(fnStepCostHourly=0,fnStepNotAvail,IF(ISBLANK(D436),"",fnStepCostHourly*$D436*VLOOKUP(BasisYear,ChemPPI[],14,FALSE)/VLOOKUP(2017,ChemPPI[],14,FALSE))),""))</f>
        <v>192.44093542673596</v>
      </c>
      <c r="F436" s="328">
        <f t="shared" ref="F436:F455" si="24">IFERROR($E436*$D$9*24,$E436)</f>
        <v>7697.637417069438</v>
      </c>
      <c r="G436" s="327">
        <f t="shared" ref="G436:G455" si="25">IFERROR($F436/$D$7,$F436)</f>
        <v>8.485192792230431E-2</v>
      </c>
      <c r="H436" s="245"/>
      <c r="I436" s="244" t="str">
        <f>IFERROR(VLOOKUP($C436,Steps[],5,FALSE),"")</f>
        <v>-</v>
      </c>
      <c r="J436" s="248"/>
    </row>
    <row r="437" spans="2:10" ht="15.95" hidden="1" customHeight="1" outlineLevel="1">
      <c r="B437" s="16"/>
      <c r="C437" s="69" t="s">
        <v>917</v>
      </c>
      <c r="D437" s="243">
        <v>1</v>
      </c>
      <c r="E437" s="328">
        <f>IF(ISBLANK(C437),"",IFERROR(IF(fnStepCostHourly=0,fnStepNotAvail,IF(ISBLANK(D437),"",fnStepCostHourly*$D437*VLOOKUP(BasisYear,ChemPPI[],14,FALSE)/VLOOKUP(2017,ChemPPI[],14,FALSE))),""))</f>
        <v>288.66140314010391</v>
      </c>
      <c r="F437" s="328">
        <f t="shared" si="24"/>
        <v>11546.456125604156</v>
      </c>
      <c r="G437" s="327">
        <f t="shared" si="25"/>
        <v>0.12727789188345645</v>
      </c>
      <c r="H437" s="245"/>
      <c r="I437" s="244" t="str">
        <f>IFERROR(VLOOKUP($C437,Steps[],5,FALSE),"")</f>
        <v>-</v>
      </c>
      <c r="J437" s="248"/>
    </row>
    <row r="438" spans="2:10" ht="15.95" hidden="1" customHeight="1" outlineLevel="1">
      <c r="B438" s="16"/>
      <c r="C438" s="335" t="s">
        <v>919</v>
      </c>
      <c r="D438" s="336">
        <f>1*IF($D$6&lt;5,0,IF($D$6&lt;70,1,1))</f>
        <v>1</v>
      </c>
      <c r="E438" s="328">
        <f>IF(ISBLANK(C438),"",IFERROR(IF(fnStepCostHourly=0,fnStepNotAvail,IF(ISBLANK(D438),"",fnStepCostHourly*$D438*VLOOKUP(BasisYear,ChemPPI[],14,FALSE)/VLOOKUP(2017,ChemPPI[],14,FALSE))),""))</f>
        <v>288.66140314010391</v>
      </c>
      <c r="F438" s="328">
        <f t="shared" si="24"/>
        <v>11546.456125604156</v>
      </c>
      <c r="G438" s="327">
        <f t="shared" si="25"/>
        <v>0.12727789188345645</v>
      </c>
      <c r="H438" s="245"/>
      <c r="I438" s="244" t="str">
        <f>IFERROR(VLOOKUP($C438,Steps[],5,FALSE),"")</f>
        <v>Substitute with plate and frame at small scale</v>
      </c>
      <c r="J438" s="248"/>
    </row>
    <row r="439" spans="2:10" ht="15.95" hidden="1" customHeight="1" outlineLevel="1">
      <c r="B439" s="16"/>
      <c r="C439" s="335" t="s">
        <v>921</v>
      </c>
      <c r="D439" s="336">
        <f>1*IF($D$6&lt;5,1,IF($D$6&lt;70,0,0))</f>
        <v>0</v>
      </c>
      <c r="E439" s="328" t="str">
        <f>IF(ISBLANK(C439),"",IFERROR(IF(fnStepCostHourly=0,fnStepNotAvail,IF(ISBLANK(D439),"",fnStepCostHourly*$D439*VLOOKUP(BasisYear,ChemPPI[],14,FALSE)/VLOOKUP(2017,ChemPPI[],14,FALSE))),""))</f>
        <v>N/A at large scale</v>
      </c>
      <c r="F439" s="328" t="str">
        <f t="shared" si="24"/>
        <v>N/A at large scale</v>
      </c>
      <c r="G439" s="327" t="str">
        <f t="shared" si="25"/>
        <v>N/A at large scale</v>
      </c>
      <c r="H439" s="245"/>
      <c r="I439" s="244" t="str">
        <f>IFERROR(VLOOKUP($C439,Steps[],5,FALSE),"")</f>
        <v>Substitute with belt or rotary vacuum at M/L scale</v>
      </c>
      <c r="J439" s="248"/>
    </row>
    <row r="440" spans="2:10" ht="15.95" hidden="1" customHeight="1" outlineLevel="1">
      <c r="B440" s="16"/>
      <c r="C440" s="69" t="s">
        <v>925</v>
      </c>
      <c r="D440" s="243">
        <v>2</v>
      </c>
      <c r="E440" s="328">
        <f>IF(ISBLANK(C440),"",IFERROR(IF(fnStepCostHourly=0,fnStepNotAvail,IF(ISBLANK(D440),"",fnStepCostHourly*$D440*VLOOKUP(BasisYear,ChemPPI[],14,FALSE)/VLOOKUP(2017,ChemPPI[],14,FALSE))),""))</f>
        <v>1154.6456125604157</v>
      </c>
      <c r="F440" s="328">
        <f t="shared" si="24"/>
        <v>46185.824502416624</v>
      </c>
      <c r="G440" s="327">
        <f t="shared" si="25"/>
        <v>0.5091115675338258</v>
      </c>
      <c r="H440" s="245"/>
      <c r="I440" s="244" t="str">
        <f>IFERROR(VLOOKUP($C440,Steps[],5,FALSE),"")</f>
        <v>-</v>
      </c>
      <c r="J440" s="248"/>
    </row>
    <row r="441" spans="2:10" ht="15.95" hidden="1" customHeight="1" outlineLevel="1">
      <c r="B441" s="16"/>
      <c r="C441" s="335" t="s">
        <v>919</v>
      </c>
      <c r="D441" s="336">
        <f>2*IF($D$6&lt;5,0,IF($D$6&lt;70,1,1))</f>
        <v>2</v>
      </c>
      <c r="E441" s="328">
        <f>IF(ISBLANK(C441),"",IFERROR(IF(fnStepCostHourly=0,fnStepNotAvail,IF(ISBLANK(D441),"",fnStepCostHourly*$D441*VLOOKUP(BasisYear,ChemPPI[],14,FALSE)/VLOOKUP(2017,ChemPPI[],14,FALSE))),""))</f>
        <v>577.32280628020783</v>
      </c>
      <c r="F441" s="328">
        <f t="shared" si="24"/>
        <v>23092.912251208312</v>
      </c>
      <c r="G441" s="327">
        <f t="shared" si="25"/>
        <v>0.2545557837669129</v>
      </c>
      <c r="H441" s="245"/>
      <c r="I441" s="244" t="str">
        <f>IFERROR(VLOOKUP($C441,Steps[],5,FALSE),"")</f>
        <v>Substitute with plate and frame at small scale</v>
      </c>
      <c r="J441" s="248"/>
    </row>
    <row r="442" spans="2:10" ht="15.95" hidden="1" customHeight="1" outlineLevel="1">
      <c r="B442" s="16"/>
      <c r="C442" s="335" t="s">
        <v>921</v>
      </c>
      <c r="D442" s="336">
        <f>2*IF($D$6&lt;5,1,IF($D$6&lt;70,0,0))</f>
        <v>0</v>
      </c>
      <c r="E442" s="328" t="str">
        <f>IF(ISBLANK(C442),"",IFERROR(IF(fnStepCostHourly=0,fnStepNotAvail,IF(ISBLANK(D442),"",fnStepCostHourly*$D442*VLOOKUP(BasisYear,ChemPPI[],14,FALSE)/VLOOKUP(2017,ChemPPI[],14,FALSE))),""))</f>
        <v>N/A at large scale</v>
      </c>
      <c r="F442" s="328" t="str">
        <f t="shared" si="24"/>
        <v>N/A at large scale</v>
      </c>
      <c r="G442" s="327" t="str">
        <f t="shared" si="25"/>
        <v>N/A at large scale</v>
      </c>
      <c r="H442" s="245"/>
      <c r="I442" s="244" t="str">
        <f>IFERROR(VLOOKUP($C442,Steps[],5,FALSE),"")</f>
        <v>Substitute with belt or rotary vacuum at M/L scale</v>
      </c>
      <c r="J442" s="248"/>
    </row>
    <row r="443" spans="2:10" ht="15.95" hidden="1" customHeight="1" outlineLevel="1">
      <c r="B443" s="16"/>
      <c r="C443" s="69" t="s">
        <v>1065</v>
      </c>
      <c r="D443" s="243">
        <v>2</v>
      </c>
      <c r="E443" s="328">
        <f>IF(ISBLANK(C443),"",IFERROR(IF(fnStepCostHourly=0,fnStepNotAvail,IF(ISBLANK(D443),"",fnStepCostHourly*$D443*VLOOKUP(BasisYear,ChemPPI[],14,FALSE)/VLOOKUP(2017,ChemPPI[],14,FALSE))),""))</f>
        <v>577.32280628020783</v>
      </c>
      <c r="F443" s="328">
        <f t="shared" si="24"/>
        <v>23092.912251208312</v>
      </c>
      <c r="G443" s="327">
        <f t="shared" si="25"/>
        <v>0.2545557837669129</v>
      </c>
      <c r="H443" s="245"/>
      <c r="I443" s="244" t="str">
        <f>IFERROR(VLOOKUP($C443,Steps[],5,FALSE),"")</f>
        <v>For higher temp use kiln</v>
      </c>
      <c r="J443" s="248"/>
    </row>
    <row r="444" spans="2:10" ht="15.95" hidden="1" customHeight="1" outlineLevel="1">
      <c r="B444" s="16"/>
      <c r="C444" s="335" t="s">
        <v>938</v>
      </c>
      <c r="D444" s="336">
        <f>1*IF($D$6&lt;5,0,IF($D$6&lt;70,1,1))</f>
        <v>1</v>
      </c>
      <c r="E444" s="328">
        <f>IF(ISBLANK(C444),"",IFERROR(IF(fnStepCostHourly=0,fnStepNotAvail,IF(ISBLANK(D444),"",fnStepCostHourly*$D444*VLOOKUP(BasisYear,ChemPPI[],14,FALSE)/VLOOKUP(2017,ChemPPI[],14,FALSE))),""))</f>
        <v>312.71652006844596</v>
      </c>
      <c r="F444" s="328">
        <f t="shared" si="24"/>
        <v>12508.660802737839</v>
      </c>
      <c r="G444" s="327">
        <f t="shared" si="25"/>
        <v>0.13788438287374452</v>
      </c>
      <c r="H444" s="245"/>
      <c r="I444" s="244" t="str">
        <f>IFERROR(VLOOKUP($C444,Steps[],5,FALSE),"")</f>
        <v>A.k.a. calciner. Sub with batch kiln at small scale</v>
      </c>
      <c r="J444" s="248"/>
    </row>
    <row r="445" spans="2:10" ht="15.95" hidden="1" customHeight="1" outlineLevel="1">
      <c r="B445" s="16"/>
      <c r="C445" s="335" t="s">
        <v>940</v>
      </c>
      <c r="D445" s="336">
        <f>1*IF($D$6&lt;5,1,IF($D$6&lt;70,0,0))</f>
        <v>0</v>
      </c>
      <c r="E445" s="328" t="str">
        <f>IF(ISBLANK(C445),"",IFERROR(IF(fnStepCostHourly=0,fnStepNotAvail,IF(ISBLANK(D445),"",fnStepCostHourly*$D445*VLOOKUP(BasisYear,ChemPPI[],14,FALSE)/VLOOKUP(2017,ChemPPI[],14,FALSE))),""))</f>
        <v>N/A at large scale</v>
      </c>
      <c r="F445" s="328" t="str">
        <f t="shared" si="24"/>
        <v>N/A at large scale</v>
      </c>
      <c r="G445" s="327" t="str">
        <f t="shared" si="25"/>
        <v>N/A at large scale</v>
      </c>
      <c r="H445" s="245"/>
      <c r="I445" s="244" t="str">
        <f>IFERROR(VLOOKUP($C445,Steps[],5,FALSE),"")</f>
        <v>A.k.a. calciner. Sub with continuous kiln at M/L scale</v>
      </c>
      <c r="J445" s="248"/>
    </row>
    <row r="446" spans="2:10" ht="15.95" hidden="1" customHeight="1" outlineLevel="1">
      <c r="B446" s="16"/>
      <c r="C446" s="69" t="s">
        <v>931</v>
      </c>
      <c r="D446" s="243">
        <v>1</v>
      </c>
      <c r="E446" s="328">
        <f>IF(ISBLANK(C446),"",IFERROR(IF(fnStepCostHourly=0,fnStepNotAvail,IF(ISBLANK(D446),"",fnStepCostHourly*$D446*VLOOKUP(BasisYear,ChemPPI[],14,FALSE)/VLOOKUP(2017,ChemPPI[],14,FALSE))),""))</f>
        <v>192.44093542673596</v>
      </c>
      <c r="F446" s="328">
        <f t="shared" si="24"/>
        <v>7697.637417069438</v>
      </c>
      <c r="G446" s="327">
        <f t="shared" si="25"/>
        <v>8.485192792230431E-2</v>
      </c>
      <c r="H446" s="245"/>
      <c r="I446" s="244" t="str">
        <f>IFERROR(VLOOKUP($C446,Steps[],5,FALSE),"")</f>
        <v>-</v>
      </c>
      <c r="J446" s="248"/>
    </row>
    <row r="447" spans="2:10" ht="15.95" hidden="1" customHeight="1" outlineLevel="1">
      <c r="B447" s="16"/>
      <c r="C447" s="69" t="s">
        <v>922</v>
      </c>
      <c r="D447" s="243">
        <v>1</v>
      </c>
      <c r="E447" s="328">
        <f>IF(ISBLANK(C447),"",IFERROR(IF(fnStepCostHourly=0,fnStepNotAvail,IF(ISBLANK(D447),"",fnStepCostHourly*$D447*VLOOKUP(BasisYear,ChemPPI[],14,FALSE)/VLOOKUP(2017,ChemPPI[],14,FALSE))),""))</f>
        <v>192.44093542673596</v>
      </c>
      <c r="F447" s="328">
        <f t="shared" si="24"/>
        <v>7697.637417069438</v>
      </c>
      <c r="G447" s="327">
        <f t="shared" si="25"/>
        <v>8.485192792230431E-2</v>
      </c>
      <c r="H447" s="245"/>
      <c r="I447" s="244" t="str">
        <f>IFERROR(VLOOKUP($C447,Steps[],5,FALSE),"")</f>
        <v>-</v>
      </c>
      <c r="J447" s="248"/>
    </row>
    <row r="448" spans="2:10" ht="15.95" hidden="1" customHeight="1" outlineLevel="1">
      <c r="B448" s="16"/>
      <c r="C448" s="69" t="s">
        <v>935</v>
      </c>
      <c r="D448" s="243">
        <v>2</v>
      </c>
      <c r="E448" s="328">
        <f>IF(ISBLANK(C448),"",IFERROR(IF(fnStepCostHourly=0,fnStepNotAvail,IF(ISBLANK(D448),"",fnStepCostHourly*$D448*VLOOKUP(BasisYear,ChemPPI[],14,FALSE)/VLOOKUP(2017,ChemPPI[],14,FALSE))),""))</f>
        <v>384.88187085347192</v>
      </c>
      <c r="F448" s="328">
        <f t="shared" si="24"/>
        <v>15395.274834138876</v>
      </c>
      <c r="G448" s="327">
        <f t="shared" si="25"/>
        <v>0.16970385584460862</v>
      </c>
      <c r="H448" s="245"/>
      <c r="I448" s="244" t="str">
        <f>IFERROR(VLOOKUP($C448,Steps[],5,FALSE),"")</f>
        <v>Muller</v>
      </c>
      <c r="J448" s="248"/>
    </row>
    <row r="449" spans="1:10" ht="15.95" hidden="1" customHeight="1" outlineLevel="1">
      <c r="B449" s="16"/>
      <c r="C449" s="69" t="s">
        <v>1065</v>
      </c>
      <c r="D449" s="243">
        <v>2</v>
      </c>
      <c r="E449" s="328">
        <f>IF(ISBLANK(C449),"",IFERROR(IF(fnStepCostHourly=0,fnStepNotAvail,IF(ISBLANK(D449),"",fnStepCostHourly*$D449*VLOOKUP(BasisYear,ChemPPI[],14,FALSE)/VLOOKUP(2017,ChemPPI[],14,FALSE))),""))</f>
        <v>577.32280628020783</v>
      </c>
      <c r="F449" s="328">
        <f t="shared" si="24"/>
        <v>23092.912251208312</v>
      </c>
      <c r="G449" s="327">
        <f t="shared" si="25"/>
        <v>0.2545557837669129</v>
      </c>
      <c r="H449" s="245"/>
      <c r="I449" s="244" t="str">
        <f>IFERROR(VLOOKUP($C449,Steps[],5,FALSE),"")</f>
        <v>For higher temp use kiln</v>
      </c>
      <c r="J449" s="248"/>
    </row>
    <row r="450" spans="1:10" ht="15.95" hidden="1" customHeight="1" outlineLevel="1">
      <c r="B450" s="16"/>
      <c r="C450" s="69"/>
      <c r="D450" s="243"/>
      <c r="E450" s="328" t="str">
        <f>IF(ISBLANK(C450),"",IFERROR(IF(fnStepCostHourly=0,fnStepNotAvail,IF(ISBLANK(D450),"",fnStepCostHourly*$D450*VLOOKUP(BasisYear,ChemPPI[],14,FALSE)/VLOOKUP(2017,ChemPPI[],14,FALSE))),""))</f>
        <v/>
      </c>
      <c r="F450" s="328" t="str">
        <f t="shared" si="24"/>
        <v/>
      </c>
      <c r="G450" s="327" t="str">
        <f t="shared" si="25"/>
        <v/>
      </c>
      <c r="H450" s="245"/>
      <c r="I450" s="244" t="str">
        <f>IFERROR(VLOOKUP($C450,Steps[],5,FALSE),"")</f>
        <v/>
      </c>
      <c r="J450" s="248"/>
    </row>
    <row r="451" spans="1:10" ht="15.95" hidden="1" customHeight="1" outlineLevel="1">
      <c r="B451" s="16"/>
      <c r="C451" s="69"/>
      <c r="D451" s="243"/>
      <c r="E451" s="328" t="str">
        <f>IF(ISBLANK(C451),"",IFERROR(IF(fnStepCostHourly=0,fnStepNotAvail,IF(ISBLANK(D451),"",fnStepCostHourly*$D451*VLOOKUP(BasisYear,ChemPPI[],14,FALSE)/VLOOKUP(2017,ChemPPI[],14,FALSE))),""))</f>
        <v/>
      </c>
      <c r="F451" s="328" t="str">
        <f t="shared" si="24"/>
        <v/>
      </c>
      <c r="G451" s="327" t="str">
        <f t="shared" si="25"/>
        <v/>
      </c>
      <c r="H451" s="245"/>
      <c r="I451" s="244" t="str">
        <f>IFERROR(VLOOKUP($C451,Steps[],5,FALSE),"")</f>
        <v/>
      </c>
      <c r="J451" s="248"/>
    </row>
    <row r="452" spans="1:10" ht="15.95" hidden="1" customHeight="1" outlineLevel="1">
      <c r="B452" s="16"/>
      <c r="C452" s="69"/>
      <c r="D452" s="243"/>
      <c r="E452" s="328" t="str">
        <f>IF(ISBLANK(C452),"",IFERROR(IF(fnStepCostHourly=0,fnStepNotAvail,IF(ISBLANK(D452),"",fnStepCostHourly*$D452*VLOOKUP(BasisYear,ChemPPI[],14,FALSE)/VLOOKUP(2017,ChemPPI[],14,FALSE))),""))</f>
        <v/>
      </c>
      <c r="F452" s="328" t="str">
        <f t="shared" si="24"/>
        <v/>
      </c>
      <c r="G452" s="327" t="str">
        <f t="shared" si="25"/>
        <v/>
      </c>
      <c r="H452" s="245"/>
      <c r="I452" s="244" t="str">
        <f>IFERROR(VLOOKUP($C452,Steps[],5,FALSE),"")</f>
        <v/>
      </c>
      <c r="J452" s="248"/>
    </row>
    <row r="453" spans="1:10" ht="15.95" hidden="1" customHeight="1" outlineLevel="1">
      <c r="B453" s="16"/>
      <c r="C453" s="69"/>
      <c r="D453" s="243"/>
      <c r="E453" s="328" t="str">
        <f>IF(ISBLANK(C453),"",IFERROR(IF(fnStepCostHourly=0,fnStepNotAvail,IF(ISBLANK(D453),"",fnStepCostHourly*$D453*VLOOKUP(BasisYear,ChemPPI[],14,FALSE)/VLOOKUP(2017,ChemPPI[],14,FALSE))),""))</f>
        <v/>
      </c>
      <c r="F453" s="328" t="str">
        <f t="shared" si="24"/>
        <v/>
      </c>
      <c r="G453" s="327" t="str">
        <f t="shared" si="25"/>
        <v/>
      </c>
      <c r="H453" s="245"/>
      <c r="I453" s="244" t="str">
        <f>IFERROR(VLOOKUP($C453,Steps[],5,FALSE),"")</f>
        <v/>
      </c>
      <c r="J453" s="248"/>
    </row>
    <row r="454" spans="1:10" ht="15.95" hidden="1" customHeight="1" outlineLevel="1">
      <c r="B454" s="16"/>
      <c r="C454" s="69"/>
      <c r="D454" s="243"/>
      <c r="E454" s="328" t="str">
        <f>IF(ISBLANK(C454),"",IFERROR(IF(fnStepCostHourly=0,fnStepNotAvail,IF(ISBLANK(D454),"",fnStepCostHourly*$D454*VLOOKUP(BasisYear,ChemPPI[],14,FALSE)/VLOOKUP(2017,ChemPPI[],14,FALSE))),""))</f>
        <v/>
      </c>
      <c r="F454" s="328" t="str">
        <f t="shared" si="24"/>
        <v/>
      </c>
      <c r="G454" s="327" t="str">
        <f t="shared" si="25"/>
        <v/>
      </c>
      <c r="H454" s="245"/>
      <c r="I454" s="244" t="str">
        <f>IFERROR(VLOOKUP($C454,Steps[],5,FALSE),"")</f>
        <v/>
      </c>
      <c r="J454" s="248"/>
    </row>
    <row r="455" spans="1:10" ht="15.95" hidden="1" customHeight="1" outlineLevel="1">
      <c r="B455" s="16"/>
      <c r="C455" s="69"/>
      <c r="D455" s="243"/>
      <c r="E455" s="328" t="str">
        <f>IF(ISBLANK(C455),"",IFERROR(IF(fnStepCostHourly=0,fnStepNotAvail,IF(ISBLANK(D455),"",fnStepCostHourly*$D455*VLOOKUP(BasisYear,ChemPPI[],14,FALSE)/VLOOKUP(2017,ChemPPI[],14,FALSE))),""))</f>
        <v/>
      </c>
      <c r="F455" s="328" t="str">
        <f t="shared" si="24"/>
        <v/>
      </c>
      <c r="G455" s="327" t="str">
        <f t="shared" si="25"/>
        <v/>
      </c>
      <c r="H455" s="245"/>
      <c r="I455" s="244" t="str">
        <f>IFERROR(VLOOKUP($C455,Steps[],5,FALSE),"")</f>
        <v/>
      </c>
      <c r="J455" s="248"/>
    </row>
    <row r="456" spans="1:10" ht="16.5" hidden="1" outlineLevel="1" thickBot="1">
      <c r="B456" s="249"/>
      <c r="C456" s="250"/>
      <c r="D456" s="250"/>
      <c r="E456" s="250"/>
      <c r="F456" s="250"/>
      <c r="G456" s="250"/>
      <c r="H456" s="250"/>
      <c r="I456" s="250"/>
      <c r="J456" s="251"/>
    </row>
    <row r="457" spans="1:10" collapsed="1">
      <c r="A457" s="300" t="str">
        <f>"&lt;– show/hide "&amp;B425</f>
        <v>&lt;– show/hide Step Process Template: Zeolite ZSM-5 Diluted with Metal Oxide</v>
      </c>
    </row>
  </sheetData>
  <mergeCells count="2">
    <mergeCell ref="C12:D12"/>
    <mergeCell ref="B3:E3"/>
  </mergeCells>
  <conditionalFormatting sqref="C30:D49">
    <cfRule type="containsBlanks" dxfId="211" priority="98">
      <formula>LEN(TRIM(C30))=0</formula>
    </cfRule>
  </conditionalFormatting>
  <conditionalFormatting sqref="C131:D150">
    <cfRule type="containsBlanks" dxfId="210" priority="94">
      <formula>LEN(TRIM(C131))=0</formula>
    </cfRule>
  </conditionalFormatting>
  <conditionalFormatting sqref="C12">
    <cfRule type="containsBlanks" dxfId="209" priority="93">
      <formula>LEN(TRIM(C12))=0</formula>
    </cfRule>
  </conditionalFormatting>
  <conditionalFormatting sqref="C164:D165 C168:D169 C172:D172 C175:D183">
    <cfRule type="containsBlanks" dxfId="208" priority="92">
      <formula>LEN(TRIM(C164))=0</formula>
    </cfRule>
  </conditionalFormatting>
  <conditionalFormatting sqref="C166:D167">
    <cfRule type="containsBlanks" dxfId="207" priority="91">
      <formula>LEN(TRIM(C166))=0</formula>
    </cfRule>
  </conditionalFormatting>
  <conditionalFormatting sqref="C170:D171">
    <cfRule type="containsBlanks" dxfId="206" priority="90">
      <formula>LEN(TRIM(C170))=0</formula>
    </cfRule>
  </conditionalFormatting>
  <conditionalFormatting sqref="C173:D174">
    <cfRule type="containsBlanks" dxfId="205" priority="89">
      <formula>LEN(TRIM(C173))=0</formula>
    </cfRule>
  </conditionalFormatting>
  <conditionalFormatting sqref="C263:D263 C266:D267 C270:D282">
    <cfRule type="containsBlanks" dxfId="204" priority="88">
      <formula>LEN(TRIM(C263))=0</formula>
    </cfRule>
  </conditionalFormatting>
  <conditionalFormatting sqref="C264:D265">
    <cfRule type="containsBlanks" dxfId="203" priority="84">
      <formula>LEN(TRIM(C264))=0</formula>
    </cfRule>
  </conditionalFormatting>
  <conditionalFormatting sqref="C268:D269">
    <cfRule type="containsBlanks" dxfId="202" priority="83">
      <formula>LEN(TRIM(C268))=0</formula>
    </cfRule>
  </conditionalFormatting>
  <conditionalFormatting sqref="C403:D405 C407:D408 C410:D411 C413:D422">
    <cfRule type="containsBlanks" dxfId="201" priority="82">
      <formula>LEN(TRIM(C403))=0</formula>
    </cfRule>
  </conditionalFormatting>
  <conditionalFormatting sqref="C405:D407">
    <cfRule type="containsBlanks" dxfId="200" priority="79">
      <formula>LEN(TRIM(C405))=0</formula>
    </cfRule>
  </conditionalFormatting>
  <conditionalFormatting sqref="C408:D410">
    <cfRule type="containsBlanks" dxfId="199" priority="78">
      <formula>LEN(TRIM(C408))=0</formula>
    </cfRule>
  </conditionalFormatting>
  <conditionalFormatting sqref="C411:D413">
    <cfRule type="containsBlanks" dxfId="198" priority="77">
      <formula>LEN(TRIM(C411))=0</formula>
    </cfRule>
  </conditionalFormatting>
  <conditionalFormatting sqref="C436:D438 C440:D441 C443:D444 C446:D455">
    <cfRule type="containsBlanks" dxfId="197" priority="76">
      <formula>LEN(TRIM(C436))=0</formula>
    </cfRule>
  </conditionalFormatting>
  <conditionalFormatting sqref="C438:D440">
    <cfRule type="containsBlanks" dxfId="196" priority="75">
      <formula>LEN(TRIM(C438))=0</formula>
    </cfRule>
  </conditionalFormatting>
  <conditionalFormatting sqref="C441:D443">
    <cfRule type="containsBlanks" dxfId="195" priority="74">
      <formula>LEN(TRIM(C441))=0</formula>
    </cfRule>
  </conditionalFormatting>
  <conditionalFormatting sqref="C444:D446">
    <cfRule type="containsBlanks" dxfId="194" priority="73">
      <formula>LEN(TRIM(C444))=0</formula>
    </cfRule>
  </conditionalFormatting>
  <conditionalFormatting sqref="C449:D449">
    <cfRule type="containsBlanks" dxfId="193" priority="72">
      <formula>LEN(TRIM(C449))=0</formula>
    </cfRule>
  </conditionalFormatting>
  <conditionalFormatting sqref="C63:D65 C67:D67 C70:D74 C77:D84">
    <cfRule type="containsBlanks" dxfId="192" priority="71">
      <formula>LEN(TRIM(C63))=0</formula>
    </cfRule>
  </conditionalFormatting>
  <conditionalFormatting sqref="C65:D67">
    <cfRule type="containsBlanks" dxfId="191" priority="70">
      <formula>LEN(TRIM(C65))=0</formula>
    </cfRule>
  </conditionalFormatting>
  <conditionalFormatting sqref="C68:D68">
    <cfRule type="containsBlanks" dxfId="190" priority="66">
      <formula>LEN(TRIM(C68))=0</formula>
    </cfRule>
  </conditionalFormatting>
  <conditionalFormatting sqref="C68:D69">
    <cfRule type="containsBlanks" dxfId="189" priority="65">
      <formula>LEN(TRIM(C68))=0</formula>
    </cfRule>
  </conditionalFormatting>
  <conditionalFormatting sqref="C74:D74">
    <cfRule type="containsBlanks" dxfId="188" priority="64">
      <formula>LEN(TRIM(C74))=0</formula>
    </cfRule>
  </conditionalFormatting>
  <conditionalFormatting sqref="C74:D74 C77:D80">
    <cfRule type="containsBlanks" dxfId="187" priority="63">
      <formula>LEN(TRIM(C74))=0</formula>
    </cfRule>
  </conditionalFormatting>
  <conditionalFormatting sqref="C71:D72">
    <cfRule type="containsBlanks" dxfId="186" priority="61">
      <formula>LEN(TRIM(C71))=0</formula>
    </cfRule>
  </conditionalFormatting>
  <conditionalFormatting sqref="C71:D71">
    <cfRule type="containsBlanks" dxfId="185" priority="60">
      <formula>LEN(TRIM(C71))=0</formula>
    </cfRule>
  </conditionalFormatting>
  <conditionalFormatting sqref="C77:D77">
    <cfRule type="containsBlanks" dxfId="184" priority="58">
      <formula>LEN(TRIM(C77))=0</formula>
    </cfRule>
  </conditionalFormatting>
  <conditionalFormatting sqref="C329:D331 C334:D334 C337:D337 C342:D350">
    <cfRule type="containsBlanks" dxfId="183" priority="57">
      <formula>LEN(TRIM(C329))=0</formula>
    </cfRule>
  </conditionalFormatting>
  <conditionalFormatting sqref="C335:D336">
    <cfRule type="containsBlanks" dxfId="182" priority="52">
      <formula>LEN(TRIM(C335))=0</formula>
    </cfRule>
  </conditionalFormatting>
  <conditionalFormatting sqref="C338:D339">
    <cfRule type="containsBlanks" dxfId="181" priority="51">
      <formula>LEN(TRIM(C338))=0</formula>
    </cfRule>
  </conditionalFormatting>
  <conditionalFormatting sqref="C340:D341">
    <cfRule type="containsBlanks" dxfId="180" priority="50">
      <formula>LEN(TRIM(C340))=0</formula>
    </cfRule>
  </conditionalFormatting>
  <conditionalFormatting sqref="C332:D333">
    <cfRule type="containsBlanks" dxfId="179" priority="53">
      <formula>LEN(TRIM(C332))=0</formula>
    </cfRule>
  </conditionalFormatting>
  <conditionalFormatting sqref="C370:D371">
    <cfRule type="containsBlanks" dxfId="178" priority="47">
      <formula>LEN(TRIM(C370))=0</formula>
    </cfRule>
  </conditionalFormatting>
  <conditionalFormatting sqref="C373:D374">
    <cfRule type="containsBlanks" dxfId="177" priority="46">
      <formula>LEN(TRIM(C373))=0</formula>
    </cfRule>
  </conditionalFormatting>
  <conditionalFormatting sqref="C375:D376">
    <cfRule type="containsBlanks" dxfId="176" priority="45">
      <formula>LEN(TRIM(C375))=0</formula>
    </cfRule>
  </conditionalFormatting>
  <conditionalFormatting sqref="C364:D366 C369:D369 C372:D372 C377:D382 C385:D389">
    <cfRule type="containsBlanks" dxfId="175" priority="49">
      <formula>LEN(TRIM(C364))=0</formula>
    </cfRule>
  </conditionalFormatting>
  <conditionalFormatting sqref="C107:D108">
    <cfRule type="containsBlanks" dxfId="174" priority="22">
      <formula>LEN(TRIM(C107))=0</formula>
    </cfRule>
  </conditionalFormatting>
  <conditionalFormatting sqref="C296:D297">
    <cfRule type="containsBlanks" dxfId="173" priority="40">
      <formula>LEN(TRIM(C296))=0</formula>
    </cfRule>
  </conditionalFormatting>
  <conditionalFormatting sqref="C383:D384">
    <cfRule type="containsBlanks" dxfId="172" priority="44">
      <formula>LEN(TRIM(C383))=0</formula>
    </cfRule>
  </conditionalFormatting>
  <conditionalFormatting sqref="C367:D368">
    <cfRule type="containsBlanks" dxfId="171" priority="48">
      <formula>LEN(TRIM(C367))=0</formula>
    </cfRule>
  </conditionalFormatting>
  <conditionalFormatting sqref="C301:D303">
    <cfRule type="containsBlanks" dxfId="170" priority="39">
      <formula>LEN(TRIM(C301))=0</formula>
    </cfRule>
  </conditionalFormatting>
  <conditionalFormatting sqref="C298:D298 C303:D315">
    <cfRule type="containsBlanks" dxfId="169" priority="43">
      <formula>LEN(TRIM(C298))=0</formula>
    </cfRule>
  </conditionalFormatting>
  <conditionalFormatting sqref="C107:D108">
    <cfRule type="containsBlanks" dxfId="168" priority="21">
      <formula>LEN(TRIM(C107))=0</formula>
    </cfRule>
  </conditionalFormatting>
  <conditionalFormatting sqref="C107:D107">
    <cfRule type="containsBlanks" dxfId="167" priority="20">
      <formula>LEN(TRIM(C107))=0</formula>
    </cfRule>
  </conditionalFormatting>
  <conditionalFormatting sqref="C98:D99 C102:D102 C105:D106 C109:D117">
    <cfRule type="containsBlanks" dxfId="166" priority="38">
      <formula>LEN(TRIM(C98))=0</formula>
    </cfRule>
  </conditionalFormatting>
  <conditionalFormatting sqref="C100:D101">
    <cfRule type="containsBlanks" dxfId="165" priority="27">
      <formula>LEN(TRIM(C100))=0</formula>
    </cfRule>
  </conditionalFormatting>
  <conditionalFormatting sqref="C100:D101">
    <cfRule type="containsBlanks" dxfId="164" priority="26">
      <formula>LEN(TRIM(C100))=0</formula>
    </cfRule>
  </conditionalFormatting>
  <conditionalFormatting sqref="C100:D100">
    <cfRule type="containsBlanks" dxfId="163" priority="25">
      <formula>LEN(TRIM(C100))=0</formula>
    </cfRule>
  </conditionalFormatting>
  <conditionalFormatting sqref="C103:D103">
    <cfRule type="containsBlanks" dxfId="162" priority="24">
      <formula>LEN(TRIM(C103))=0</formula>
    </cfRule>
  </conditionalFormatting>
  <conditionalFormatting sqref="C103:D104">
    <cfRule type="containsBlanks" dxfId="161" priority="23">
      <formula>LEN(TRIM(C103))=0</formula>
    </cfRule>
  </conditionalFormatting>
  <conditionalFormatting sqref="C230:D232 C235:D249">
    <cfRule type="containsBlanks" dxfId="160" priority="19">
      <formula>LEN(TRIM(C230))=0</formula>
    </cfRule>
  </conditionalFormatting>
  <conditionalFormatting sqref="C233:D233">
    <cfRule type="containsBlanks" dxfId="159" priority="16">
      <formula>LEN(TRIM(C233))=0</formula>
    </cfRule>
  </conditionalFormatting>
  <conditionalFormatting sqref="C234:D234">
    <cfRule type="containsBlanks" dxfId="158" priority="15">
      <formula>LEN(TRIM(C234))=0</formula>
    </cfRule>
  </conditionalFormatting>
  <conditionalFormatting sqref="C197:D198 C201:D202 C205:D205 C208:D216">
    <cfRule type="containsBlanks" dxfId="157" priority="14">
      <formula>LEN(TRIM(C197))=0</formula>
    </cfRule>
  </conditionalFormatting>
  <conditionalFormatting sqref="C199:D200">
    <cfRule type="containsBlanks" dxfId="156" priority="11">
      <formula>LEN(TRIM(C199))=0</formula>
    </cfRule>
  </conditionalFormatting>
  <conditionalFormatting sqref="C203:D204">
    <cfRule type="containsBlanks" dxfId="155" priority="10">
      <formula>LEN(TRIM(C203))=0</formula>
    </cfRule>
  </conditionalFormatting>
  <conditionalFormatting sqref="C206:D207">
    <cfRule type="containsBlanks" dxfId="154" priority="9">
      <formula>LEN(TRIM(C206))=0</formula>
    </cfRule>
  </conditionalFormatting>
  <conditionalFormatting sqref="C77:D77">
    <cfRule type="containsBlanks" dxfId="153" priority="8">
      <formula>LEN(TRIM(C77))=0</formula>
    </cfRule>
  </conditionalFormatting>
  <conditionalFormatting sqref="C78:D78">
    <cfRule type="containsBlanks" dxfId="152" priority="7">
      <formula>LEN(TRIM(C78))=0</formula>
    </cfRule>
  </conditionalFormatting>
  <conditionalFormatting sqref="C75:D75">
    <cfRule type="containsBlanks" dxfId="151" priority="6">
      <formula>LEN(TRIM(C75))=0</formula>
    </cfRule>
  </conditionalFormatting>
  <conditionalFormatting sqref="C75:D76">
    <cfRule type="containsBlanks" dxfId="150" priority="5">
      <formula>LEN(TRIM(C75))=0</formula>
    </cfRule>
  </conditionalFormatting>
  <conditionalFormatting sqref="C301:D301">
    <cfRule type="containsBlanks" dxfId="149" priority="4">
      <formula>LEN(TRIM(C301))=0</formula>
    </cfRule>
  </conditionalFormatting>
  <conditionalFormatting sqref="C299:D299">
    <cfRule type="containsBlanks" dxfId="148" priority="3">
      <formula>LEN(TRIM(C299))=0</formula>
    </cfRule>
  </conditionalFormatting>
  <conditionalFormatting sqref="C299:D300">
    <cfRule type="containsBlanks" dxfId="147" priority="2">
      <formula>LEN(TRIM(C299))=0</formula>
    </cfRule>
  </conditionalFormatting>
  <conditionalFormatting sqref="C26">
    <cfRule type="containsBlanks" dxfId="146" priority="1">
      <formula>LEN(TRIM(C26))=0</formula>
    </cfRule>
  </conditionalFormatting>
  <dataValidations count="2">
    <dataValidation type="list" allowBlank="1" showInputMessage="1" showErrorMessage="1" sqref="C197:C216 C131:C150 C164:C183 C263:C282 C403:C422 C436:C455 C30:C49 C98:C117 C329:C350 C63:C84 C364:C389 C230:C249 C296:C315" xr:uid="{E8003CAC-B597-1448-AB17-C23EE08AB7E2}">
      <formula1>StepNames</formula1>
    </dataValidation>
    <dataValidation type="list" allowBlank="1" showInputMessage="1" showErrorMessage="1" sqref="C12" xr:uid="{550A85E3-5E48-EB44-B161-89C6D925985F}">
      <formula1>fnStepTemplates</formula1>
    </dataValidation>
  </dataValidations>
  <pageMargins left="0.7" right="0.7" top="0.75" bottom="0.75" header="0.3" footer="0.3"/>
  <ignoredErrors>
    <ignoredError sqref="A1:XFD11 A13:XFD29 A12:B12 E12:XFD12 A35:XFD57 A30:B34 E30:XFD34 A59:XFD1048576 A58:B58 D58:XFD58" emptyCellReference="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AC286"/>
  <sheetViews>
    <sheetView workbookViewId="0">
      <pane ySplit="1" topLeftCell="A2" activePane="bottomLeft" state="frozenSplit"/>
      <selection pane="bottomLeft" activeCell="C6" sqref="C6"/>
    </sheetView>
  </sheetViews>
  <sheetFormatPr defaultColWidth="11" defaultRowHeight="15.75" outlineLevelRow="1"/>
  <cols>
    <col min="1" max="2" width="2.5" style="11" customWidth="1"/>
    <col min="3" max="3" width="50.5" style="11" bestFit="1" customWidth="1"/>
    <col min="4" max="4" width="12.625" style="11" customWidth="1"/>
    <col min="5" max="5" width="21.125" style="11" bestFit="1" customWidth="1"/>
    <col min="6" max="6" width="8.375" style="11" bestFit="1" customWidth="1"/>
    <col min="7" max="7" width="9.625" style="11" bestFit="1" customWidth="1"/>
    <col min="8" max="8" width="40.875" style="11" customWidth="1"/>
    <col min="9" max="9" width="16.5" style="11" bestFit="1" customWidth="1"/>
    <col min="10" max="10" width="2.5" style="11" customWidth="1"/>
    <col min="11" max="11" width="22" style="11" customWidth="1"/>
    <col min="12" max="12" width="21.375" style="11" customWidth="1"/>
    <col min="13" max="13" width="2.5" style="11" customWidth="1"/>
    <col min="14" max="14" width="17.125" style="11" customWidth="1"/>
    <col min="15" max="15" width="16.625" style="11" customWidth="1"/>
    <col min="16" max="16" width="12.125" style="11" customWidth="1"/>
    <col min="17" max="18" width="2.5" style="11" customWidth="1"/>
    <col min="19" max="19" width="50.875" style="11" customWidth="1"/>
    <col min="20" max="20" width="23.875" style="11" customWidth="1"/>
    <col min="21" max="16384" width="11" style="11"/>
  </cols>
  <sheetData>
    <row r="1" spans="2:29" s="10" customFormat="1" ht="24" customHeight="1">
      <c r="B1" s="107" t="str">
        <f>"CatCost v"&amp;Version&amp;": "&amp;EstimateName</f>
        <v>CatCost v1.0.4: Test1</v>
      </c>
      <c r="G1" s="108"/>
      <c r="H1" s="109"/>
      <c r="I1" s="109"/>
      <c r="J1" s="109"/>
      <c r="K1" s="109"/>
      <c r="L1" s="109"/>
      <c r="M1" s="109"/>
      <c r="N1" s="109"/>
      <c r="O1" s="109"/>
      <c r="P1" s="109"/>
      <c r="Q1" s="108"/>
      <c r="R1" s="109"/>
      <c r="X1" s="10" t="s">
        <v>1078</v>
      </c>
      <c r="AA1" s="10" t="str">
        <f t="array" ref="AA1:AA33" ca="1">IF(ROW()&gt;COUNTIF($C$1:$C$9939,"CapEx &amp; OpEx Factors Template Name"),"",OFFSET($C$1,SMALL(IF($C$1:$C$9939="CapEx &amp; OpEx Factors Template Name",ROW($C$1:$C$9939)),ROW()),0))</f>
        <v>Custom Process</v>
      </c>
      <c r="AC1" s="267"/>
    </row>
    <row r="2" spans="2:29" ht="16.5" thickBot="1">
      <c r="AA2" s="11" t="str">
        <f ca="1"/>
        <v>Metal Carbide on Metal Oxide</v>
      </c>
    </row>
    <row r="3" spans="2:29" ht="21" thickBot="1">
      <c r="B3" s="414" t="s">
        <v>1046</v>
      </c>
      <c r="C3" s="415"/>
      <c r="D3" s="415"/>
      <c r="E3" s="416"/>
      <c r="AA3" s="11" t="str">
        <f ca="1"/>
        <v>Nanoparticles - Flow Synthesis</v>
      </c>
    </row>
    <row r="4" spans="2:29">
      <c r="B4" s="13"/>
      <c r="C4" s="14"/>
      <c r="D4" s="14"/>
      <c r="E4" s="15"/>
      <c r="AA4" s="11" t="str">
        <f ca="1"/>
        <v>Wet Impregnation - Metal on Metal Oxide</v>
      </c>
    </row>
    <row r="5" spans="2:29">
      <c r="B5" s="16"/>
      <c r="C5" s="17" t="s">
        <v>1852</v>
      </c>
      <c r="D5" s="18"/>
      <c r="E5" s="19"/>
      <c r="AA5" s="11" t="str">
        <f ca="1"/>
        <v>Zeolite for FCC</v>
      </c>
    </row>
    <row r="6" spans="2:29">
      <c r="B6" s="16"/>
      <c r="C6" s="298" t="s">
        <v>998</v>
      </c>
      <c r="D6" s="18"/>
      <c r="E6" s="19"/>
      <c r="AA6" s="11" t="str">
        <f ca="1"/>
        <v/>
      </c>
    </row>
    <row r="7" spans="2:29">
      <c r="B7" s="16"/>
      <c r="C7" s="18"/>
      <c r="D7" s="18"/>
      <c r="E7" s="19"/>
      <c r="AA7" s="11" t="str">
        <f ca="1"/>
        <v/>
      </c>
    </row>
    <row r="8" spans="2:29">
      <c r="B8" s="16"/>
      <c r="C8" s="17" t="s">
        <v>994</v>
      </c>
      <c r="D8" s="18"/>
      <c r="E8" s="19"/>
      <c r="AA8" s="11" t="str">
        <f ca="1"/>
        <v/>
      </c>
    </row>
    <row r="9" spans="2:29">
      <c r="B9" s="16"/>
      <c r="C9" s="18"/>
      <c r="D9" s="162" t="s">
        <v>308</v>
      </c>
      <c r="E9" s="295">
        <f ca="1">IF($C$6="","&lt; Select Template &gt;",OFFSET(INDEX(C:C,MATCH("Equipment Cost Totals for "&amp;$C$6,C:C,0)),1,2))</f>
        <v>84775.477524521441</v>
      </c>
      <c r="AA9" s="11" t="str">
        <f ca="1"/>
        <v/>
      </c>
    </row>
    <row r="10" spans="2:29">
      <c r="B10" s="16"/>
      <c r="C10" s="18"/>
      <c r="D10" s="162" t="s">
        <v>354</v>
      </c>
      <c r="E10" s="295">
        <f ca="1">IF($C$6="","&lt; Select Template &gt;",OFFSET(INDEX(C:C,MATCH("Equipment Cost Totals for "&amp;$C$6,C:C,0)),2,2))</f>
        <v>84775.477524521441</v>
      </c>
      <c r="AA10" s="11" t="str">
        <f ca="1"/>
        <v/>
      </c>
    </row>
    <row r="11" spans="2:29">
      <c r="B11" s="16"/>
      <c r="C11" s="18"/>
      <c r="D11" s="162" t="s">
        <v>995</v>
      </c>
      <c r="E11" s="296">
        <f ca="1">IF($C$6="","&lt; Select Template &gt;",OFFSET(INDEX(C:C,MATCH("Equipment Cost Totals for "&amp;$C$6,C:C,0)),3,2))</f>
        <v>0.5</v>
      </c>
      <c r="AA11" s="11" t="str">
        <f ca="1"/>
        <v/>
      </c>
    </row>
    <row r="12" spans="2:29" ht="16.5" thickBot="1">
      <c r="B12" s="21"/>
      <c r="C12" s="22"/>
      <c r="D12" s="22"/>
      <c r="E12" s="23"/>
      <c r="AA12" s="11" t="str">
        <f ca="1"/>
        <v/>
      </c>
    </row>
    <row r="13" spans="2:29">
      <c r="AA13" s="11" t="str">
        <f ca="1"/>
        <v/>
      </c>
    </row>
    <row r="14" spans="2:29" ht="21" thickBot="1">
      <c r="B14" s="429" t="s">
        <v>1047</v>
      </c>
      <c r="C14" s="429"/>
      <c r="D14" s="429"/>
      <c r="E14" s="429"/>
      <c r="F14" s="429"/>
      <c r="G14" s="429"/>
      <c r="AA14" s="11" t="str">
        <f ca="1"/>
        <v/>
      </c>
    </row>
    <row r="15" spans="2:29">
      <c r="B15" s="301" t="s">
        <v>1012</v>
      </c>
      <c r="AA15" s="11" t="str">
        <f ca="1"/>
        <v/>
      </c>
    </row>
    <row r="16" spans="2:29" ht="16.5" thickBot="1">
      <c r="AA16" s="11" t="str">
        <f ca="1"/>
        <v/>
      </c>
    </row>
    <row r="17" spans="2:27" ht="21" thickBot="1">
      <c r="B17" s="341" t="str">
        <f>"User Entry: "&amp;C20</f>
        <v>User Entry: Custom Process</v>
      </c>
      <c r="C17" s="342"/>
      <c r="D17" s="342"/>
      <c r="E17" s="342"/>
      <c r="F17" s="342"/>
      <c r="G17" s="343"/>
      <c r="I17" s="198"/>
      <c r="AA17" s="11" t="str">
        <f ca="1"/>
        <v/>
      </c>
    </row>
    <row r="18" spans="2:27" hidden="1" outlineLevel="1">
      <c r="B18" s="13"/>
      <c r="C18" s="14"/>
      <c r="D18" s="14"/>
      <c r="E18" s="14"/>
      <c r="F18" s="14"/>
      <c r="G18" s="15"/>
      <c r="I18" s="198"/>
      <c r="AA18" s="11" t="str">
        <f ca="1"/>
        <v/>
      </c>
    </row>
    <row r="19" spans="2:27" hidden="1" outlineLevel="1">
      <c r="B19" s="16"/>
      <c r="C19" s="17" t="s">
        <v>1048</v>
      </c>
      <c r="D19" s="18"/>
      <c r="E19" s="18"/>
      <c r="F19" s="18"/>
      <c r="G19" s="19"/>
      <c r="I19" s="198"/>
      <c r="AA19" s="11" t="str">
        <f ca="1"/>
        <v/>
      </c>
    </row>
    <row r="20" spans="2:27" hidden="1" outlineLevel="1">
      <c r="B20" s="16"/>
      <c r="C20" s="298" t="s">
        <v>996</v>
      </c>
      <c r="D20" s="18"/>
      <c r="E20" s="18"/>
      <c r="F20" s="18"/>
      <c r="G20" s="19"/>
      <c r="I20" s="198"/>
      <c r="AA20" s="11" t="str">
        <f ca="1"/>
        <v/>
      </c>
    </row>
    <row r="21" spans="2:27" ht="16.5" hidden="1" outlineLevel="1" thickBot="1">
      <c r="B21" s="16"/>
      <c r="C21" s="18"/>
      <c r="D21" s="18"/>
      <c r="E21" s="18"/>
      <c r="F21" s="18"/>
      <c r="G21" s="19"/>
      <c r="I21" s="198"/>
      <c r="AA21" s="11" t="str">
        <f ca="1"/>
        <v/>
      </c>
    </row>
    <row r="22" spans="2:27" ht="32.1" hidden="1" customHeight="1" outlineLevel="1">
      <c r="B22" s="424" t="str">
        <f>"Scaling Inputs: "&amp;C20</f>
        <v>Scaling Inputs: Custom Process</v>
      </c>
      <c r="C22" s="425"/>
      <c r="D22" s="425"/>
      <c r="E22" s="425"/>
      <c r="F22" s="425"/>
      <c r="G22" s="426"/>
      <c r="I22" s="198"/>
      <c r="AA22" s="11" t="str">
        <f ca="1"/>
        <v/>
      </c>
    </row>
    <row r="23" spans="2:27" hidden="1" outlineLevel="1">
      <c r="B23" s="16"/>
      <c r="C23" s="17" t="s">
        <v>1738</v>
      </c>
      <c r="D23" s="18"/>
      <c r="E23" s="18"/>
      <c r="F23" s="18"/>
      <c r="G23" s="19"/>
      <c r="I23" s="198"/>
      <c r="AA23" s="11" t="str">
        <f ca="1"/>
        <v/>
      </c>
    </row>
    <row r="24" spans="2:27" hidden="1" outlineLevel="1">
      <c r="B24" s="16"/>
      <c r="C24" s="137" t="s">
        <v>1835</v>
      </c>
      <c r="D24" s="176"/>
      <c r="E24" s="48" t="str">
        <f>IF(COUNTBLANK(D25:D27)&gt;0,"select units below",D25&amp;" "&amp;D26&amp;"/"&amp;D27)</f>
        <v>select units below</v>
      </c>
      <c r="F24" s="42" t="s">
        <v>160</v>
      </c>
      <c r="G24" s="19"/>
      <c r="I24" s="198"/>
      <c r="AA24" s="11" t="str">
        <f ca="1"/>
        <v/>
      </c>
    </row>
    <row r="25" spans="2:27" hidden="1" outlineLevel="1">
      <c r="B25" s="16"/>
      <c r="C25" s="137"/>
      <c r="D25" s="176"/>
      <c r="E25" s="48" t="s">
        <v>912</v>
      </c>
      <c r="F25" s="48"/>
      <c r="G25" s="19"/>
      <c r="I25" s="198"/>
      <c r="AA25" s="11" t="str">
        <f ca="1"/>
        <v/>
      </c>
    </row>
    <row r="26" spans="2:27" hidden="1" outlineLevel="1">
      <c r="B26" s="16"/>
      <c r="C26" s="137"/>
      <c r="D26" s="176"/>
      <c r="E26" s="48" t="s">
        <v>914</v>
      </c>
      <c r="F26" s="42" t="s">
        <v>160</v>
      </c>
      <c r="G26" s="19"/>
      <c r="I26" s="198"/>
      <c r="AA26" s="11" t="str">
        <f ca="1"/>
        <v/>
      </c>
    </row>
    <row r="27" spans="2:27" hidden="1" outlineLevel="1">
      <c r="B27" s="16"/>
      <c r="C27" s="137"/>
      <c r="D27" s="176"/>
      <c r="E27" s="48" t="s">
        <v>913</v>
      </c>
      <c r="F27" s="42" t="s">
        <v>160</v>
      </c>
      <c r="G27" s="19"/>
      <c r="I27" s="198"/>
      <c r="AA27" s="11" t="str">
        <f ca="1"/>
        <v/>
      </c>
    </row>
    <row r="28" spans="2:27" hidden="1" outlineLevel="1">
      <c r="B28" s="16"/>
      <c r="C28" s="137" t="s">
        <v>1836</v>
      </c>
      <c r="D28" s="49" t="str">
        <f>IFERROR(D24*VLOOKUP(D25,UnitConv[],5,FALSE)/VLOOKUP(OutMassUnit,UnitConv[],5,FALSE)*IF(D26="active phase",100/APWeightPercent,1)/CHOOSE(MATCH(D27,{"hour","day","week","month","year"},0),1,24,24*7,7884/12,7884),"-----")</f>
        <v>-----</v>
      </c>
      <c r="E28" s="48" t="str">
        <f>OutMassUnit&amp;" catalyst/hour"</f>
        <v>kg catalyst/hour</v>
      </c>
      <c r="F28" s="42" t="s">
        <v>160</v>
      </c>
      <c r="G28" s="19"/>
      <c r="I28" s="198"/>
      <c r="AA28" s="11" t="str">
        <f ca="1"/>
        <v/>
      </c>
    </row>
    <row r="29" spans="2:27" hidden="1" outlineLevel="1">
      <c r="B29" s="16"/>
      <c r="C29" s="134"/>
      <c r="D29" s="98"/>
      <c r="E29" s="48"/>
      <c r="F29" s="48"/>
      <c r="G29" s="19"/>
      <c r="I29" s="198"/>
      <c r="AA29" s="11" t="str">
        <f ca="1"/>
        <v/>
      </c>
    </row>
    <row r="30" spans="2:27" hidden="1" outlineLevel="1">
      <c r="B30" s="16"/>
      <c r="C30" s="17" t="s">
        <v>1823</v>
      </c>
      <c r="D30" s="18"/>
      <c r="E30" s="18"/>
      <c r="F30" s="18"/>
      <c r="G30" s="19"/>
      <c r="I30" s="198"/>
      <c r="AA30" s="11" t="str">
        <f ca="1"/>
        <v/>
      </c>
    </row>
    <row r="31" spans="2:27" hidden="1" outlineLevel="1">
      <c r="B31" s="16"/>
      <c r="C31" s="137" t="s">
        <v>1834</v>
      </c>
      <c r="D31" s="49">
        <f>IF(DesignProductionRate=0,"-----",DesignProductionRate)</f>
        <v>1.2683916793505834</v>
      </c>
      <c r="E31" s="48" t="str">
        <f>OutMassUnit&amp;" catalyst/hour"</f>
        <v>kg catalyst/hour</v>
      </c>
      <c r="F31" s="42" t="s">
        <v>160</v>
      </c>
      <c r="G31" s="19"/>
      <c r="I31" s="198"/>
      <c r="AA31" s="11" t="str">
        <f ca="1"/>
        <v/>
      </c>
    </row>
    <row r="32" spans="2:27" ht="16.5" hidden="1" outlineLevel="1" thickBot="1">
      <c r="B32" s="16"/>
      <c r="C32" s="18"/>
      <c r="D32" s="291"/>
      <c r="E32" s="18"/>
      <c r="F32" s="18"/>
      <c r="G32" s="19"/>
      <c r="AA32" s="11" t="str">
        <f ca="1"/>
        <v/>
      </c>
    </row>
    <row r="33" spans="2:27" s="294" customFormat="1" ht="32.1" hidden="1" customHeight="1" outlineLevel="1">
      <c r="B33" s="424" t="str">
        <f>"Equipment List: "&amp;C20</f>
        <v>Equipment List: Custom Process</v>
      </c>
      <c r="C33" s="425"/>
      <c r="D33" s="425"/>
      <c r="E33" s="425"/>
      <c r="F33" s="425"/>
      <c r="G33" s="425"/>
      <c r="H33" s="292"/>
      <c r="I33" s="292"/>
      <c r="J33" s="292"/>
      <c r="K33" s="292"/>
      <c r="L33" s="292"/>
      <c r="M33" s="292"/>
      <c r="N33" s="292"/>
      <c r="O33" s="292"/>
      <c r="P33" s="292"/>
      <c r="Q33" s="293"/>
      <c r="AA33" s="294" t="str">
        <f ca="1"/>
        <v/>
      </c>
    </row>
    <row r="34" spans="2:27" ht="18.75" hidden="1" outlineLevel="1">
      <c r="B34" s="16"/>
      <c r="C34" s="428" t="s">
        <v>1837</v>
      </c>
      <c r="D34" s="428"/>
      <c r="E34" s="428"/>
      <c r="F34" s="428"/>
      <c r="G34" s="428"/>
      <c r="H34" s="428"/>
      <c r="I34" s="428"/>
      <c r="J34" s="73"/>
      <c r="K34" s="428" t="s">
        <v>1821</v>
      </c>
      <c r="L34" s="428"/>
      <c r="M34" s="73"/>
      <c r="N34" s="428" t="s">
        <v>1822</v>
      </c>
      <c r="O34" s="428"/>
      <c r="P34" s="428"/>
      <c r="Q34" s="19"/>
      <c r="S34" s="427" t="s">
        <v>997</v>
      </c>
      <c r="T34" s="427"/>
      <c r="U34" s="294"/>
    </row>
    <row r="35" spans="2:27" hidden="1" outlineLevel="1">
      <c r="B35" s="16"/>
      <c r="C35" s="64" t="s">
        <v>304</v>
      </c>
      <c r="D35" s="64" t="s">
        <v>310</v>
      </c>
      <c r="E35" s="64" t="s">
        <v>311</v>
      </c>
      <c r="F35" s="64" t="s">
        <v>307</v>
      </c>
      <c r="G35" s="64" t="s">
        <v>312</v>
      </c>
      <c r="H35" s="64" t="s">
        <v>305</v>
      </c>
      <c r="I35" s="64" t="s">
        <v>306</v>
      </c>
      <c r="J35" s="64"/>
      <c r="K35" s="64" t="s">
        <v>1073</v>
      </c>
      <c r="L35" s="64" t="s">
        <v>1074</v>
      </c>
      <c r="M35" s="64"/>
      <c r="N35" s="64" t="s">
        <v>308</v>
      </c>
      <c r="O35" s="64" t="s">
        <v>354</v>
      </c>
      <c r="P35" s="64" t="s">
        <v>309</v>
      </c>
      <c r="Q35" s="19"/>
      <c r="S35" s="297" t="s">
        <v>304</v>
      </c>
      <c r="T35" s="297" t="s">
        <v>205</v>
      </c>
      <c r="U35" s="294"/>
    </row>
    <row r="36" spans="2:27" hidden="1" outlineLevel="1">
      <c r="B36" s="16"/>
      <c r="C36" s="69"/>
      <c r="D36" s="70"/>
      <c r="E36" s="70" t="str">
        <f ca="1">IFERROR(VLOOKUP(C36,fnEquipLibRange,16,FALSE),"")</f>
        <v/>
      </c>
      <c r="F36" s="70"/>
      <c r="G36" s="130"/>
      <c r="H36" s="106" t="str">
        <f ca="1">IFERROR(VLOOKUP(C36,fnEquipLibRange,2,FALSE),"")</f>
        <v/>
      </c>
      <c r="I36" s="100" t="str">
        <f>IF(ISBLANK(G36),"",IF(G36&lt;VLOOKUP(C36,fnEquipLibRange,3,FALSE),"&gt;&gt;&gt; Too Small &lt;&lt;&lt;",IF(G36&gt;VLOOKUP(C36,fnEquipLibRange,4,FALSE),"&gt;&gt;&gt; Too Large &lt;&lt;&lt;","Yes")))</f>
        <v/>
      </c>
      <c r="J36" s="100"/>
      <c r="K36" s="101" t="str">
        <f>IF(F36*G36=0,"",IFERROR(IF(F36*G36*$D$31/$D$28&lt;VLOOKUP(C36,fnEquipLibRange,3,FALSE),MAX(1,F36),MAX(ROUNDUP(F36*G36*$D$31/$D$28/VLOOKUP(C36,fnEquipLibRange,4,FALSE),0),F36)),""))</f>
        <v/>
      </c>
      <c r="L36" s="102" t="str">
        <f>IF(F36*G36=0,"",IFERROR(IF(F36*G36*$D$31/$D$28&lt;VLOOKUP(C36,fnEquipLibRange,3,FALSE),VLOOKUP(C36,fnEquipLibRange,3,FALSE),F36*G36*$D$31/$D$28/MAX(ROUNDUP(F36*G36*$D$31/$D$28/VLOOKUP(C36,fnEquipLibRange,4,FALSE),0),F36)),""))</f>
        <v/>
      </c>
      <c r="M36" s="102"/>
      <c r="N36" s="103" t="str">
        <f>IF($K36="","",IFERROR($K36*fnEquipCostCorr*fnEquipCostIndex*fnEquipConstMaterial,""))</f>
        <v/>
      </c>
      <c r="O36" s="104" t="str">
        <f ca="1">IFERROR(fnEquipInstFactor*N36,"")</f>
        <v/>
      </c>
      <c r="P36" s="105" t="str">
        <f ca="1">IFERROR(fnEquipLaborFactor*K36,"")</f>
        <v/>
      </c>
      <c r="Q36" s="19"/>
      <c r="S36" s="94" t="str">
        <f>IF(ISBLANK(C36),"",C36)</f>
        <v/>
      </c>
      <c r="T36" s="11" t="str">
        <f ca="1">IFERROR(IF(INDEX(fnEquipLibRange,fnEquipRowNum,39)="","",INDEX(fnEquipLibRange,fnEquipRowNum,39)),"")</f>
        <v/>
      </c>
      <c r="U36" s="294"/>
    </row>
    <row r="37" spans="2:27" hidden="1" outlineLevel="1">
      <c r="B37" s="16"/>
      <c r="C37" s="69"/>
      <c r="D37" s="70"/>
      <c r="E37" s="70" t="str">
        <f ca="1">IFERROR(VLOOKUP(C37,fnEquipLibRange,16,FALSE),"")</f>
        <v/>
      </c>
      <c r="F37" s="70"/>
      <c r="G37" s="130"/>
      <c r="H37" s="106" t="str">
        <f ca="1">IFERROR(VLOOKUP(C37,fnEquipLibRange,2,FALSE),"")</f>
        <v/>
      </c>
      <c r="I37" s="100" t="str">
        <f>IF(ISBLANK(G37),"",IF(G37&lt;VLOOKUP(C37,fnEquipLibRange,3,FALSE),"&gt;&gt;&gt; Too Small &lt;&lt;&lt;",IF(G37&gt;VLOOKUP(C37,fnEquipLibRange,4,FALSE),"&gt;&gt;&gt; Too Large &lt;&lt;&lt;","Yes")))</f>
        <v/>
      </c>
      <c r="J37" s="100"/>
      <c r="K37" s="101" t="str">
        <f>IF(F37*G37=0,"",IFERROR(IF(F37*G37*$D$31/$D$28&lt;VLOOKUP(C37,fnEquipLibRange,3,FALSE),MAX(1,F37),MAX(ROUNDUP(F37*G37*$D$31/$D$28/VLOOKUP(C37,fnEquipLibRange,4,FALSE),0),F37)),""))</f>
        <v/>
      </c>
      <c r="L37" s="102" t="str">
        <f>IF(F37*G37=0,"",IFERROR(IF(F37*G37*$D$31/$D$28&lt;VLOOKUP(C37,fnEquipLibRange,3,FALSE),VLOOKUP(C37,fnEquipLibRange,3,FALSE),F37*G37*$D$31/$D$28/MAX(ROUNDUP(F37*G37*$D$31/$D$28/VLOOKUP(C37,fnEquipLibRange,4,FALSE),0),F37)),""))</f>
        <v/>
      </c>
      <c r="M37" s="102"/>
      <c r="N37" s="103" t="str">
        <f>IF($K37="","",IFERROR($K37*fnEquipCostCorr*fnEquipCostIndex*fnEquipConstMaterial,""))</f>
        <v/>
      </c>
      <c r="O37" s="104" t="str">
        <f ca="1">IFERROR(fnEquipInstFactor*N37,"")</f>
        <v/>
      </c>
      <c r="P37" s="105" t="str">
        <f ca="1">IFERROR(fnEquipLaborFactor*K37,"")</f>
        <v/>
      </c>
      <c r="Q37" s="19"/>
      <c r="S37" s="94" t="str">
        <f t="shared" ref="S37:S75" si="0">IF(ISBLANK(C37),"",C37)</f>
        <v/>
      </c>
      <c r="T37" s="11" t="str">
        <f ca="1">IFERROR(IF(INDEX(fnEquipLibRange,fnEquipRowNum,39)="","",INDEX(fnEquipLibRange,fnEquipRowNum,39)),"")</f>
        <v/>
      </c>
    </row>
    <row r="38" spans="2:27" hidden="1" outlineLevel="1">
      <c r="B38" s="16"/>
      <c r="C38" s="69"/>
      <c r="D38" s="70"/>
      <c r="E38" s="70" t="str">
        <f ca="1">IFERROR(VLOOKUP(C38,fnEquipLibRange,16,FALSE),"")</f>
        <v/>
      </c>
      <c r="F38" s="70"/>
      <c r="G38" s="130"/>
      <c r="H38" s="106" t="str">
        <f ca="1">IFERROR(VLOOKUP(C38,fnEquipLibRange,2,FALSE),"")</f>
        <v/>
      </c>
      <c r="I38" s="100" t="str">
        <f>IF(ISBLANK(G38),"",IF(G38&lt;VLOOKUP(C38,fnEquipLibRange,3,FALSE),"&gt;&gt;&gt; Too Small &lt;&lt;&lt;",IF(G38&gt;VLOOKUP(C38,fnEquipLibRange,4,FALSE),"&gt;&gt;&gt; Too Large &lt;&lt;&lt;","Yes")))</f>
        <v/>
      </c>
      <c r="J38" s="100"/>
      <c r="K38" s="101" t="str">
        <f>IF(F38*G38=0,"",IFERROR(IF(F38*G38*$D$31/$D$28&lt;VLOOKUP(C38,fnEquipLibRange,3,FALSE),MAX(1,F38),MAX(ROUNDUP(F38*G38*$D$31/$D$28/VLOOKUP(C38,fnEquipLibRange,4,FALSE),0),F38)),""))</f>
        <v/>
      </c>
      <c r="L38" s="102" t="str">
        <f>IF(F38*G38=0,"",IFERROR(IF(F38*G38*$D$31/$D$28&lt;VLOOKUP(C38,fnEquipLibRange,3,FALSE),VLOOKUP(C38,fnEquipLibRange,3,FALSE),F38*G38*$D$31/$D$28/MAX(ROUNDUP(F38*G38*$D$31/$D$28/VLOOKUP(C38,fnEquipLibRange,4,FALSE),0),F38)),""))</f>
        <v/>
      </c>
      <c r="M38" s="102"/>
      <c r="N38" s="103" t="str">
        <f>IF($K38="","",IFERROR($K38*fnEquipCostCorr*fnEquipCostIndex*fnEquipConstMaterial,""))</f>
        <v/>
      </c>
      <c r="O38" s="104" t="str">
        <f ca="1">IFERROR(fnEquipInstFactor*N38,"")</f>
        <v/>
      </c>
      <c r="P38" s="105" t="str">
        <f ca="1">IFERROR(fnEquipLaborFactor*K38,"")</f>
        <v/>
      </c>
      <c r="Q38" s="19"/>
      <c r="S38" s="94" t="str">
        <f t="shared" si="0"/>
        <v/>
      </c>
      <c r="T38" s="11" t="str">
        <f ca="1">IFERROR(IF(INDEX(fnEquipLibRange,fnEquipRowNum,39)="","",INDEX(fnEquipLibRange,fnEquipRowNum,39)),"")</f>
        <v/>
      </c>
    </row>
    <row r="39" spans="2:27" hidden="1" outlineLevel="1">
      <c r="B39" s="16"/>
      <c r="C39" s="69"/>
      <c r="D39" s="70"/>
      <c r="E39" s="70" t="str">
        <f ca="1">IFERROR(VLOOKUP(C39,fnEquipLibRange,16,FALSE),"")</f>
        <v/>
      </c>
      <c r="F39" s="70"/>
      <c r="G39" s="130"/>
      <c r="H39" s="106" t="str">
        <f ca="1">IFERROR(VLOOKUP(C39,fnEquipLibRange,2,FALSE),"")</f>
        <v/>
      </c>
      <c r="I39" s="100" t="str">
        <f>IF(ISBLANK(G39),"",IF(G39&lt;VLOOKUP(C39,fnEquipLibRange,3,FALSE),"&gt;&gt;&gt; Too Small &lt;&lt;&lt;",IF(G39&gt;VLOOKUP(C39,fnEquipLibRange,4,FALSE),"&gt;&gt;&gt; Too Large &lt;&lt;&lt;","Yes")))</f>
        <v/>
      </c>
      <c r="J39" s="100"/>
      <c r="K39" s="101" t="str">
        <f>IF(F39*G39=0,"",IFERROR(IF(F39*G39*$D$31/$D$28&lt;VLOOKUP(C39,fnEquipLibRange,3,FALSE),MAX(1,F39),MAX(ROUNDUP(F39*G39*$D$31/$D$28/VLOOKUP(C39,fnEquipLibRange,4,FALSE),0),F39)),""))</f>
        <v/>
      </c>
      <c r="L39" s="102" t="str">
        <f>IF(F39*G39=0,"",IFERROR(IF(F39*G39*$D$31/$D$28&lt;VLOOKUP(C39,fnEquipLibRange,3,FALSE),VLOOKUP(C39,fnEquipLibRange,3,FALSE),F39*G39*$D$31/$D$28/MAX(ROUNDUP(F39*G39*$D$31/$D$28/VLOOKUP(C39,fnEquipLibRange,4,FALSE),0),F39)),""))</f>
        <v/>
      </c>
      <c r="M39" s="102"/>
      <c r="N39" s="103" t="str">
        <f>IF($K39="","",IFERROR($K39*fnEquipCostCorr*fnEquipCostIndex*fnEquipConstMaterial,""))</f>
        <v/>
      </c>
      <c r="O39" s="104" t="str">
        <f ca="1">IFERROR(fnEquipInstFactor*N39,"")</f>
        <v/>
      </c>
      <c r="P39" s="105" t="str">
        <f ca="1">IFERROR(fnEquipLaborFactor*K39,"")</f>
        <v/>
      </c>
      <c r="Q39" s="19"/>
      <c r="S39" s="94" t="str">
        <f t="shared" si="0"/>
        <v/>
      </c>
      <c r="T39" s="11" t="str">
        <f ca="1">IFERROR(IF(INDEX(fnEquipLibRange,fnEquipRowNum,39)="","",INDEX(fnEquipLibRange,fnEquipRowNum,39)),"")</f>
        <v/>
      </c>
    </row>
    <row r="40" spans="2:27" hidden="1" outlineLevel="1">
      <c r="B40" s="16"/>
      <c r="C40" s="69"/>
      <c r="D40" s="70"/>
      <c r="E40" s="70" t="str">
        <f ca="1">IFERROR(VLOOKUP(C40,fnEquipLibRange,16,FALSE),"")</f>
        <v/>
      </c>
      <c r="F40" s="70"/>
      <c r="G40" s="130"/>
      <c r="H40" s="106" t="str">
        <f ca="1">IFERROR(VLOOKUP(C40,fnEquipLibRange,2,FALSE),"")</f>
        <v/>
      </c>
      <c r="I40" s="100" t="str">
        <f>IF(ISBLANK(G40),"",IF(G40&lt;VLOOKUP(C40,fnEquipLibRange,3,FALSE),"&gt;&gt;&gt; Too Small &lt;&lt;&lt;",IF(G40&gt;VLOOKUP(C40,fnEquipLibRange,4,FALSE),"&gt;&gt;&gt; Too Large &lt;&lt;&lt;","Yes")))</f>
        <v/>
      </c>
      <c r="J40" s="100"/>
      <c r="K40" s="101" t="str">
        <f>IF(F40*G40=0,"",IFERROR(IF(F40*G40*$D$31/$D$28&lt;VLOOKUP(C40,fnEquipLibRange,3,FALSE),MAX(1,F40),MAX(ROUNDUP(F40*G40*$D$31/$D$28/VLOOKUP(C40,fnEquipLibRange,4,FALSE),0),F40)),""))</f>
        <v/>
      </c>
      <c r="L40" s="102" t="str">
        <f>IF(F40*G40=0,"",IFERROR(IF(F40*G40*$D$31/$D$28&lt;VLOOKUP(C40,fnEquipLibRange,3,FALSE),VLOOKUP(C40,fnEquipLibRange,3,FALSE),F40*G40*$D$31/$D$28/MAX(ROUNDUP(F40*G40*$D$31/$D$28/VLOOKUP(C40,fnEquipLibRange,4,FALSE),0),F40)),""))</f>
        <v/>
      </c>
      <c r="M40" s="102"/>
      <c r="N40" s="103" t="str">
        <f>IF($K40="","",IFERROR($K40*fnEquipCostCorr*fnEquipCostIndex*fnEquipConstMaterial,""))</f>
        <v/>
      </c>
      <c r="O40" s="104" t="str">
        <f ca="1">IFERROR(fnEquipInstFactor*N40,"")</f>
        <v/>
      </c>
      <c r="P40" s="105" t="str">
        <f ca="1">IFERROR(fnEquipLaborFactor*K40,"")</f>
        <v/>
      </c>
      <c r="Q40" s="19"/>
      <c r="S40" s="94" t="str">
        <f t="shared" si="0"/>
        <v/>
      </c>
      <c r="T40" s="11" t="str">
        <f ca="1">IFERROR(IF(INDEX(fnEquipLibRange,fnEquipRowNum,39)="","",INDEX(fnEquipLibRange,fnEquipRowNum,39)),"")</f>
        <v/>
      </c>
    </row>
    <row r="41" spans="2:27" hidden="1" outlineLevel="1">
      <c r="B41" s="16"/>
      <c r="C41" s="69"/>
      <c r="D41" s="70"/>
      <c r="E41" s="70" t="str">
        <f ca="1">IFERROR(VLOOKUP(C41,fnEquipLibRange,16,FALSE),"")</f>
        <v/>
      </c>
      <c r="F41" s="70"/>
      <c r="G41" s="130"/>
      <c r="H41" s="106" t="str">
        <f ca="1">IFERROR(VLOOKUP(C41,fnEquipLibRange,2,FALSE),"")</f>
        <v/>
      </c>
      <c r="I41" s="100" t="str">
        <f>IF(ISBLANK(G41),"",IF(G41&lt;VLOOKUP(C41,fnEquipLibRange,3,FALSE),"&gt;&gt;&gt; Too Small &lt;&lt;&lt;",IF(G41&gt;VLOOKUP(C41,fnEquipLibRange,4,FALSE),"&gt;&gt;&gt; Too Large &lt;&lt;&lt;","Yes")))</f>
        <v/>
      </c>
      <c r="J41" s="100"/>
      <c r="K41" s="101" t="str">
        <f>IF(F41*G41=0,"",IFERROR(IF(F41*G41*$D$31/$D$28&lt;VLOOKUP(C41,fnEquipLibRange,3,FALSE),MAX(1,F41),MAX(ROUNDUP(F41*G41*$D$31/$D$28/VLOOKUP(C41,fnEquipLibRange,4,FALSE),0),F41)),""))</f>
        <v/>
      </c>
      <c r="L41" s="102" t="str">
        <f>IF(F41*G41=0,"",IFERROR(IF(F41*G41*$D$31/$D$28&lt;VLOOKUP(C41,fnEquipLibRange,3,FALSE),VLOOKUP(C41,fnEquipLibRange,3,FALSE),F41*G41*$D$31/$D$28/MAX(ROUNDUP(F41*G41*$D$31/$D$28/VLOOKUP(C41,fnEquipLibRange,4,FALSE),0),F41)),""))</f>
        <v/>
      </c>
      <c r="M41" s="102"/>
      <c r="N41" s="103" t="str">
        <f>IF($K41="","",IFERROR($K41*fnEquipCostCorr*fnEquipCostIndex*fnEquipConstMaterial,""))</f>
        <v/>
      </c>
      <c r="O41" s="104" t="str">
        <f ca="1">IFERROR(fnEquipInstFactor*N41,"")</f>
        <v/>
      </c>
      <c r="P41" s="105" t="str">
        <f ca="1">IFERROR(fnEquipLaborFactor*K41,"")</f>
        <v/>
      </c>
      <c r="Q41" s="19"/>
      <c r="S41" s="94" t="str">
        <f t="shared" si="0"/>
        <v/>
      </c>
      <c r="T41" s="11" t="str">
        <f ca="1">IFERROR(IF(INDEX(fnEquipLibRange,fnEquipRowNum,39)="","",INDEX(fnEquipLibRange,fnEquipRowNum,39)),"")</f>
        <v/>
      </c>
    </row>
    <row r="42" spans="2:27" hidden="1" outlineLevel="1">
      <c r="B42" s="16"/>
      <c r="C42" s="69"/>
      <c r="D42" s="70"/>
      <c r="E42" s="70" t="str">
        <f ca="1">IFERROR(VLOOKUP(C42,fnEquipLibRange,16,FALSE),"")</f>
        <v/>
      </c>
      <c r="F42" s="70"/>
      <c r="G42" s="130"/>
      <c r="H42" s="106" t="str">
        <f ca="1">IFERROR(VLOOKUP(C42,fnEquipLibRange,2,FALSE),"")</f>
        <v/>
      </c>
      <c r="I42" s="100" t="str">
        <f>IF(ISBLANK(G42),"",IF(G42&lt;VLOOKUP(C42,fnEquipLibRange,3,FALSE),"&gt;&gt;&gt; Too Small &lt;&lt;&lt;",IF(G42&gt;VLOOKUP(C42,fnEquipLibRange,4,FALSE),"&gt;&gt;&gt; Too Large &lt;&lt;&lt;","Yes")))</f>
        <v/>
      </c>
      <c r="J42" s="100"/>
      <c r="K42" s="101" t="str">
        <f>IF(F42*G42=0,"",IFERROR(IF(F42*G42*$D$31/$D$28&lt;VLOOKUP(C42,fnEquipLibRange,3,FALSE),MAX(1,F42),MAX(ROUNDUP(F42*G42*$D$31/$D$28/VLOOKUP(C42,fnEquipLibRange,4,FALSE),0),F42)),""))</f>
        <v/>
      </c>
      <c r="L42" s="102" t="str">
        <f>IF(F42*G42=0,"",IFERROR(IF(F42*G42*$D$31/$D$28&lt;VLOOKUP(C42,fnEquipLibRange,3,FALSE),VLOOKUP(C42,fnEquipLibRange,3,FALSE),F42*G42*$D$31/$D$28/MAX(ROUNDUP(F42*G42*$D$31/$D$28/VLOOKUP(C42,fnEquipLibRange,4,FALSE),0),F42)),""))</f>
        <v/>
      </c>
      <c r="M42" s="102"/>
      <c r="N42" s="103" t="str">
        <f>IF($K42="","",IFERROR($K42*fnEquipCostCorr*fnEquipCostIndex*fnEquipConstMaterial,""))</f>
        <v/>
      </c>
      <c r="O42" s="104" t="str">
        <f ca="1">IFERROR(fnEquipInstFactor*N42,"")</f>
        <v/>
      </c>
      <c r="P42" s="105" t="str">
        <f ca="1">IFERROR(fnEquipLaborFactor*K42,"")</f>
        <v/>
      </c>
      <c r="Q42" s="19"/>
      <c r="S42" s="94" t="str">
        <f t="shared" si="0"/>
        <v/>
      </c>
      <c r="T42" s="11" t="str">
        <f ca="1">IFERROR(IF(INDEX(fnEquipLibRange,fnEquipRowNum,39)="","",INDEX(fnEquipLibRange,fnEquipRowNum,39)),"")</f>
        <v/>
      </c>
    </row>
    <row r="43" spans="2:27" hidden="1" outlineLevel="1">
      <c r="B43" s="16"/>
      <c r="C43" s="69"/>
      <c r="D43" s="70"/>
      <c r="E43" s="70" t="str">
        <f ca="1">IFERROR(VLOOKUP(C43,fnEquipLibRange,16,FALSE),"")</f>
        <v/>
      </c>
      <c r="F43" s="70"/>
      <c r="G43" s="130"/>
      <c r="H43" s="106" t="str">
        <f ca="1">IFERROR(VLOOKUP(C43,fnEquipLibRange,2,FALSE),"")</f>
        <v/>
      </c>
      <c r="I43" s="100" t="str">
        <f>IF(ISBLANK(G43),"",IF(G43&lt;VLOOKUP(C43,fnEquipLibRange,3,FALSE),"&gt;&gt;&gt; Too Small &lt;&lt;&lt;",IF(G43&gt;VLOOKUP(C43,fnEquipLibRange,4,FALSE),"&gt;&gt;&gt; Too Large &lt;&lt;&lt;","Yes")))</f>
        <v/>
      </c>
      <c r="J43" s="100"/>
      <c r="K43" s="101" t="str">
        <f>IF(F43*G43=0,"",IFERROR(IF(F43*G43*$D$31/$D$28&lt;VLOOKUP(C43,fnEquipLibRange,3,FALSE),MAX(1,F43),MAX(ROUNDUP(F43*G43*$D$31/$D$28/VLOOKUP(C43,fnEquipLibRange,4,FALSE),0),F43)),""))</f>
        <v/>
      </c>
      <c r="L43" s="102" t="str">
        <f>IF(F43*G43=0,"",IFERROR(IF(F43*G43*$D$31/$D$28&lt;VLOOKUP(C43,fnEquipLibRange,3,FALSE),VLOOKUP(C43,fnEquipLibRange,3,FALSE),F43*G43*$D$31/$D$28/MAX(ROUNDUP(F43*G43*$D$31/$D$28/VLOOKUP(C43,fnEquipLibRange,4,FALSE),0),F43)),""))</f>
        <v/>
      </c>
      <c r="M43" s="102"/>
      <c r="N43" s="103" t="str">
        <f>IF($K43="","",IFERROR($K43*fnEquipCostCorr*fnEquipCostIndex*fnEquipConstMaterial,""))</f>
        <v/>
      </c>
      <c r="O43" s="104" t="str">
        <f ca="1">IFERROR(fnEquipInstFactor*N43,"")</f>
        <v/>
      </c>
      <c r="P43" s="105" t="str">
        <f ca="1">IFERROR(fnEquipLaborFactor*K43,"")</f>
        <v/>
      </c>
      <c r="Q43" s="19"/>
      <c r="S43" s="94" t="str">
        <f t="shared" si="0"/>
        <v/>
      </c>
      <c r="T43" s="11" t="str">
        <f ca="1">IFERROR(IF(INDEX(fnEquipLibRange,fnEquipRowNum,39)="","",INDEX(fnEquipLibRange,fnEquipRowNum,39)),"")</f>
        <v/>
      </c>
    </row>
    <row r="44" spans="2:27" hidden="1" outlineLevel="1">
      <c r="B44" s="16"/>
      <c r="C44" s="69"/>
      <c r="D44" s="70"/>
      <c r="E44" s="70" t="str">
        <f ca="1">IFERROR(VLOOKUP(C44,fnEquipLibRange,16,FALSE),"")</f>
        <v/>
      </c>
      <c r="F44" s="70"/>
      <c r="G44" s="130"/>
      <c r="H44" s="106" t="str">
        <f ca="1">IFERROR(VLOOKUP(C44,fnEquipLibRange,2,FALSE),"")</f>
        <v/>
      </c>
      <c r="I44" s="100" t="str">
        <f>IF(ISBLANK(G44),"",IF(G44&lt;VLOOKUP(C44,fnEquipLibRange,3,FALSE),"&gt;&gt;&gt; Too Small &lt;&lt;&lt;",IF(G44&gt;VLOOKUP(C44,fnEquipLibRange,4,FALSE),"&gt;&gt;&gt; Too Large &lt;&lt;&lt;","Yes")))</f>
        <v/>
      </c>
      <c r="J44" s="100"/>
      <c r="K44" s="101" t="str">
        <f>IF(F44*G44=0,"",IFERROR(IF(F44*G44*$D$31/$D$28&lt;VLOOKUP(C44,fnEquipLibRange,3,FALSE),MAX(1,F44),MAX(ROUNDUP(F44*G44*$D$31/$D$28/VLOOKUP(C44,fnEquipLibRange,4,FALSE),0),F44)),""))</f>
        <v/>
      </c>
      <c r="L44" s="102" t="str">
        <f>IF(F44*G44=0,"",IFERROR(IF(F44*G44*$D$31/$D$28&lt;VLOOKUP(C44,fnEquipLibRange,3,FALSE),VLOOKUP(C44,fnEquipLibRange,3,FALSE),F44*G44*$D$31/$D$28/MAX(ROUNDUP(F44*G44*$D$31/$D$28/VLOOKUP(C44,fnEquipLibRange,4,FALSE),0),F44)),""))</f>
        <v/>
      </c>
      <c r="M44" s="102"/>
      <c r="N44" s="103" t="str">
        <f>IF($K44="","",IFERROR($K44*fnEquipCostCorr*fnEquipCostIndex*fnEquipConstMaterial,""))</f>
        <v/>
      </c>
      <c r="O44" s="104" t="str">
        <f ca="1">IFERROR(fnEquipInstFactor*N44,"")</f>
        <v/>
      </c>
      <c r="P44" s="105" t="str">
        <f ca="1">IFERROR(fnEquipLaborFactor*K44,"")</f>
        <v/>
      </c>
      <c r="Q44" s="19"/>
      <c r="S44" s="94" t="str">
        <f t="shared" si="0"/>
        <v/>
      </c>
      <c r="T44" s="11" t="str">
        <f ca="1">IFERROR(IF(INDEX(fnEquipLibRange,fnEquipRowNum,39)="","",INDEX(fnEquipLibRange,fnEquipRowNum,39)),"")</f>
        <v/>
      </c>
    </row>
    <row r="45" spans="2:27" hidden="1" outlineLevel="1">
      <c r="B45" s="16"/>
      <c r="C45" s="69"/>
      <c r="D45" s="70"/>
      <c r="E45" s="70" t="str">
        <f ca="1">IFERROR(VLOOKUP(C45,fnEquipLibRange,16,FALSE),"")</f>
        <v/>
      </c>
      <c r="F45" s="70"/>
      <c r="G45" s="130"/>
      <c r="H45" s="106" t="str">
        <f ca="1">IFERROR(VLOOKUP(C45,fnEquipLibRange,2,FALSE),"")</f>
        <v/>
      </c>
      <c r="I45" s="100" t="str">
        <f>IF(ISBLANK(G45),"",IF(G45&lt;VLOOKUP(C45,fnEquipLibRange,3,FALSE),"&gt;&gt;&gt; Too Small &lt;&lt;&lt;",IF(G45&gt;VLOOKUP(C45,fnEquipLibRange,4,FALSE),"&gt;&gt;&gt; Too Large &lt;&lt;&lt;","Yes")))</f>
        <v/>
      </c>
      <c r="J45" s="100"/>
      <c r="K45" s="101" t="str">
        <f>IF(F45*G45=0,"",IFERROR(IF(F45*G45*$D$31/$D$28&lt;VLOOKUP(C45,fnEquipLibRange,3,FALSE),MAX(1,F45),MAX(ROUNDUP(F45*G45*$D$31/$D$28/VLOOKUP(C45,fnEquipLibRange,4,FALSE),0),F45)),""))</f>
        <v/>
      </c>
      <c r="L45" s="102" t="str">
        <f>IF(F45*G45=0,"",IFERROR(IF(F45*G45*$D$31/$D$28&lt;VLOOKUP(C45,fnEquipLibRange,3,FALSE),VLOOKUP(C45,fnEquipLibRange,3,FALSE),F45*G45*$D$31/$D$28/MAX(ROUNDUP(F45*G45*$D$31/$D$28/VLOOKUP(C45,fnEquipLibRange,4,FALSE),0),F45)),""))</f>
        <v/>
      </c>
      <c r="M45" s="102"/>
      <c r="N45" s="103" t="str">
        <f>IF($K45="","",IFERROR($K45*fnEquipCostCorr*fnEquipCostIndex*fnEquipConstMaterial,""))</f>
        <v/>
      </c>
      <c r="O45" s="104" t="str">
        <f ca="1">IFERROR(fnEquipInstFactor*N45,"")</f>
        <v/>
      </c>
      <c r="P45" s="105" t="str">
        <f ca="1">IFERROR(fnEquipLaborFactor*K45,"")</f>
        <v/>
      </c>
      <c r="Q45" s="19"/>
      <c r="S45" s="94" t="str">
        <f t="shared" si="0"/>
        <v/>
      </c>
      <c r="T45" s="11" t="str">
        <f ca="1">IFERROR(IF(INDEX(fnEquipLibRange,fnEquipRowNum,39)="","",INDEX(fnEquipLibRange,fnEquipRowNum,39)),"")</f>
        <v/>
      </c>
    </row>
    <row r="46" spans="2:27" hidden="1" outlineLevel="1">
      <c r="B46" s="16"/>
      <c r="C46" s="69"/>
      <c r="D46" s="70"/>
      <c r="E46" s="70" t="str">
        <f ca="1">IFERROR(VLOOKUP(C46,fnEquipLibRange,16,FALSE),"")</f>
        <v/>
      </c>
      <c r="F46" s="70"/>
      <c r="G46" s="130"/>
      <c r="H46" s="106" t="str">
        <f ca="1">IFERROR(VLOOKUP(C46,fnEquipLibRange,2,FALSE),"")</f>
        <v/>
      </c>
      <c r="I46" s="100" t="str">
        <f>IF(ISBLANK(G46),"",IF(G46&lt;VLOOKUP(C46,fnEquipLibRange,3,FALSE),"&gt;&gt;&gt; Too Small &lt;&lt;&lt;",IF(G46&gt;VLOOKUP(C46,fnEquipLibRange,4,FALSE),"&gt;&gt;&gt; Too Large &lt;&lt;&lt;","Yes")))</f>
        <v/>
      </c>
      <c r="J46" s="100"/>
      <c r="K46" s="101" t="str">
        <f>IF(F46*G46=0,"",IFERROR(IF(F46*G46*$D$31/$D$28&lt;VLOOKUP(C46,fnEquipLibRange,3,FALSE),MAX(1,F46),MAX(ROUNDUP(F46*G46*$D$31/$D$28/VLOOKUP(C46,fnEquipLibRange,4,FALSE),0),F46)),""))</f>
        <v/>
      </c>
      <c r="L46" s="102" t="str">
        <f>IF(F46*G46=0,"",IFERROR(IF(F46*G46*$D$31/$D$28&lt;VLOOKUP(C46,fnEquipLibRange,3,FALSE),VLOOKUP(C46,fnEquipLibRange,3,FALSE),F46*G46*$D$31/$D$28/MAX(ROUNDUP(F46*G46*$D$31/$D$28/VLOOKUP(C46,fnEquipLibRange,4,FALSE),0),F46)),""))</f>
        <v/>
      </c>
      <c r="M46" s="102"/>
      <c r="N46" s="103" t="str">
        <f>IF($K46="","",IFERROR($K46*fnEquipCostCorr*fnEquipCostIndex*fnEquipConstMaterial,""))</f>
        <v/>
      </c>
      <c r="O46" s="104" t="str">
        <f ca="1">IFERROR(fnEquipInstFactor*N46,"")</f>
        <v/>
      </c>
      <c r="P46" s="105" t="str">
        <f ca="1">IFERROR(fnEquipLaborFactor*K46,"")</f>
        <v/>
      </c>
      <c r="Q46" s="19"/>
      <c r="S46" s="94" t="str">
        <f t="shared" si="0"/>
        <v/>
      </c>
      <c r="T46" s="11" t="str">
        <f ca="1">IFERROR(IF(INDEX(fnEquipLibRange,fnEquipRowNum,39)="","",INDEX(fnEquipLibRange,fnEquipRowNum,39)),"")</f>
        <v/>
      </c>
    </row>
    <row r="47" spans="2:27" hidden="1" outlineLevel="1">
      <c r="B47" s="16"/>
      <c r="C47" s="69"/>
      <c r="D47" s="70"/>
      <c r="E47" s="70" t="str">
        <f ca="1">IFERROR(VLOOKUP(C47,fnEquipLibRange,16,FALSE),"")</f>
        <v/>
      </c>
      <c r="F47" s="70"/>
      <c r="G47" s="130"/>
      <c r="H47" s="106" t="str">
        <f ca="1">IFERROR(VLOOKUP(C47,fnEquipLibRange,2,FALSE),"")</f>
        <v/>
      </c>
      <c r="I47" s="100" t="str">
        <f>IF(ISBLANK(G47),"",IF(G47&lt;VLOOKUP(C47,fnEquipLibRange,3,FALSE),"&gt;&gt;&gt; Too Small &lt;&lt;&lt;",IF(G47&gt;VLOOKUP(C47,fnEquipLibRange,4,FALSE),"&gt;&gt;&gt; Too Large &lt;&lt;&lt;","Yes")))</f>
        <v/>
      </c>
      <c r="J47" s="100"/>
      <c r="K47" s="101" t="str">
        <f>IF(F47*G47=0,"",IFERROR(IF(F47*G47*$D$31/$D$28&lt;VLOOKUP(C47,fnEquipLibRange,3,FALSE),MAX(1,F47),MAX(ROUNDUP(F47*G47*$D$31/$D$28/VLOOKUP(C47,fnEquipLibRange,4,FALSE),0),F47)),""))</f>
        <v/>
      </c>
      <c r="L47" s="102" t="str">
        <f>IF(F47*G47=0,"",IFERROR(IF(F47*G47*$D$31/$D$28&lt;VLOOKUP(C47,fnEquipLibRange,3,FALSE),VLOOKUP(C47,fnEquipLibRange,3,FALSE),F47*G47*$D$31/$D$28/MAX(ROUNDUP(F47*G47*$D$31/$D$28/VLOOKUP(C47,fnEquipLibRange,4,FALSE),0),F47)),""))</f>
        <v/>
      </c>
      <c r="M47" s="102"/>
      <c r="N47" s="103" t="str">
        <f>IF($K47="","",IFERROR($K47*fnEquipCostCorr*fnEquipCostIndex*fnEquipConstMaterial,""))</f>
        <v/>
      </c>
      <c r="O47" s="104" t="str">
        <f ca="1">IFERROR(fnEquipInstFactor*N47,"")</f>
        <v/>
      </c>
      <c r="P47" s="105" t="str">
        <f ca="1">IFERROR(fnEquipLaborFactor*K47,"")</f>
        <v/>
      </c>
      <c r="Q47" s="19"/>
      <c r="S47" s="94" t="str">
        <f t="shared" si="0"/>
        <v/>
      </c>
      <c r="T47" s="11" t="str">
        <f ca="1">IFERROR(IF(INDEX(fnEquipLibRange,fnEquipRowNum,39)="","",INDEX(fnEquipLibRange,fnEquipRowNum,39)),"")</f>
        <v/>
      </c>
    </row>
    <row r="48" spans="2:27" hidden="1" outlineLevel="1">
      <c r="B48" s="16"/>
      <c r="C48" s="69"/>
      <c r="D48" s="70"/>
      <c r="E48" s="70" t="str">
        <f ca="1">IFERROR(VLOOKUP(C48,fnEquipLibRange,16,FALSE),"")</f>
        <v/>
      </c>
      <c r="F48" s="70"/>
      <c r="G48" s="130"/>
      <c r="H48" s="106" t="str">
        <f ca="1">IFERROR(VLOOKUP(C48,fnEquipLibRange,2,FALSE),"")</f>
        <v/>
      </c>
      <c r="I48" s="100" t="str">
        <f>IF(ISBLANK(G48),"",IF(G48&lt;VLOOKUP(C48,fnEquipLibRange,3,FALSE),"&gt;&gt;&gt; Too Small &lt;&lt;&lt;",IF(G48&gt;VLOOKUP(C48,fnEquipLibRange,4,FALSE),"&gt;&gt;&gt; Too Large &lt;&lt;&lt;","Yes")))</f>
        <v/>
      </c>
      <c r="J48" s="100"/>
      <c r="K48" s="101" t="str">
        <f>IF(F48*G48=0,"",IFERROR(IF(F48*G48*$D$31/$D$28&lt;VLOOKUP(C48,fnEquipLibRange,3,FALSE),MAX(1,F48),MAX(ROUNDUP(F48*G48*$D$31/$D$28/VLOOKUP(C48,fnEquipLibRange,4,FALSE),0),F48)),""))</f>
        <v/>
      </c>
      <c r="L48" s="102" t="str">
        <f>IF(F48*G48=0,"",IFERROR(IF(F48*G48*$D$31/$D$28&lt;VLOOKUP(C48,fnEquipLibRange,3,FALSE),VLOOKUP(C48,fnEquipLibRange,3,FALSE),F48*G48*$D$31/$D$28/MAX(ROUNDUP(F48*G48*$D$31/$D$28/VLOOKUP(C48,fnEquipLibRange,4,FALSE),0),F48)),""))</f>
        <v/>
      </c>
      <c r="M48" s="102"/>
      <c r="N48" s="103" t="str">
        <f>IF($K48="","",IFERROR($K48*fnEquipCostCorr*fnEquipCostIndex*fnEquipConstMaterial,""))</f>
        <v/>
      </c>
      <c r="O48" s="104" t="str">
        <f ca="1">IFERROR(fnEquipInstFactor*N48,"")</f>
        <v/>
      </c>
      <c r="P48" s="105" t="str">
        <f ca="1">IFERROR(fnEquipLaborFactor*K48,"")</f>
        <v/>
      </c>
      <c r="Q48" s="19"/>
      <c r="S48" s="94" t="str">
        <f t="shared" si="0"/>
        <v/>
      </c>
      <c r="T48" s="11" t="str">
        <f ca="1">IFERROR(IF(INDEX(fnEquipLibRange,fnEquipRowNum,39)="","",INDEX(fnEquipLibRange,fnEquipRowNum,39)),"")</f>
        <v/>
      </c>
    </row>
    <row r="49" spans="2:20" hidden="1" outlineLevel="1">
      <c r="B49" s="16"/>
      <c r="C49" s="69"/>
      <c r="D49" s="70"/>
      <c r="E49" s="70" t="str">
        <f ca="1">IFERROR(VLOOKUP(C49,fnEquipLibRange,16,FALSE),"")</f>
        <v/>
      </c>
      <c r="F49" s="70"/>
      <c r="G49" s="130"/>
      <c r="H49" s="106" t="str">
        <f ca="1">IFERROR(VLOOKUP(C49,fnEquipLibRange,2,FALSE),"")</f>
        <v/>
      </c>
      <c r="I49" s="100" t="str">
        <f>IF(ISBLANK(G49),"",IF(G49&lt;VLOOKUP(C49,fnEquipLibRange,3,FALSE),"&gt;&gt;&gt; Too Small &lt;&lt;&lt;",IF(G49&gt;VLOOKUP(C49,fnEquipLibRange,4,FALSE),"&gt;&gt;&gt; Too Large &lt;&lt;&lt;","Yes")))</f>
        <v/>
      </c>
      <c r="J49" s="100"/>
      <c r="K49" s="101" t="str">
        <f>IF(F49*G49=0,"",IFERROR(IF(F49*G49*$D$31/$D$28&lt;VLOOKUP(C49,fnEquipLibRange,3,FALSE),MAX(1,F49),MAX(ROUNDUP(F49*G49*$D$31/$D$28/VLOOKUP(C49,fnEquipLibRange,4,FALSE),0),F49)),""))</f>
        <v/>
      </c>
      <c r="L49" s="102" t="str">
        <f>IF(F49*G49=0,"",IFERROR(IF(F49*G49*$D$31/$D$28&lt;VLOOKUP(C49,fnEquipLibRange,3,FALSE),VLOOKUP(C49,fnEquipLibRange,3,FALSE),F49*G49*$D$31/$D$28/MAX(ROUNDUP(F49*G49*$D$31/$D$28/VLOOKUP(C49,fnEquipLibRange,4,FALSE),0),F49)),""))</f>
        <v/>
      </c>
      <c r="M49" s="102"/>
      <c r="N49" s="103" t="str">
        <f>IF($K49="","",IFERROR($K49*fnEquipCostCorr*fnEquipCostIndex*fnEquipConstMaterial,""))</f>
        <v/>
      </c>
      <c r="O49" s="104" t="str">
        <f ca="1">IFERROR(fnEquipInstFactor*N49,"")</f>
        <v/>
      </c>
      <c r="P49" s="105" t="str">
        <f ca="1">IFERROR(fnEquipLaborFactor*K49,"")</f>
        <v/>
      </c>
      <c r="Q49" s="19"/>
      <c r="S49" s="94" t="str">
        <f t="shared" si="0"/>
        <v/>
      </c>
      <c r="T49" s="11" t="str">
        <f ca="1">IFERROR(IF(INDEX(fnEquipLibRange,fnEquipRowNum,39)="","",INDEX(fnEquipLibRange,fnEquipRowNum,39)),"")</f>
        <v/>
      </c>
    </row>
    <row r="50" spans="2:20" hidden="1" outlineLevel="1">
      <c r="B50" s="16"/>
      <c r="C50" s="69"/>
      <c r="D50" s="70"/>
      <c r="E50" s="70" t="str">
        <f ca="1">IFERROR(VLOOKUP(C50,fnEquipLibRange,16,FALSE),"")</f>
        <v/>
      </c>
      <c r="F50" s="70"/>
      <c r="G50" s="130"/>
      <c r="H50" s="106" t="str">
        <f ca="1">IFERROR(VLOOKUP(C50,fnEquipLibRange,2,FALSE),"")</f>
        <v/>
      </c>
      <c r="I50" s="100" t="str">
        <f>IF(ISBLANK(G50),"",IF(G50&lt;VLOOKUP(C50,fnEquipLibRange,3,FALSE),"&gt;&gt;&gt; Too Small &lt;&lt;&lt;",IF(G50&gt;VLOOKUP(C50,fnEquipLibRange,4,FALSE),"&gt;&gt;&gt; Too Large &lt;&lt;&lt;","Yes")))</f>
        <v/>
      </c>
      <c r="J50" s="100"/>
      <c r="K50" s="101" t="str">
        <f>IF(F50*G50=0,"",IFERROR(IF(F50*G50*$D$31/$D$28&lt;VLOOKUP(C50,fnEquipLibRange,3,FALSE),MAX(1,F50),MAX(ROUNDUP(F50*G50*$D$31/$D$28/VLOOKUP(C50,fnEquipLibRange,4,FALSE),0),F50)),""))</f>
        <v/>
      </c>
      <c r="L50" s="102" t="str">
        <f>IF(F50*G50=0,"",IFERROR(IF(F50*G50*$D$31/$D$28&lt;VLOOKUP(C50,fnEquipLibRange,3,FALSE),VLOOKUP(C50,fnEquipLibRange,3,FALSE),F50*G50*$D$31/$D$28/MAX(ROUNDUP(F50*G50*$D$31/$D$28/VLOOKUP(C50,fnEquipLibRange,4,FALSE),0),F50)),""))</f>
        <v/>
      </c>
      <c r="M50" s="102"/>
      <c r="N50" s="103" t="str">
        <f>IF($K50="","",IFERROR($K50*fnEquipCostCorr*fnEquipCostIndex*fnEquipConstMaterial,""))</f>
        <v/>
      </c>
      <c r="O50" s="104" t="str">
        <f ca="1">IFERROR(fnEquipInstFactor*N50,"")</f>
        <v/>
      </c>
      <c r="P50" s="105" t="str">
        <f ca="1">IFERROR(fnEquipLaborFactor*K50,"")</f>
        <v/>
      </c>
      <c r="Q50" s="19"/>
      <c r="S50" s="94" t="str">
        <f t="shared" si="0"/>
        <v/>
      </c>
      <c r="T50" s="11" t="str">
        <f ca="1">IFERROR(IF(INDEX(fnEquipLibRange,fnEquipRowNum,39)="","",INDEX(fnEquipLibRange,fnEquipRowNum,39)),"")</f>
        <v/>
      </c>
    </row>
    <row r="51" spans="2:20" hidden="1" outlineLevel="1">
      <c r="B51" s="16"/>
      <c r="C51" s="69"/>
      <c r="D51" s="70"/>
      <c r="E51" s="70" t="str">
        <f ca="1">IFERROR(VLOOKUP(C51,fnEquipLibRange,16,FALSE),"")</f>
        <v/>
      </c>
      <c r="F51" s="70"/>
      <c r="G51" s="130"/>
      <c r="H51" s="106" t="str">
        <f ca="1">IFERROR(VLOOKUP(C51,fnEquipLibRange,2,FALSE),"")</f>
        <v/>
      </c>
      <c r="I51" s="100" t="str">
        <f>IF(ISBLANK(G51),"",IF(G51&lt;VLOOKUP(C51,fnEquipLibRange,3,FALSE),"&gt;&gt;&gt; Too Small &lt;&lt;&lt;",IF(G51&gt;VLOOKUP(C51,fnEquipLibRange,4,FALSE),"&gt;&gt;&gt; Too Large &lt;&lt;&lt;","Yes")))</f>
        <v/>
      </c>
      <c r="J51" s="100"/>
      <c r="K51" s="101" t="str">
        <f>IF(F51*G51=0,"",IFERROR(IF(F51*G51*$D$31/$D$28&lt;VLOOKUP(C51,fnEquipLibRange,3,FALSE),MAX(1,F51),MAX(ROUNDUP(F51*G51*$D$31/$D$28/VLOOKUP(C51,fnEquipLibRange,4,FALSE),0),F51)),""))</f>
        <v/>
      </c>
      <c r="L51" s="102" t="str">
        <f>IF(F51*G51=0,"",IFERROR(IF(F51*G51*$D$31/$D$28&lt;VLOOKUP(C51,fnEquipLibRange,3,FALSE),VLOOKUP(C51,fnEquipLibRange,3,FALSE),F51*G51*$D$31/$D$28/MAX(ROUNDUP(F51*G51*$D$31/$D$28/VLOOKUP(C51,fnEquipLibRange,4,FALSE),0),F51)),""))</f>
        <v/>
      </c>
      <c r="M51" s="102"/>
      <c r="N51" s="103" t="str">
        <f>IF($K51="","",IFERROR($K51*fnEquipCostCorr*fnEquipCostIndex*fnEquipConstMaterial,""))</f>
        <v/>
      </c>
      <c r="O51" s="104" t="str">
        <f ca="1">IFERROR(fnEquipInstFactor*N51,"")</f>
        <v/>
      </c>
      <c r="P51" s="105" t="str">
        <f ca="1">IFERROR(fnEquipLaborFactor*K51,"")</f>
        <v/>
      </c>
      <c r="Q51" s="19"/>
      <c r="S51" s="94" t="str">
        <f t="shared" si="0"/>
        <v/>
      </c>
      <c r="T51" s="11" t="str">
        <f ca="1">IFERROR(IF(INDEX(fnEquipLibRange,fnEquipRowNum,39)="","",INDEX(fnEquipLibRange,fnEquipRowNum,39)),"")</f>
        <v/>
      </c>
    </row>
    <row r="52" spans="2:20" hidden="1" outlineLevel="1">
      <c r="B52" s="16"/>
      <c r="C52" s="69"/>
      <c r="D52" s="70"/>
      <c r="E52" s="70" t="str">
        <f ca="1">IFERROR(VLOOKUP(C52,fnEquipLibRange,16,FALSE),"")</f>
        <v/>
      </c>
      <c r="F52" s="70"/>
      <c r="G52" s="130"/>
      <c r="H52" s="106" t="str">
        <f ca="1">IFERROR(VLOOKUP(C52,fnEquipLibRange,2,FALSE),"")</f>
        <v/>
      </c>
      <c r="I52" s="100" t="str">
        <f>IF(ISBLANK(G52),"",IF(G52&lt;VLOOKUP(C52,fnEquipLibRange,3,FALSE),"&gt;&gt;&gt; Too Small &lt;&lt;&lt;",IF(G52&gt;VLOOKUP(C52,fnEquipLibRange,4,FALSE),"&gt;&gt;&gt; Too Large &lt;&lt;&lt;","Yes")))</f>
        <v/>
      </c>
      <c r="J52" s="100"/>
      <c r="K52" s="101" t="str">
        <f>IF(F52*G52=0,"",IFERROR(IF(F52*G52*$D$31/$D$28&lt;VLOOKUP(C52,fnEquipLibRange,3,FALSE),MAX(1,F52),MAX(ROUNDUP(F52*G52*$D$31/$D$28/VLOOKUP(C52,fnEquipLibRange,4,FALSE),0),F52)),""))</f>
        <v/>
      </c>
      <c r="L52" s="102" t="str">
        <f>IF(F52*G52=0,"",IFERROR(IF(F52*G52*$D$31/$D$28&lt;VLOOKUP(C52,fnEquipLibRange,3,FALSE),VLOOKUP(C52,fnEquipLibRange,3,FALSE),F52*G52*$D$31/$D$28/MAX(ROUNDUP(F52*G52*$D$31/$D$28/VLOOKUP(C52,fnEquipLibRange,4,FALSE),0),F52)),""))</f>
        <v/>
      </c>
      <c r="M52" s="102"/>
      <c r="N52" s="103" t="str">
        <f>IF($K52="","",IFERROR($K52*fnEquipCostCorr*fnEquipCostIndex*fnEquipConstMaterial,""))</f>
        <v/>
      </c>
      <c r="O52" s="104" t="str">
        <f ca="1">IFERROR(fnEquipInstFactor*N52,"")</f>
        <v/>
      </c>
      <c r="P52" s="105" t="str">
        <f ca="1">IFERROR(fnEquipLaborFactor*K52,"")</f>
        <v/>
      </c>
      <c r="Q52" s="19"/>
      <c r="S52" s="94" t="str">
        <f t="shared" si="0"/>
        <v/>
      </c>
      <c r="T52" s="11" t="str">
        <f ca="1">IFERROR(IF(INDEX(fnEquipLibRange,fnEquipRowNum,39)="","",INDEX(fnEquipLibRange,fnEquipRowNum,39)),"")</f>
        <v/>
      </c>
    </row>
    <row r="53" spans="2:20" hidden="1" outlineLevel="1">
      <c r="B53" s="16"/>
      <c r="C53" s="69"/>
      <c r="D53" s="70"/>
      <c r="E53" s="70" t="str">
        <f ca="1">IFERROR(VLOOKUP(C53,fnEquipLibRange,16,FALSE),"")</f>
        <v/>
      </c>
      <c r="F53" s="70"/>
      <c r="G53" s="130"/>
      <c r="H53" s="106" t="str">
        <f ca="1">IFERROR(VLOOKUP(C53,fnEquipLibRange,2,FALSE),"")</f>
        <v/>
      </c>
      <c r="I53" s="100" t="str">
        <f>IF(ISBLANK(G53),"",IF(G53&lt;VLOOKUP(C53,fnEquipLibRange,3,FALSE),"&gt;&gt;&gt; Too Small &lt;&lt;&lt;",IF(G53&gt;VLOOKUP(C53,fnEquipLibRange,4,FALSE),"&gt;&gt;&gt; Too Large &lt;&lt;&lt;","Yes")))</f>
        <v/>
      </c>
      <c r="J53" s="100"/>
      <c r="K53" s="101" t="str">
        <f>IF(F53*G53=0,"",IFERROR(IF(F53*G53*$D$31/$D$28&lt;VLOOKUP(C53,fnEquipLibRange,3,FALSE),MAX(1,F53),MAX(ROUNDUP(F53*G53*$D$31/$D$28/VLOOKUP(C53,fnEquipLibRange,4,FALSE),0),F53)),""))</f>
        <v/>
      </c>
      <c r="L53" s="102" t="str">
        <f>IF(F53*G53=0,"",IFERROR(IF(F53*G53*$D$31/$D$28&lt;VLOOKUP(C53,fnEquipLibRange,3,FALSE),VLOOKUP(C53,fnEquipLibRange,3,FALSE),F53*G53*$D$31/$D$28/MAX(ROUNDUP(F53*G53*$D$31/$D$28/VLOOKUP(C53,fnEquipLibRange,4,FALSE),0),F53)),""))</f>
        <v/>
      </c>
      <c r="M53" s="102"/>
      <c r="N53" s="103" t="str">
        <f>IF($K53="","",IFERROR($K53*fnEquipCostCorr*fnEquipCostIndex*fnEquipConstMaterial,""))</f>
        <v/>
      </c>
      <c r="O53" s="104" t="str">
        <f ca="1">IFERROR(fnEquipInstFactor*N53,"")</f>
        <v/>
      </c>
      <c r="P53" s="105" t="str">
        <f ca="1">IFERROR(fnEquipLaborFactor*K53,"")</f>
        <v/>
      </c>
      <c r="Q53" s="19"/>
      <c r="S53" s="94" t="str">
        <f t="shared" si="0"/>
        <v/>
      </c>
      <c r="T53" s="11" t="str">
        <f ca="1">IFERROR(IF(INDEX(fnEquipLibRange,fnEquipRowNum,39)="","",INDEX(fnEquipLibRange,fnEquipRowNum,39)),"")</f>
        <v/>
      </c>
    </row>
    <row r="54" spans="2:20" hidden="1" outlineLevel="1">
      <c r="B54" s="16"/>
      <c r="C54" s="69"/>
      <c r="D54" s="70"/>
      <c r="E54" s="70" t="str">
        <f ca="1">IFERROR(VLOOKUP(C54,fnEquipLibRange,16,FALSE),"")</f>
        <v/>
      </c>
      <c r="F54" s="70"/>
      <c r="G54" s="130"/>
      <c r="H54" s="106" t="str">
        <f ca="1">IFERROR(VLOOKUP(C54,fnEquipLibRange,2,FALSE),"")</f>
        <v/>
      </c>
      <c r="I54" s="100" t="str">
        <f>IF(ISBLANK(G54),"",IF(G54&lt;VLOOKUP(C54,fnEquipLibRange,3,FALSE),"&gt;&gt;&gt; Too Small &lt;&lt;&lt;",IF(G54&gt;VLOOKUP(C54,fnEquipLibRange,4,FALSE),"&gt;&gt;&gt; Too Large &lt;&lt;&lt;","Yes")))</f>
        <v/>
      </c>
      <c r="J54" s="100"/>
      <c r="K54" s="101" t="str">
        <f>IF(F54*G54=0,"",IFERROR(IF(F54*G54*$D$31/$D$28&lt;VLOOKUP(C54,fnEquipLibRange,3,FALSE),MAX(1,F54),MAX(ROUNDUP(F54*G54*$D$31/$D$28/VLOOKUP(C54,fnEquipLibRange,4,FALSE),0),F54)),""))</f>
        <v/>
      </c>
      <c r="L54" s="102" t="str">
        <f>IF(F54*G54=0,"",IFERROR(IF(F54*G54*$D$31/$D$28&lt;VLOOKUP(C54,fnEquipLibRange,3,FALSE),VLOOKUP(C54,fnEquipLibRange,3,FALSE),F54*G54*$D$31/$D$28/MAX(ROUNDUP(F54*G54*$D$31/$D$28/VLOOKUP(C54,fnEquipLibRange,4,FALSE),0),F54)),""))</f>
        <v/>
      </c>
      <c r="M54" s="102"/>
      <c r="N54" s="103" t="str">
        <f>IF($K54="","",IFERROR($K54*fnEquipCostCorr*fnEquipCostIndex*fnEquipConstMaterial,""))</f>
        <v/>
      </c>
      <c r="O54" s="104" t="str">
        <f ca="1">IFERROR(fnEquipInstFactor*N54,"")</f>
        <v/>
      </c>
      <c r="P54" s="105" t="str">
        <f ca="1">IFERROR(fnEquipLaborFactor*K54,"")</f>
        <v/>
      </c>
      <c r="Q54" s="19"/>
      <c r="S54" s="94" t="str">
        <f t="shared" si="0"/>
        <v/>
      </c>
      <c r="T54" s="11" t="str">
        <f ca="1">IFERROR(IF(INDEX(fnEquipLibRange,fnEquipRowNum,39)="","",INDEX(fnEquipLibRange,fnEquipRowNum,39)),"")</f>
        <v/>
      </c>
    </row>
    <row r="55" spans="2:20" hidden="1" outlineLevel="1">
      <c r="B55" s="16"/>
      <c r="C55" s="69"/>
      <c r="D55" s="70"/>
      <c r="E55" s="70" t="str">
        <f ca="1">IFERROR(VLOOKUP(C55,fnEquipLibRange,16,FALSE),"")</f>
        <v/>
      </c>
      <c r="F55" s="70"/>
      <c r="G55" s="130"/>
      <c r="H55" s="106" t="str">
        <f ca="1">IFERROR(VLOOKUP(C55,fnEquipLibRange,2,FALSE),"")</f>
        <v/>
      </c>
      <c r="I55" s="100" t="str">
        <f>IF(ISBLANK(G55),"",IF(G55&lt;VLOOKUP(C55,fnEquipLibRange,3,FALSE),"&gt;&gt;&gt; Too Small &lt;&lt;&lt;",IF(G55&gt;VLOOKUP(C55,fnEquipLibRange,4,FALSE),"&gt;&gt;&gt; Too Large &lt;&lt;&lt;","Yes")))</f>
        <v/>
      </c>
      <c r="J55" s="100"/>
      <c r="K55" s="101" t="str">
        <f>IF(F55*G55=0,"",IFERROR(IF(F55*G55*$D$31/$D$28&lt;VLOOKUP(C55,fnEquipLibRange,3,FALSE),MAX(1,F55),MAX(ROUNDUP(F55*G55*$D$31/$D$28/VLOOKUP(C55,fnEquipLibRange,4,FALSE),0),F55)),""))</f>
        <v/>
      </c>
      <c r="L55" s="102" t="str">
        <f>IF(F55*G55=0,"",IFERROR(IF(F55*G55*$D$31/$D$28&lt;VLOOKUP(C55,fnEquipLibRange,3,FALSE),VLOOKUP(C55,fnEquipLibRange,3,FALSE),F55*G55*$D$31/$D$28/MAX(ROUNDUP(F55*G55*$D$31/$D$28/VLOOKUP(C55,fnEquipLibRange,4,FALSE),0),F55)),""))</f>
        <v/>
      </c>
      <c r="M55" s="102"/>
      <c r="N55" s="103" t="str">
        <f>IF($K55="","",IFERROR($K55*fnEquipCostCorr*fnEquipCostIndex*fnEquipConstMaterial,""))</f>
        <v/>
      </c>
      <c r="O55" s="104" t="str">
        <f ca="1">IFERROR(fnEquipInstFactor*N55,"")</f>
        <v/>
      </c>
      <c r="P55" s="105" t="str">
        <f ca="1">IFERROR(fnEquipLaborFactor*K55,"")</f>
        <v/>
      </c>
      <c r="Q55" s="19"/>
      <c r="S55" s="94" t="str">
        <f t="shared" si="0"/>
        <v/>
      </c>
      <c r="T55" s="11" t="str">
        <f ca="1">IFERROR(IF(INDEX(fnEquipLibRange,fnEquipRowNum,39)="","",INDEX(fnEquipLibRange,fnEquipRowNum,39)),"")</f>
        <v/>
      </c>
    </row>
    <row r="56" spans="2:20" hidden="1" outlineLevel="1">
      <c r="B56" s="16"/>
      <c r="C56" s="69"/>
      <c r="D56" s="70"/>
      <c r="E56" s="70" t="str">
        <f ca="1">IFERROR(VLOOKUP(C56,fnEquipLibRange,16,FALSE),"")</f>
        <v/>
      </c>
      <c r="F56" s="70"/>
      <c r="G56" s="130"/>
      <c r="H56" s="106" t="str">
        <f ca="1">IFERROR(VLOOKUP(C56,fnEquipLibRange,2,FALSE),"")</f>
        <v/>
      </c>
      <c r="I56" s="100" t="str">
        <f>IF(ISBLANK(G56),"",IF(G56&lt;VLOOKUP(C56,fnEquipLibRange,3,FALSE),"&gt;&gt;&gt; Too Small &lt;&lt;&lt;",IF(G56&gt;VLOOKUP(C56,fnEquipLibRange,4,FALSE),"&gt;&gt;&gt; Too Large &lt;&lt;&lt;","Yes")))</f>
        <v/>
      </c>
      <c r="J56" s="100"/>
      <c r="K56" s="101" t="str">
        <f>IF(F56*G56=0,"",IFERROR(IF(F56*G56*$D$31/$D$28&lt;VLOOKUP(C56,fnEquipLibRange,3,FALSE),MAX(1,F56),MAX(ROUNDUP(F56*G56*$D$31/$D$28/VLOOKUP(C56,fnEquipLibRange,4,FALSE),0),F56)),""))</f>
        <v/>
      </c>
      <c r="L56" s="102" t="str">
        <f>IF(F56*G56=0,"",IFERROR(IF(F56*G56*$D$31/$D$28&lt;VLOOKUP(C56,fnEquipLibRange,3,FALSE),VLOOKUP(C56,fnEquipLibRange,3,FALSE),F56*G56*$D$31/$D$28/MAX(ROUNDUP(F56*G56*$D$31/$D$28/VLOOKUP(C56,fnEquipLibRange,4,FALSE),0),F56)),""))</f>
        <v/>
      </c>
      <c r="M56" s="102"/>
      <c r="N56" s="103" t="str">
        <f>IF($K56="","",IFERROR($K56*fnEquipCostCorr*fnEquipCostIndex*fnEquipConstMaterial,""))</f>
        <v/>
      </c>
      <c r="O56" s="104" t="str">
        <f ca="1">IFERROR(fnEquipInstFactor*N56,"")</f>
        <v/>
      </c>
      <c r="P56" s="105" t="str">
        <f ca="1">IFERROR(fnEquipLaborFactor*K56,"")</f>
        <v/>
      </c>
      <c r="Q56" s="19"/>
      <c r="S56" s="94" t="str">
        <f t="shared" si="0"/>
        <v/>
      </c>
      <c r="T56" s="11" t="str">
        <f ca="1">IFERROR(IF(INDEX(fnEquipLibRange,fnEquipRowNum,39)="","",INDEX(fnEquipLibRange,fnEquipRowNum,39)),"")</f>
        <v/>
      </c>
    </row>
    <row r="57" spans="2:20" hidden="1" outlineLevel="1">
      <c r="B57" s="16"/>
      <c r="C57" s="69"/>
      <c r="D57" s="70"/>
      <c r="E57" s="70" t="str">
        <f ca="1">IFERROR(VLOOKUP(C57,fnEquipLibRange,16,FALSE),"")</f>
        <v/>
      </c>
      <c r="F57" s="70"/>
      <c r="G57" s="130"/>
      <c r="H57" s="106" t="str">
        <f ca="1">IFERROR(VLOOKUP(C57,fnEquipLibRange,2,FALSE),"")</f>
        <v/>
      </c>
      <c r="I57" s="100" t="str">
        <f>IF(ISBLANK(G57),"",IF(G57&lt;VLOOKUP(C57,fnEquipLibRange,3,FALSE),"&gt;&gt;&gt; Too Small &lt;&lt;&lt;",IF(G57&gt;VLOOKUP(C57,fnEquipLibRange,4,FALSE),"&gt;&gt;&gt; Too Large &lt;&lt;&lt;","Yes")))</f>
        <v/>
      </c>
      <c r="J57" s="100"/>
      <c r="K57" s="101" t="str">
        <f>IF(F57*G57=0,"",IFERROR(IF(F57*G57*$D$31/$D$28&lt;VLOOKUP(C57,fnEquipLibRange,3,FALSE),MAX(1,F57),MAX(ROUNDUP(F57*G57*$D$31/$D$28/VLOOKUP(C57,fnEquipLibRange,4,FALSE),0),F57)),""))</f>
        <v/>
      </c>
      <c r="L57" s="102" t="str">
        <f>IF(F57*G57=0,"",IFERROR(IF(F57*G57*$D$31/$D$28&lt;VLOOKUP(C57,fnEquipLibRange,3,FALSE),VLOOKUP(C57,fnEquipLibRange,3,FALSE),F57*G57*$D$31/$D$28/MAX(ROUNDUP(F57*G57*$D$31/$D$28/VLOOKUP(C57,fnEquipLibRange,4,FALSE),0),F57)),""))</f>
        <v/>
      </c>
      <c r="M57" s="102"/>
      <c r="N57" s="103" t="str">
        <f>IF($K57="","",IFERROR($K57*fnEquipCostCorr*fnEquipCostIndex*fnEquipConstMaterial,""))</f>
        <v/>
      </c>
      <c r="O57" s="104" t="str">
        <f ca="1">IFERROR(fnEquipInstFactor*N57,"")</f>
        <v/>
      </c>
      <c r="P57" s="105" t="str">
        <f ca="1">IFERROR(fnEquipLaborFactor*K57,"")</f>
        <v/>
      </c>
      <c r="Q57" s="19"/>
      <c r="S57" s="94" t="str">
        <f t="shared" si="0"/>
        <v/>
      </c>
      <c r="T57" s="11" t="str">
        <f ca="1">IFERROR(IF(INDEX(fnEquipLibRange,fnEquipRowNum,39)="","",INDEX(fnEquipLibRange,fnEquipRowNum,39)),"")</f>
        <v/>
      </c>
    </row>
    <row r="58" spans="2:20" hidden="1" outlineLevel="1">
      <c r="B58" s="16"/>
      <c r="C58" s="69"/>
      <c r="D58" s="70"/>
      <c r="E58" s="70" t="str">
        <f ca="1">IFERROR(VLOOKUP(C58,fnEquipLibRange,16,FALSE),"")</f>
        <v/>
      </c>
      <c r="F58" s="70"/>
      <c r="G58" s="130"/>
      <c r="H58" s="106" t="str">
        <f ca="1">IFERROR(VLOOKUP(C58,fnEquipLibRange,2,FALSE),"")</f>
        <v/>
      </c>
      <c r="I58" s="100" t="str">
        <f>IF(ISBLANK(G58),"",IF(G58&lt;VLOOKUP(C58,fnEquipLibRange,3,FALSE),"&gt;&gt;&gt; Too Small &lt;&lt;&lt;",IF(G58&gt;VLOOKUP(C58,fnEquipLibRange,4,FALSE),"&gt;&gt;&gt; Too Large &lt;&lt;&lt;","Yes")))</f>
        <v/>
      </c>
      <c r="J58" s="100"/>
      <c r="K58" s="101" t="str">
        <f>IF(F58*G58=0,"",IFERROR(IF(F58*G58*$D$31/$D$28&lt;VLOOKUP(C58,fnEquipLibRange,3,FALSE),MAX(1,F58),MAX(ROUNDUP(F58*G58*$D$31/$D$28/VLOOKUP(C58,fnEquipLibRange,4,FALSE),0),F58)),""))</f>
        <v/>
      </c>
      <c r="L58" s="102" t="str">
        <f>IF(F58*G58=0,"",IFERROR(IF(F58*G58*$D$31/$D$28&lt;VLOOKUP(C58,fnEquipLibRange,3,FALSE),VLOOKUP(C58,fnEquipLibRange,3,FALSE),F58*G58*$D$31/$D$28/MAX(ROUNDUP(F58*G58*$D$31/$D$28/VLOOKUP(C58,fnEquipLibRange,4,FALSE),0),F58)),""))</f>
        <v/>
      </c>
      <c r="M58" s="102"/>
      <c r="N58" s="103" t="str">
        <f>IF($K58="","",IFERROR($K58*fnEquipCostCorr*fnEquipCostIndex*fnEquipConstMaterial,""))</f>
        <v/>
      </c>
      <c r="O58" s="104" t="str">
        <f ca="1">IFERROR(fnEquipInstFactor*N58,"")</f>
        <v/>
      </c>
      <c r="P58" s="105" t="str">
        <f ca="1">IFERROR(fnEquipLaborFactor*K58,"")</f>
        <v/>
      </c>
      <c r="Q58" s="19"/>
      <c r="S58" s="94" t="str">
        <f t="shared" si="0"/>
        <v/>
      </c>
      <c r="T58" s="11" t="str">
        <f ca="1">IFERROR(IF(INDEX(fnEquipLibRange,fnEquipRowNum,39)="","",INDEX(fnEquipLibRange,fnEquipRowNum,39)),"")</f>
        <v/>
      </c>
    </row>
    <row r="59" spans="2:20" hidden="1" outlineLevel="1">
      <c r="B59" s="16"/>
      <c r="C59" s="69"/>
      <c r="D59" s="70"/>
      <c r="E59" s="70" t="str">
        <f ca="1">IFERROR(VLOOKUP(C59,fnEquipLibRange,16,FALSE),"")</f>
        <v/>
      </c>
      <c r="F59" s="70"/>
      <c r="G59" s="130"/>
      <c r="H59" s="106" t="str">
        <f ca="1">IFERROR(VLOOKUP(C59,fnEquipLibRange,2,FALSE),"")</f>
        <v/>
      </c>
      <c r="I59" s="100" t="str">
        <f>IF(ISBLANK(G59),"",IF(G59&lt;VLOOKUP(C59,fnEquipLibRange,3,FALSE),"&gt;&gt;&gt; Too Small &lt;&lt;&lt;",IF(G59&gt;VLOOKUP(C59,fnEquipLibRange,4,FALSE),"&gt;&gt;&gt; Too Large &lt;&lt;&lt;","Yes")))</f>
        <v/>
      </c>
      <c r="J59" s="100"/>
      <c r="K59" s="101" t="str">
        <f>IF(F59*G59=0,"",IFERROR(IF(F59*G59*$D$31/$D$28&lt;VLOOKUP(C59,fnEquipLibRange,3,FALSE),MAX(1,F59),MAX(ROUNDUP(F59*G59*$D$31/$D$28/VLOOKUP(C59,fnEquipLibRange,4,FALSE),0),F59)),""))</f>
        <v/>
      </c>
      <c r="L59" s="102" t="str">
        <f>IF(F59*G59=0,"",IFERROR(IF(F59*G59*$D$31/$D$28&lt;VLOOKUP(C59,fnEquipLibRange,3,FALSE),VLOOKUP(C59,fnEquipLibRange,3,FALSE),F59*G59*$D$31/$D$28/MAX(ROUNDUP(F59*G59*$D$31/$D$28/VLOOKUP(C59,fnEquipLibRange,4,FALSE),0),F59)),""))</f>
        <v/>
      </c>
      <c r="M59" s="102"/>
      <c r="N59" s="103" t="str">
        <f>IF($K59="","",IFERROR($K59*fnEquipCostCorr*fnEquipCostIndex*fnEquipConstMaterial,""))</f>
        <v/>
      </c>
      <c r="O59" s="104" t="str">
        <f ca="1">IFERROR(fnEquipInstFactor*N59,"")</f>
        <v/>
      </c>
      <c r="P59" s="105" t="str">
        <f ca="1">IFERROR(fnEquipLaborFactor*K59,"")</f>
        <v/>
      </c>
      <c r="Q59" s="19"/>
      <c r="S59" s="94" t="str">
        <f t="shared" si="0"/>
        <v/>
      </c>
      <c r="T59" s="11" t="str">
        <f ca="1">IFERROR(IF(INDEX(fnEquipLibRange,fnEquipRowNum,39)="","",INDEX(fnEquipLibRange,fnEquipRowNum,39)),"")</f>
        <v/>
      </c>
    </row>
    <row r="60" spans="2:20" hidden="1" outlineLevel="1">
      <c r="B60" s="16"/>
      <c r="C60" s="69"/>
      <c r="D60" s="70"/>
      <c r="E60" s="70" t="str">
        <f ca="1">IFERROR(VLOOKUP(C60,fnEquipLibRange,16,FALSE),"")</f>
        <v/>
      </c>
      <c r="F60" s="70"/>
      <c r="G60" s="130"/>
      <c r="H60" s="106" t="str">
        <f ca="1">IFERROR(VLOOKUP(C60,fnEquipLibRange,2,FALSE),"")</f>
        <v/>
      </c>
      <c r="I60" s="100" t="str">
        <f>IF(ISBLANK(G60),"",IF(G60&lt;VLOOKUP(C60,fnEquipLibRange,3,FALSE),"&gt;&gt;&gt; Too Small &lt;&lt;&lt;",IF(G60&gt;VLOOKUP(C60,fnEquipLibRange,4,FALSE),"&gt;&gt;&gt; Too Large &lt;&lt;&lt;","Yes")))</f>
        <v/>
      </c>
      <c r="J60" s="100"/>
      <c r="K60" s="101" t="str">
        <f>IF(F60*G60=0,"",IFERROR(IF(F60*G60*$D$31/$D$28&lt;VLOOKUP(C60,fnEquipLibRange,3,FALSE),MAX(1,F60),MAX(ROUNDUP(F60*G60*$D$31/$D$28/VLOOKUP(C60,fnEquipLibRange,4,FALSE),0),F60)),""))</f>
        <v/>
      </c>
      <c r="L60" s="102" t="str">
        <f>IF(F60*G60=0,"",IFERROR(IF(F60*G60*$D$31/$D$28&lt;VLOOKUP(C60,fnEquipLibRange,3,FALSE),VLOOKUP(C60,fnEquipLibRange,3,FALSE),F60*G60*$D$31/$D$28/MAX(ROUNDUP(F60*G60*$D$31/$D$28/VLOOKUP(C60,fnEquipLibRange,4,FALSE),0),F60)),""))</f>
        <v/>
      </c>
      <c r="M60" s="102"/>
      <c r="N60" s="103" t="str">
        <f>IF($K60="","",IFERROR($K60*fnEquipCostCorr*fnEquipCostIndex*fnEquipConstMaterial,""))</f>
        <v/>
      </c>
      <c r="O60" s="104" t="str">
        <f ca="1">IFERROR(fnEquipInstFactor*N60,"")</f>
        <v/>
      </c>
      <c r="P60" s="105" t="str">
        <f ca="1">IFERROR(fnEquipLaborFactor*K60,"")</f>
        <v/>
      </c>
      <c r="Q60" s="19"/>
      <c r="S60" s="94" t="str">
        <f t="shared" si="0"/>
        <v/>
      </c>
      <c r="T60" s="11" t="str">
        <f ca="1">IFERROR(IF(INDEX(fnEquipLibRange,fnEquipRowNum,39)="","",INDEX(fnEquipLibRange,fnEquipRowNum,39)),"")</f>
        <v/>
      </c>
    </row>
    <row r="61" spans="2:20" hidden="1" outlineLevel="1">
      <c r="B61" s="16"/>
      <c r="C61" s="69"/>
      <c r="D61" s="70"/>
      <c r="E61" s="70" t="str">
        <f ca="1">IFERROR(VLOOKUP(C61,fnEquipLibRange,16,FALSE),"")</f>
        <v/>
      </c>
      <c r="F61" s="70"/>
      <c r="G61" s="130"/>
      <c r="H61" s="106" t="str">
        <f ca="1">IFERROR(VLOOKUP(C61,fnEquipLibRange,2,FALSE),"")</f>
        <v/>
      </c>
      <c r="I61" s="100" t="str">
        <f>IF(ISBLANK(G61),"",IF(G61&lt;VLOOKUP(C61,fnEquipLibRange,3,FALSE),"&gt;&gt;&gt; Too Small &lt;&lt;&lt;",IF(G61&gt;VLOOKUP(C61,fnEquipLibRange,4,FALSE),"&gt;&gt;&gt; Too Large &lt;&lt;&lt;","Yes")))</f>
        <v/>
      </c>
      <c r="J61" s="100"/>
      <c r="K61" s="101" t="str">
        <f>IF(F61*G61=0,"",IFERROR(IF(F61*G61*$D$31/$D$28&lt;VLOOKUP(C61,fnEquipLibRange,3,FALSE),MAX(1,F61),MAX(ROUNDUP(F61*G61*$D$31/$D$28/VLOOKUP(C61,fnEquipLibRange,4,FALSE),0),F61)),""))</f>
        <v/>
      </c>
      <c r="L61" s="102" t="str">
        <f>IF(F61*G61=0,"",IFERROR(IF(F61*G61*$D$31/$D$28&lt;VLOOKUP(C61,fnEquipLibRange,3,FALSE),VLOOKUP(C61,fnEquipLibRange,3,FALSE),F61*G61*$D$31/$D$28/MAX(ROUNDUP(F61*G61*$D$31/$D$28/VLOOKUP(C61,fnEquipLibRange,4,FALSE),0),F61)),""))</f>
        <v/>
      </c>
      <c r="M61" s="102"/>
      <c r="N61" s="103" t="str">
        <f>IF($K61="","",IFERROR($K61*fnEquipCostCorr*fnEquipCostIndex*fnEquipConstMaterial,""))</f>
        <v/>
      </c>
      <c r="O61" s="104" t="str">
        <f ca="1">IFERROR(fnEquipInstFactor*N61,"")</f>
        <v/>
      </c>
      <c r="P61" s="105" t="str">
        <f ca="1">IFERROR(fnEquipLaborFactor*K61,"")</f>
        <v/>
      </c>
      <c r="Q61" s="19"/>
      <c r="S61" s="94" t="str">
        <f t="shared" si="0"/>
        <v/>
      </c>
      <c r="T61" s="11" t="str">
        <f ca="1">IFERROR(IF(INDEX(fnEquipLibRange,fnEquipRowNum,39)="","",INDEX(fnEquipLibRange,fnEquipRowNum,39)),"")</f>
        <v/>
      </c>
    </row>
    <row r="62" spans="2:20" hidden="1" outlineLevel="1">
      <c r="B62" s="16"/>
      <c r="C62" s="69"/>
      <c r="D62" s="70"/>
      <c r="E62" s="70" t="str">
        <f ca="1">IFERROR(VLOOKUP(C62,fnEquipLibRange,16,FALSE),"")</f>
        <v/>
      </c>
      <c r="F62" s="70"/>
      <c r="G62" s="130"/>
      <c r="H62" s="106" t="str">
        <f ca="1">IFERROR(VLOOKUP(C62,fnEquipLibRange,2,FALSE),"")</f>
        <v/>
      </c>
      <c r="I62" s="100" t="str">
        <f>IF(ISBLANK(G62),"",IF(G62&lt;VLOOKUP(C62,fnEquipLibRange,3,FALSE),"&gt;&gt;&gt; Too Small &lt;&lt;&lt;",IF(G62&gt;VLOOKUP(C62,fnEquipLibRange,4,FALSE),"&gt;&gt;&gt; Too Large &lt;&lt;&lt;","Yes")))</f>
        <v/>
      </c>
      <c r="J62" s="100"/>
      <c r="K62" s="101" t="str">
        <f>IF(F62*G62=0,"",IFERROR(IF(F62*G62*$D$31/$D$28&lt;VLOOKUP(C62,fnEquipLibRange,3,FALSE),MAX(1,F62),MAX(ROUNDUP(F62*G62*$D$31/$D$28/VLOOKUP(C62,fnEquipLibRange,4,FALSE),0),F62)),""))</f>
        <v/>
      </c>
      <c r="L62" s="102" t="str">
        <f>IF(F62*G62=0,"",IFERROR(IF(F62*G62*$D$31/$D$28&lt;VLOOKUP(C62,fnEquipLibRange,3,FALSE),VLOOKUP(C62,fnEquipLibRange,3,FALSE),F62*G62*$D$31/$D$28/MAX(ROUNDUP(F62*G62*$D$31/$D$28/VLOOKUP(C62,fnEquipLibRange,4,FALSE),0),F62)),""))</f>
        <v/>
      </c>
      <c r="M62" s="102"/>
      <c r="N62" s="103" t="str">
        <f>IF($K62="","",IFERROR($K62*fnEquipCostCorr*fnEquipCostIndex*fnEquipConstMaterial,""))</f>
        <v/>
      </c>
      <c r="O62" s="104" t="str">
        <f ca="1">IFERROR(fnEquipInstFactor*N62,"")</f>
        <v/>
      </c>
      <c r="P62" s="105" t="str">
        <f ca="1">IFERROR(fnEquipLaborFactor*K62,"")</f>
        <v/>
      </c>
      <c r="Q62" s="19"/>
      <c r="S62" s="94" t="str">
        <f t="shared" si="0"/>
        <v/>
      </c>
      <c r="T62" s="11" t="str">
        <f ca="1">IFERROR(IF(INDEX(fnEquipLibRange,fnEquipRowNum,39)="","",INDEX(fnEquipLibRange,fnEquipRowNum,39)),"")</f>
        <v/>
      </c>
    </row>
    <row r="63" spans="2:20" hidden="1" outlineLevel="1">
      <c r="B63" s="16"/>
      <c r="C63" s="69"/>
      <c r="D63" s="70"/>
      <c r="E63" s="70" t="str">
        <f ca="1">IFERROR(VLOOKUP(C63,fnEquipLibRange,16,FALSE),"")</f>
        <v/>
      </c>
      <c r="F63" s="70"/>
      <c r="G63" s="130"/>
      <c r="H63" s="106" t="str">
        <f ca="1">IFERROR(VLOOKUP(C63,fnEquipLibRange,2,FALSE),"")</f>
        <v/>
      </c>
      <c r="I63" s="100" t="str">
        <f>IF(ISBLANK(G63),"",IF(G63&lt;VLOOKUP(C63,fnEquipLibRange,3,FALSE),"&gt;&gt;&gt; Too Small &lt;&lt;&lt;",IF(G63&gt;VLOOKUP(C63,fnEquipLibRange,4,FALSE),"&gt;&gt;&gt; Too Large &lt;&lt;&lt;","Yes")))</f>
        <v/>
      </c>
      <c r="J63" s="100"/>
      <c r="K63" s="101" t="str">
        <f>IF(F63*G63=0,"",IFERROR(IF(F63*G63*$D$31/$D$28&lt;VLOOKUP(C63,fnEquipLibRange,3,FALSE),MAX(1,F63),MAX(ROUNDUP(F63*G63*$D$31/$D$28/VLOOKUP(C63,fnEquipLibRange,4,FALSE),0),F63)),""))</f>
        <v/>
      </c>
      <c r="L63" s="102" t="str">
        <f>IF(F63*G63=0,"",IFERROR(IF(F63*G63*$D$31/$D$28&lt;VLOOKUP(C63,fnEquipLibRange,3,FALSE),VLOOKUP(C63,fnEquipLibRange,3,FALSE),F63*G63*$D$31/$D$28/MAX(ROUNDUP(F63*G63*$D$31/$D$28/VLOOKUP(C63,fnEquipLibRange,4,FALSE),0),F63)),""))</f>
        <v/>
      </c>
      <c r="M63" s="102"/>
      <c r="N63" s="103" t="str">
        <f>IF($K63="","",IFERROR($K63*fnEquipCostCorr*fnEquipCostIndex*fnEquipConstMaterial,""))</f>
        <v/>
      </c>
      <c r="O63" s="104" t="str">
        <f ca="1">IFERROR(fnEquipInstFactor*N63,"")</f>
        <v/>
      </c>
      <c r="P63" s="105" t="str">
        <f ca="1">IFERROR(fnEquipLaborFactor*K63,"")</f>
        <v/>
      </c>
      <c r="Q63" s="19"/>
      <c r="S63" s="94" t="str">
        <f t="shared" si="0"/>
        <v/>
      </c>
      <c r="T63" s="11" t="str">
        <f ca="1">IFERROR(IF(INDEX(fnEquipLibRange,fnEquipRowNum,39)="","",INDEX(fnEquipLibRange,fnEquipRowNum,39)),"")</f>
        <v/>
      </c>
    </row>
    <row r="64" spans="2:20" hidden="1" outlineLevel="1">
      <c r="B64" s="16"/>
      <c r="C64" s="69"/>
      <c r="D64" s="70"/>
      <c r="E64" s="70" t="str">
        <f ca="1">IFERROR(VLOOKUP(C64,fnEquipLibRange,16,FALSE),"")</f>
        <v/>
      </c>
      <c r="F64" s="70"/>
      <c r="G64" s="130"/>
      <c r="H64" s="106" t="str">
        <f ca="1">IFERROR(VLOOKUP(C64,fnEquipLibRange,2,FALSE),"")</f>
        <v/>
      </c>
      <c r="I64" s="100" t="str">
        <f>IF(ISBLANK(G64),"",IF(G64&lt;VLOOKUP(C64,fnEquipLibRange,3,FALSE),"&gt;&gt;&gt; Too Small &lt;&lt;&lt;",IF(G64&gt;VLOOKUP(C64,fnEquipLibRange,4,FALSE),"&gt;&gt;&gt; Too Large &lt;&lt;&lt;","Yes")))</f>
        <v/>
      </c>
      <c r="J64" s="100"/>
      <c r="K64" s="101" t="str">
        <f>IF(F64*G64=0,"",IFERROR(IF(F64*G64*$D$31/$D$28&lt;VLOOKUP(C64,fnEquipLibRange,3,FALSE),MAX(1,F64),MAX(ROUNDUP(F64*G64*$D$31/$D$28/VLOOKUP(C64,fnEquipLibRange,4,FALSE),0),F64)),""))</f>
        <v/>
      </c>
      <c r="L64" s="102" t="str">
        <f>IF(F64*G64=0,"",IFERROR(IF(F64*G64*$D$31/$D$28&lt;VLOOKUP(C64,fnEquipLibRange,3,FALSE),VLOOKUP(C64,fnEquipLibRange,3,FALSE),F64*G64*$D$31/$D$28/MAX(ROUNDUP(F64*G64*$D$31/$D$28/VLOOKUP(C64,fnEquipLibRange,4,FALSE),0),F64)),""))</f>
        <v/>
      </c>
      <c r="M64" s="102"/>
      <c r="N64" s="103" t="str">
        <f>IF($K64="","",IFERROR($K64*fnEquipCostCorr*fnEquipCostIndex*fnEquipConstMaterial,""))</f>
        <v/>
      </c>
      <c r="O64" s="104" t="str">
        <f ca="1">IFERROR(fnEquipInstFactor*N64,"")</f>
        <v/>
      </c>
      <c r="P64" s="105" t="str">
        <f ca="1">IFERROR(fnEquipLaborFactor*K64,"")</f>
        <v/>
      </c>
      <c r="Q64" s="19"/>
      <c r="S64" s="94" t="str">
        <f t="shared" si="0"/>
        <v/>
      </c>
      <c r="T64" s="11" t="str">
        <f ca="1">IFERROR(IF(INDEX(fnEquipLibRange,fnEquipRowNum,39)="","",INDEX(fnEquipLibRange,fnEquipRowNum,39)),"")</f>
        <v/>
      </c>
    </row>
    <row r="65" spans="2:20" hidden="1" outlineLevel="1">
      <c r="B65" s="16"/>
      <c r="C65" s="69"/>
      <c r="D65" s="70"/>
      <c r="E65" s="70" t="str">
        <f ca="1">IFERROR(VLOOKUP(C65,fnEquipLibRange,16,FALSE),"")</f>
        <v/>
      </c>
      <c r="F65" s="70"/>
      <c r="G65" s="130"/>
      <c r="H65" s="106" t="str">
        <f ca="1">IFERROR(VLOOKUP(C65,fnEquipLibRange,2,FALSE),"")</f>
        <v/>
      </c>
      <c r="I65" s="100" t="str">
        <f>IF(ISBLANK(G65),"",IF(G65&lt;VLOOKUP(C65,fnEquipLibRange,3,FALSE),"&gt;&gt;&gt; Too Small &lt;&lt;&lt;",IF(G65&gt;VLOOKUP(C65,fnEquipLibRange,4,FALSE),"&gt;&gt;&gt; Too Large &lt;&lt;&lt;","Yes")))</f>
        <v/>
      </c>
      <c r="J65" s="100"/>
      <c r="K65" s="101" t="str">
        <f>IF(F65*G65=0,"",IFERROR(IF(F65*G65*$D$31/$D$28&lt;VLOOKUP(C65,fnEquipLibRange,3,FALSE),MAX(1,F65),MAX(ROUNDUP(F65*G65*$D$31/$D$28/VLOOKUP(C65,fnEquipLibRange,4,FALSE),0),F65)),""))</f>
        <v/>
      </c>
      <c r="L65" s="102" t="str">
        <f>IF(F65*G65=0,"",IFERROR(IF(F65*G65*$D$31/$D$28&lt;VLOOKUP(C65,fnEquipLibRange,3,FALSE),VLOOKUP(C65,fnEquipLibRange,3,FALSE),F65*G65*$D$31/$D$28/MAX(ROUNDUP(F65*G65*$D$31/$D$28/VLOOKUP(C65,fnEquipLibRange,4,FALSE),0),F65)),""))</f>
        <v/>
      </c>
      <c r="M65" s="102"/>
      <c r="N65" s="103" t="str">
        <f>IF($K65="","",IFERROR($K65*fnEquipCostCorr*fnEquipCostIndex*fnEquipConstMaterial,""))</f>
        <v/>
      </c>
      <c r="O65" s="104" t="str">
        <f ca="1">IFERROR(fnEquipInstFactor*N65,"")</f>
        <v/>
      </c>
      <c r="P65" s="105" t="str">
        <f ca="1">IFERROR(fnEquipLaborFactor*K65,"")</f>
        <v/>
      </c>
      <c r="Q65" s="19"/>
      <c r="S65" s="94" t="str">
        <f t="shared" si="0"/>
        <v/>
      </c>
      <c r="T65" s="11" t="str">
        <f ca="1">IFERROR(IF(INDEX(fnEquipLibRange,fnEquipRowNum,39)="","",INDEX(fnEquipLibRange,fnEquipRowNum,39)),"")</f>
        <v/>
      </c>
    </row>
    <row r="66" spans="2:20" hidden="1" outlineLevel="1">
      <c r="B66" s="16"/>
      <c r="C66" s="69"/>
      <c r="D66" s="70"/>
      <c r="E66" s="70" t="str">
        <f ca="1">IFERROR(VLOOKUP(C66,fnEquipLibRange,16,FALSE),"")</f>
        <v/>
      </c>
      <c r="F66" s="70"/>
      <c r="G66" s="130"/>
      <c r="H66" s="106" t="str">
        <f ca="1">IFERROR(VLOOKUP(C66,fnEquipLibRange,2,FALSE),"")</f>
        <v/>
      </c>
      <c r="I66" s="100" t="str">
        <f>IF(ISBLANK(G66),"",IF(G66&lt;VLOOKUP(C66,fnEquipLibRange,3,FALSE),"&gt;&gt;&gt; Too Small &lt;&lt;&lt;",IF(G66&gt;VLOOKUP(C66,fnEquipLibRange,4,FALSE),"&gt;&gt;&gt; Too Large &lt;&lt;&lt;","Yes")))</f>
        <v/>
      </c>
      <c r="J66" s="100"/>
      <c r="K66" s="101" t="str">
        <f>IF(F66*G66=0,"",IFERROR(IF(F66*G66*$D$31/$D$28&lt;VLOOKUP(C66,fnEquipLibRange,3,FALSE),MAX(1,F66),MAX(ROUNDUP(F66*G66*$D$31/$D$28/VLOOKUP(C66,fnEquipLibRange,4,FALSE),0),F66)),""))</f>
        <v/>
      </c>
      <c r="L66" s="102" t="str">
        <f>IF(F66*G66=0,"",IFERROR(IF(F66*G66*$D$31/$D$28&lt;VLOOKUP(C66,fnEquipLibRange,3,FALSE),VLOOKUP(C66,fnEquipLibRange,3,FALSE),F66*G66*$D$31/$D$28/MAX(ROUNDUP(F66*G66*$D$31/$D$28/VLOOKUP(C66,fnEquipLibRange,4,FALSE),0),F66)),""))</f>
        <v/>
      </c>
      <c r="M66" s="102"/>
      <c r="N66" s="103" t="str">
        <f>IF($K66="","",IFERROR($K66*fnEquipCostCorr*fnEquipCostIndex*fnEquipConstMaterial,""))</f>
        <v/>
      </c>
      <c r="O66" s="104" t="str">
        <f ca="1">IFERROR(fnEquipInstFactor*N66,"")</f>
        <v/>
      </c>
      <c r="P66" s="105" t="str">
        <f ca="1">IFERROR(fnEquipLaborFactor*K66,"")</f>
        <v/>
      </c>
      <c r="Q66" s="19"/>
      <c r="S66" s="94" t="str">
        <f t="shared" si="0"/>
        <v/>
      </c>
      <c r="T66" s="11" t="str">
        <f ca="1">IFERROR(IF(INDEX(fnEquipLibRange,fnEquipRowNum,39)="","",INDEX(fnEquipLibRange,fnEquipRowNum,39)),"")</f>
        <v/>
      </c>
    </row>
    <row r="67" spans="2:20" hidden="1" outlineLevel="1">
      <c r="B67" s="16"/>
      <c r="C67" s="69"/>
      <c r="D67" s="70"/>
      <c r="E67" s="70" t="str">
        <f ca="1">IFERROR(VLOOKUP(C67,fnEquipLibRange,16,FALSE),"")</f>
        <v/>
      </c>
      <c r="F67" s="70"/>
      <c r="G67" s="130"/>
      <c r="H67" s="106" t="str">
        <f ca="1">IFERROR(VLOOKUP(C67,fnEquipLibRange,2,FALSE),"")</f>
        <v/>
      </c>
      <c r="I67" s="100" t="str">
        <f>IF(ISBLANK(G67),"",IF(G67&lt;VLOOKUP(C67,fnEquipLibRange,3,FALSE),"&gt;&gt;&gt; Too Small &lt;&lt;&lt;",IF(G67&gt;VLOOKUP(C67,fnEquipLibRange,4,FALSE),"&gt;&gt;&gt; Too Large &lt;&lt;&lt;","Yes")))</f>
        <v/>
      </c>
      <c r="J67" s="100"/>
      <c r="K67" s="101" t="str">
        <f>IF(F67*G67=0,"",IFERROR(IF(F67*G67*$D$31/$D$28&lt;VLOOKUP(C67,fnEquipLibRange,3,FALSE),MAX(1,F67),MAX(ROUNDUP(F67*G67*$D$31/$D$28/VLOOKUP(C67,fnEquipLibRange,4,FALSE),0),F67)),""))</f>
        <v/>
      </c>
      <c r="L67" s="102" t="str">
        <f>IF(F67*G67=0,"",IFERROR(IF(F67*G67*$D$31/$D$28&lt;VLOOKUP(C67,fnEquipLibRange,3,FALSE),VLOOKUP(C67,fnEquipLibRange,3,FALSE),F67*G67*$D$31/$D$28/MAX(ROUNDUP(F67*G67*$D$31/$D$28/VLOOKUP(C67,fnEquipLibRange,4,FALSE),0),F67)),""))</f>
        <v/>
      </c>
      <c r="M67" s="102"/>
      <c r="N67" s="103" t="str">
        <f>IF($K67="","",IFERROR($K67*fnEquipCostCorr*fnEquipCostIndex*fnEquipConstMaterial,""))</f>
        <v/>
      </c>
      <c r="O67" s="104" t="str">
        <f ca="1">IFERROR(fnEquipInstFactor*N67,"")</f>
        <v/>
      </c>
      <c r="P67" s="105" t="str">
        <f ca="1">IFERROR(fnEquipLaborFactor*K67,"")</f>
        <v/>
      </c>
      <c r="Q67" s="19"/>
      <c r="S67" s="94" t="str">
        <f t="shared" si="0"/>
        <v/>
      </c>
      <c r="T67" s="11" t="str">
        <f ca="1">IFERROR(IF(INDEX(fnEquipLibRange,fnEquipRowNum,39)="","",INDEX(fnEquipLibRange,fnEquipRowNum,39)),"")</f>
        <v/>
      </c>
    </row>
    <row r="68" spans="2:20" hidden="1" outlineLevel="1">
      <c r="B68" s="16"/>
      <c r="C68" s="69"/>
      <c r="D68" s="70"/>
      <c r="E68" s="70" t="str">
        <f ca="1">IFERROR(VLOOKUP(C68,fnEquipLibRange,16,FALSE),"")</f>
        <v/>
      </c>
      <c r="F68" s="70"/>
      <c r="G68" s="130"/>
      <c r="H68" s="106" t="str">
        <f ca="1">IFERROR(VLOOKUP(C68,fnEquipLibRange,2,FALSE),"")</f>
        <v/>
      </c>
      <c r="I68" s="100" t="str">
        <f>IF(ISBLANK(G68),"",IF(G68&lt;VLOOKUP(C68,fnEquipLibRange,3,FALSE),"&gt;&gt;&gt; Too Small &lt;&lt;&lt;",IF(G68&gt;VLOOKUP(C68,fnEquipLibRange,4,FALSE),"&gt;&gt;&gt; Too Large &lt;&lt;&lt;","Yes")))</f>
        <v/>
      </c>
      <c r="J68" s="100"/>
      <c r="K68" s="101" t="str">
        <f>IF(F68*G68=0,"",IFERROR(IF(F68*G68*$D$31/$D$28&lt;VLOOKUP(C68,fnEquipLibRange,3,FALSE),MAX(1,F68),MAX(ROUNDUP(F68*G68*$D$31/$D$28/VLOOKUP(C68,fnEquipLibRange,4,FALSE),0),F68)),""))</f>
        <v/>
      </c>
      <c r="L68" s="102" t="str">
        <f>IF(F68*G68=0,"",IFERROR(IF(F68*G68*$D$31/$D$28&lt;VLOOKUP(C68,fnEquipLibRange,3,FALSE),VLOOKUP(C68,fnEquipLibRange,3,FALSE),F68*G68*$D$31/$D$28/MAX(ROUNDUP(F68*G68*$D$31/$D$28/VLOOKUP(C68,fnEquipLibRange,4,FALSE),0),F68)),""))</f>
        <v/>
      </c>
      <c r="M68" s="102"/>
      <c r="N68" s="103" t="str">
        <f>IF($K68="","",IFERROR($K68*fnEquipCostCorr*fnEquipCostIndex*fnEquipConstMaterial,""))</f>
        <v/>
      </c>
      <c r="O68" s="104" t="str">
        <f ca="1">IFERROR(fnEquipInstFactor*N68,"")</f>
        <v/>
      </c>
      <c r="P68" s="105" t="str">
        <f ca="1">IFERROR(fnEquipLaborFactor*K68,"")</f>
        <v/>
      </c>
      <c r="Q68" s="19"/>
      <c r="S68" s="94" t="str">
        <f t="shared" si="0"/>
        <v/>
      </c>
      <c r="T68" s="11" t="str">
        <f ca="1">IFERROR(IF(INDEX(fnEquipLibRange,fnEquipRowNum,39)="","",INDEX(fnEquipLibRange,fnEquipRowNum,39)),"")</f>
        <v/>
      </c>
    </row>
    <row r="69" spans="2:20" hidden="1" outlineLevel="1">
      <c r="B69" s="16"/>
      <c r="C69" s="69"/>
      <c r="D69" s="70"/>
      <c r="E69" s="70" t="str">
        <f ca="1">IFERROR(VLOOKUP(C69,fnEquipLibRange,16,FALSE),"")</f>
        <v/>
      </c>
      <c r="F69" s="70"/>
      <c r="G69" s="130"/>
      <c r="H69" s="106" t="str">
        <f ca="1">IFERROR(VLOOKUP(C69,fnEquipLibRange,2,FALSE),"")</f>
        <v/>
      </c>
      <c r="I69" s="100" t="str">
        <f>IF(ISBLANK(G69),"",IF(G69&lt;VLOOKUP(C69,fnEquipLibRange,3,FALSE),"&gt;&gt;&gt; Too Small &lt;&lt;&lt;",IF(G69&gt;VLOOKUP(C69,fnEquipLibRange,4,FALSE),"&gt;&gt;&gt; Too Large &lt;&lt;&lt;","Yes")))</f>
        <v/>
      </c>
      <c r="J69" s="100"/>
      <c r="K69" s="101" t="str">
        <f>IF(F69*G69=0,"",IFERROR(IF(F69*G69*$D$31/$D$28&lt;VLOOKUP(C69,fnEquipLibRange,3,FALSE),MAX(1,F69),MAX(ROUNDUP(F69*G69*$D$31/$D$28/VLOOKUP(C69,fnEquipLibRange,4,FALSE),0),F69)),""))</f>
        <v/>
      </c>
      <c r="L69" s="102" t="str">
        <f>IF(F69*G69=0,"",IFERROR(IF(F69*G69*$D$31/$D$28&lt;VLOOKUP(C69,fnEquipLibRange,3,FALSE),VLOOKUP(C69,fnEquipLibRange,3,FALSE),F69*G69*$D$31/$D$28/MAX(ROUNDUP(F69*G69*$D$31/$D$28/VLOOKUP(C69,fnEquipLibRange,4,FALSE),0),F69)),""))</f>
        <v/>
      </c>
      <c r="M69" s="102"/>
      <c r="N69" s="103" t="str">
        <f>IF($K69="","",IFERROR($K69*fnEquipCostCorr*fnEquipCostIndex*fnEquipConstMaterial,""))</f>
        <v/>
      </c>
      <c r="O69" s="104" t="str">
        <f ca="1">IFERROR(fnEquipInstFactor*N69,"")</f>
        <v/>
      </c>
      <c r="P69" s="105" t="str">
        <f ca="1">IFERROR(fnEquipLaborFactor*K69,"")</f>
        <v/>
      </c>
      <c r="Q69" s="19"/>
      <c r="S69" s="94" t="str">
        <f t="shared" si="0"/>
        <v/>
      </c>
      <c r="T69" s="11" t="str">
        <f ca="1">IFERROR(IF(INDEX(fnEquipLibRange,fnEquipRowNum,39)="","",INDEX(fnEquipLibRange,fnEquipRowNum,39)),"")</f>
        <v/>
      </c>
    </row>
    <row r="70" spans="2:20" hidden="1" outlineLevel="1">
      <c r="B70" s="16"/>
      <c r="C70" s="69"/>
      <c r="D70" s="70"/>
      <c r="E70" s="70" t="str">
        <f ca="1">IFERROR(VLOOKUP(C70,fnEquipLibRange,16,FALSE),"")</f>
        <v/>
      </c>
      <c r="F70" s="70"/>
      <c r="G70" s="130"/>
      <c r="H70" s="106" t="str">
        <f ca="1">IFERROR(VLOOKUP(C70,fnEquipLibRange,2,FALSE),"")</f>
        <v/>
      </c>
      <c r="I70" s="100" t="str">
        <f>IF(ISBLANK(G70),"",IF(G70&lt;VLOOKUP(C70,fnEquipLibRange,3,FALSE),"&gt;&gt;&gt; Too Small &lt;&lt;&lt;",IF(G70&gt;VLOOKUP(C70,fnEquipLibRange,4,FALSE),"&gt;&gt;&gt; Too Large &lt;&lt;&lt;","Yes")))</f>
        <v/>
      </c>
      <c r="J70" s="100"/>
      <c r="K70" s="101" t="str">
        <f>IF(F70*G70=0,"",IFERROR(IF(F70*G70*$D$31/$D$28&lt;VLOOKUP(C70,fnEquipLibRange,3,FALSE),MAX(1,F70),MAX(ROUNDUP(F70*G70*$D$31/$D$28/VLOOKUP(C70,fnEquipLibRange,4,FALSE),0),F70)),""))</f>
        <v/>
      </c>
      <c r="L70" s="102" t="str">
        <f>IF(F70*G70=0,"",IFERROR(IF(F70*G70*$D$31/$D$28&lt;VLOOKUP(C70,fnEquipLibRange,3,FALSE),VLOOKUP(C70,fnEquipLibRange,3,FALSE),F70*G70*$D$31/$D$28/MAX(ROUNDUP(F70*G70*$D$31/$D$28/VLOOKUP(C70,fnEquipLibRange,4,FALSE),0),F70)),""))</f>
        <v/>
      </c>
      <c r="M70" s="102"/>
      <c r="N70" s="103" t="str">
        <f>IF($K70="","",IFERROR($K70*fnEquipCostCorr*fnEquipCostIndex*fnEquipConstMaterial,""))</f>
        <v/>
      </c>
      <c r="O70" s="104" t="str">
        <f ca="1">IFERROR(fnEquipInstFactor*N70,"")</f>
        <v/>
      </c>
      <c r="P70" s="105" t="str">
        <f ca="1">IFERROR(fnEquipLaborFactor*K70,"")</f>
        <v/>
      </c>
      <c r="Q70" s="19"/>
      <c r="S70" s="94" t="str">
        <f t="shared" si="0"/>
        <v/>
      </c>
      <c r="T70" s="11" t="str">
        <f ca="1">IFERROR(IF(INDEX(fnEquipLibRange,fnEquipRowNum,39)="","",INDEX(fnEquipLibRange,fnEquipRowNum,39)),"")</f>
        <v/>
      </c>
    </row>
    <row r="71" spans="2:20" hidden="1" outlineLevel="1">
      <c r="B71" s="16"/>
      <c r="C71" s="69"/>
      <c r="D71" s="70"/>
      <c r="E71" s="70" t="str">
        <f ca="1">IFERROR(VLOOKUP(C71,fnEquipLibRange,16,FALSE),"")</f>
        <v/>
      </c>
      <c r="F71" s="70"/>
      <c r="G71" s="130"/>
      <c r="H71" s="106" t="str">
        <f ca="1">IFERROR(VLOOKUP(C71,fnEquipLibRange,2,FALSE),"")</f>
        <v/>
      </c>
      <c r="I71" s="100" t="str">
        <f>IF(ISBLANK(G71),"",IF(G71&lt;VLOOKUP(C71,fnEquipLibRange,3,FALSE),"&gt;&gt;&gt; Too Small &lt;&lt;&lt;",IF(G71&gt;VLOOKUP(C71,fnEquipLibRange,4,FALSE),"&gt;&gt;&gt; Too Large &lt;&lt;&lt;","Yes")))</f>
        <v/>
      </c>
      <c r="J71" s="100"/>
      <c r="K71" s="101" t="str">
        <f>IF(F71*G71=0,"",IFERROR(IF(F71*G71*$D$31/$D$28&lt;VLOOKUP(C71,fnEquipLibRange,3,FALSE),MAX(1,F71),MAX(ROUNDUP(F71*G71*$D$31/$D$28/VLOOKUP(C71,fnEquipLibRange,4,FALSE),0),F71)),""))</f>
        <v/>
      </c>
      <c r="L71" s="102" t="str">
        <f>IF(F71*G71=0,"",IFERROR(IF(F71*G71*$D$31/$D$28&lt;VLOOKUP(C71,fnEquipLibRange,3,FALSE),VLOOKUP(C71,fnEquipLibRange,3,FALSE),F71*G71*$D$31/$D$28/MAX(ROUNDUP(F71*G71*$D$31/$D$28/VLOOKUP(C71,fnEquipLibRange,4,FALSE),0),F71)),""))</f>
        <v/>
      </c>
      <c r="M71" s="102"/>
      <c r="N71" s="103" t="str">
        <f>IF($K71="","",IFERROR($K71*fnEquipCostCorr*fnEquipCostIndex*fnEquipConstMaterial,""))</f>
        <v/>
      </c>
      <c r="O71" s="104" t="str">
        <f ca="1">IFERROR(fnEquipInstFactor*N71,"")</f>
        <v/>
      </c>
      <c r="P71" s="105" t="str">
        <f ca="1">IFERROR(fnEquipLaborFactor*K71,"")</f>
        <v/>
      </c>
      <c r="Q71" s="19"/>
      <c r="S71" s="94" t="str">
        <f t="shared" si="0"/>
        <v/>
      </c>
      <c r="T71" s="11" t="str">
        <f ca="1">IFERROR(IF(INDEX(fnEquipLibRange,fnEquipRowNum,39)="","",INDEX(fnEquipLibRange,fnEquipRowNum,39)),"")</f>
        <v/>
      </c>
    </row>
    <row r="72" spans="2:20" hidden="1" outlineLevel="1">
      <c r="B72" s="16"/>
      <c r="C72" s="69"/>
      <c r="D72" s="70"/>
      <c r="E72" s="70" t="str">
        <f ca="1">IFERROR(VLOOKUP(C72,fnEquipLibRange,16,FALSE),"")</f>
        <v/>
      </c>
      <c r="F72" s="70"/>
      <c r="G72" s="130"/>
      <c r="H72" s="106" t="str">
        <f ca="1">IFERROR(VLOOKUP(C72,fnEquipLibRange,2,FALSE),"")</f>
        <v/>
      </c>
      <c r="I72" s="100" t="str">
        <f>IF(ISBLANK(G72),"",IF(G72&lt;VLOOKUP(C72,fnEquipLibRange,3,FALSE),"&gt;&gt;&gt; Too Small &lt;&lt;&lt;",IF(G72&gt;VLOOKUP(C72,fnEquipLibRange,4,FALSE),"&gt;&gt;&gt; Too Large &lt;&lt;&lt;","Yes")))</f>
        <v/>
      </c>
      <c r="J72" s="100"/>
      <c r="K72" s="101" t="str">
        <f>IF(F72*G72=0,"",IFERROR(IF(F72*G72*$D$31/$D$28&lt;VLOOKUP(C72,fnEquipLibRange,3,FALSE),MAX(1,F72),MAX(ROUNDUP(F72*G72*$D$31/$D$28/VLOOKUP(C72,fnEquipLibRange,4,FALSE),0),F72)),""))</f>
        <v/>
      </c>
      <c r="L72" s="102" t="str">
        <f>IF(F72*G72=0,"",IFERROR(IF(F72*G72*$D$31/$D$28&lt;VLOOKUP(C72,fnEquipLibRange,3,FALSE),VLOOKUP(C72,fnEquipLibRange,3,FALSE),F72*G72*$D$31/$D$28/MAX(ROUNDUP(F72*G72*$D$31/$D$28/VLOOKUP(C72,fnEquipLibRange,4,FALSE),0),F72)),""))</f>
        <v/>
      </c>
      <c r="M72" s="102"/>
      <c r="N72" s="103" t="str">
        <f>IF($K72="","",IFERROR($K72*fnEquipCostCorr*fnEquipCostIndex*fnEquipConstMaterial,""))</f>
        <v/>
      </c>
      <c r="O72" s="104" t="str">
        <f ca="1">IFERROR(fnEquipInstFactor*N72,"")</f>
        <v/>
      </c>
      <c r="P72" s="105" t="str">
        <f ca="1">IFERROR(fnEquipLaborFactor*K72,"")</f>
        <v/>
      </c>
      <c r="Q72" s="19"/>
      <c r="S72" s="94" t="str">
        <f t="shared" si="0"/>
        <v/>
      </c>
      <c r="T72" s="11" t="str">
        <f ca="1">IFERROR(IF(INDEX(fnEquipLibRange,fnEquipRowNum,39)="","",INDEX(fnEquipLibRange,fnEquipRowNum,39)),"")</f>
        <v/>
      </c>
    </row>
    <row r="73" spans="2:20" hidden="1" outlineLevel="1">
      <c r="B73" s="16"/>
      <c r="C73" s="69"/>
      <c r="D73" s="70"/>
      <c r="E73" s="70" t="str">
        <f ca="1">IFERROR(VLOOKUP(C73,fnEquipLibRange,16,FALSE),"")</f>
        <v/>
      </c>
      <c r="F73" s="70"/>
      <c r="G73" s="130"/>
      <c r="H73" s="106" t="str">
        <f ca="1">IFERROR(VLOOKUP(C73,fnEquipLibRange,2,FALSE),"")</f>
        <v/>
      </c>
      <c r="I73" s="100" t="str">
        <f>IF(ISBLANK(G73),"",IF(G73&lt;VLOOKUP(C73,fnEquipLibRange,3,FALSE),"&gt;&gt;&gt; Too Small &lt;&lt;&lt;",IF(G73&gt;VLOOKUP(C73,fnEquipLibRange,4,FALSE),"&gt;&gt;&gt; Too Large &lt;&lt;&lt;","Yes")))</f>
        <v/>
      </c>
      <c r="J73" s="100"/>
      <c r="K73" s="101" t="str">
        <f>IF(F73*G73=0,"",IFERROR(IF(F73*G73*$D$31/$D$28&lt;VLOOKUP(C73,fnEquipLibRange,3,FALSE),MAX(1,F73),MAX(ROUNDUP(F73*G73*$D$31/$D$28/VLOOKUP(C73,fnEquipLibRange,4,FALSE),0),F73)),""))</f>
        <v/>
      </c>
      <c r="L73" s="102" t="str">
        <f>IF(F73*G73=0,"",IFERROR(IF(F73*G73*$D$31/$D$28&lt;VLOOKUP(C73,fnEquipLibRange,3,FALSE),VLOOKUP(C73,fnEquipLibRange,3,FALSE),F73*G73*$D$31/$D$28/MAX(ROUNDUP(F73*G73*$D$31/$D$28/VLOOKUP(C73,fnEquipLibRange,4,FALSE),0),F73)),""))</f>
        <v/>
      </c>
      <c r="M73" s="102"/>
      <c r="N73" s="103" t="str">
        <f>IF($K73="","",IFERROR($K73*fnEquipCostCorr*fnEquipCostIndex*fnEquipConstMaterial,""))</f>
        <v/>
      </c>
      <c r="O73" s="104" t="str">
        <f ca="1">IFERROR(fnEquipInstFactor*N73,"")</f>
        <v/>
      </c>
      <c r="P73" s="105" t="str">
        <f ca="1">IFERROR(fnEquipLaborFactor*K73,"")</f>
        <v/>
      </c>
      <c r="Q73" s="19"/>
      <c r="S73" s="94" t="str">
        <f t="shared" si="0"/>
        <v/>
      </c>
      <c r="T73" s="11" t="str">
        <f ca="1">IFERROR(IF(INDEX(fnEquipLibRange,fnEquipRowNum,39)="","",INDEX(fnEquipLibRange,fnEquipRowNum,39)),"")</f>
        <v/>
      </c>
    </row>
    <row r="74" spans="2:20" hidden="1" outlineLevel="1">
      <c r="B74" s="16"/>
      <c r="C74" s="69"/>
      <c r="D74" s="70"/>
      <c r="E74" s="70" t="str">
        <f ca="1">IFERROR(VLOOKUP(C74,fnEquipLibRange,16,FALSE),"")</f>
        <v/>
      </c>
      <c r="F74" s="70"/>
      <c r="G74" s="130"/>
      <c r="H74" s="106" t="str">
        <f ca="1">IFERROR(VLOOKUP(C74,fnEquipLibRange,2,FALSE),"")</f>
        <v/>
      </c>
      <c r="I74" s="100" t="str">
        <f>IF(ISBLANK(G74),"",IF(G74&lt;VLOOKUP(C74,fnEquipLibRange,3,FALSE),"&gt;&gt;&gt; Too Small &lt;&lt;&lt;",IF(G74&gt;VLOOKUP(C74,fnEquipLibRange,4,FALSE),"&gt;&gt;&gt; Too Large &lt;&lt;&lt;","Yes")))</f>
        <v/>
      </c>
      <c r="J74" s="100"/>
      <c r="K74" s="101" t="str">
        <f>IF(F74*G74=0,"",IFERROR(IF(F74*G74*$D$31/$D$28&lt;VLOOKUP(C74,fnEquipLibRange,3,FALSE),MAX(1,F74),MAX(ROUNDUP(F74*G74*$D$31/$D$28/VLOOKUP(C74,fnEquipLibRange,4,FALSE),0),F74)),""))</f>
        <v/>
      </c>
      <c r="L74" s="102" t="str">
        <f>IF(F74*G74=0,"",IFERROR(IF(F74*G74*$D$31/$D$28&lt;VLOOKUP(C74,fnEquipLibRange,3,FALSE),VLOOKUP(C74,fnEquipLibRange,3,FALSE),F74*G74*$D$31/$D$28/MAX(ROUNDUP(F74*G74*$D$31/$D$28/VLOOKUP(C74,fnEquipLibRange,4,FALSE),0),F74)),""))</f>
        <v/>
      </c>
      <c r="M74" s="102"/>
      <c r="N74" s="103" t="str">
        <f>IF($K74="","",IFERROR($K74*fnEquipCostCorr*fnEquipCostIndex*fnEquipConstMaterial,""))</f>
        <v/>
      </c>
      <c r="O74" s="104" t="str">
        <f ca="1">IFERROR(fnEquipInstFactor*N74,"")</f>
        <v/>
      </c>
      <c r="P74" s="105" t="str">
        <f ca="1">IFERROR(fnEquipLaborFactor*K74,"")</f>
        <v/>
      </c>
      <c r="Q74" s="19"/>
      <c r="S74" s="94" t="str">
        <f t="shared" si="0"/>
        <v/>
      </c>
      <c r="T74" s="11" t="str">
        <f ca="1">IFERROR(IF(INDEX(fnEquipLibRange,fnEquipRowNum,39)="","",INDEX(fnEquipLibRange,fnEquipRowNum,39)),"")</f>
        <v/>
      </c>
    </row>
    <row r="75" spans="2:20" hidden="1" outlineLevel="1">
      <c r="B75" s="16"/>
      <c r="C75" s="69"/>
      <c r="D75" s="70"/>
      <c r="E75" s="70" t="str">
        <f ca="1">IFERROR(VLOOKUP(C75,fnEquipLibRange,16,FALSE),"")</f>
        <v/>
      </c>
      <c r="F75" s="70"/>
      <c r="G75" s="130"/>
      <c r="H75" s="106" t="str">
        <f ca="1">IFERROR(VLOOKUP(C75,fnEquipLibRange,2,FALSE),"")</f>
        <v/>
      </c>
      <c r="I75" s="100" t="str">
        <f>IF(ISBLANK(G75),"",IF(G75&lt;VLOOKUP(C75,fnEquipLibRange,3,FALSE),"&gt;&gt;&gt; Too Small &lt;&lt;&lt;",IF(G75&gt;VLOOKUP(C75,fnEquipLibRange,4,FALSE),"&gt;&gt;&gt; Too Large &lt;&lt;&lt;","Yes")))</f>
        <v/>
      </c>
      <c r="J75" s="100"/>
      <c r="K75" s="101" t="str">
        <f>IF(F75*G75=0,"",IFERROR(IF(F75*G75*$D$31/$D$28&lt;VLOOKUP(C75,fnEquipLibRange,3,FALSE),MAX(1,F75),MAX(ROUNDUP(F75*G75*$D$31/$D$28/VLOOKUP(C75,fnEquipLibRange,4,FALSE),0),F75)),""))</f>
        <v/>
      </c>
      <c r="L75" s="102" t="str">
        <f>IF(F75*G75=0,"",IFERROR(IF(F75*G75*$D$31/$D$28&lt;VLOOKUP(C75,fnEquipLibRange,3,FALSE),VLOOKUP(C75,fnEquipLibRange,3,FALSE),F75*G75*$D$31/$D$28/MAX(ROUNDUP(F75*G75*$D$31/$D$28/VLOOKUP(C75,fnEquipLibRange,4,FALSE),0),F75)),""))</f>
        <v/>
      </c>
      <c r="M75" s="102"/>
      <c r="N75" s="103" t="str">
        <f>IF($K75="","",IFERROR($K75*fnEquipCostCorr*fnEquipCostIndex*fnEquipConstMaterial,""))</f>
        <v/>
      </c>
      <c r="O75" s="104" t="str">
        <f ca="1">IFERROR(fnEquipInstFactor*N75,"")</f>
        <v/>
      </c>
      <c r="P75" s="105" t="str">
        <f ca="1">IFERROR(fnEquipLaborFactor*K75,"")</f>
        <v/>
      </c>
      <c r="Q75" s="19"/>
      <c r="S75" s="94" t="str">
        <f t="shared" si="0"/>
        <v/>
      </c>
      <c r="T75" s="11" t="str">
        <f ca="1">IFERROR(IF(INDEX(fnEquipLibRange,fnEquipRowNum,39)="","",INDEX(fnEquipLibRange,fnEquipRowNum,39)),"")</f>
        <v/>
      </c>
    </row>
    <row r="76" spans="2:20" ht="16.5" hidden="1" outlineLevel="1" thickBot="1">
      <c r="B76" s="21"/>
      <c r="C76" s="22"/>
      <c r="D76" s="22"/>
      <c r="E76" s="22"/>
      <c r="F76" s="22"/>
      <c r="G76" s="22"/>
      <c r="H76" s="22"/>
      <c r="I76" s="22"/>
      <c r="J76" s="22"/>
      <c r="K76" s="22"/>
      <c r="L76" s="99"/>
      <c r="M76" s="99"/>
      <c r="N76" s="22"/>
      <c r="O76" s="22"/>
      <c r="P76" s="22"/>
      <c r="Q76" s="23"/>
    </row>
    <row r="77" spans="2:20" ht="32.1" hidden="1" customHeight="1" outlineLevel="1">
      <c r="B77" s="424" t="str">
        <f>"Equipment Cost Totals: "&amp;C20</f>
        <v>Equipment Cost Totals: Custom Process</v>
      </c>
      <c r="C77" s="425"/>
      <c r="D77" s="425"/>
      <c r="E77" s="426"/>
    </row>
    <row r="78" spans="2:20" hidden="1" outlineLevel="1">
      <c r="B78" s="16"/>
      <c r="C78" s="17" t="str">
        <f>"Equipment Cost Totals for "&amp;C20</f>
        <v>Equipment Cost Totals for Custom Process</v>
      </c>
      <c r="D78" s="18"/>
      <c r="E78" s="19"/>
    </row>
    <row r="79" spans="2:20" hidden="1" outlineLevel="1">
      <c r="B79" s="16"/>
      <c r="C79" s="18"/>
      <c r="D79" s="162" t="s">
        <v>308</v>
      </c>
      <c r="E79" s="295">
        <f>SUM(N36:N75)</f>
        <v>0</v>
      </c>
    </row>
    <row r="80" spans="2:20" hidden="1" outlineLevel="1">
      <c r="B80" s="16"/>
      <c r="C80" s="18"/>
      <c r="D80" s="162" t="s">
        <v>354</v>
      </c>
      <c r="E80" s="295">
        <f ca="1">SUM(O36:O75)</f>
        <v>0</v>
      </c>
    </row>
    <row r="81" spans="1:9" hidden="1" outlineLevel="1">
      <c r="B81" s="16"/>
      <c r="C81" s="18"/>
      <c r="D81" s="162" t="s">
        <v>995</v>
      </c>
      <c r="E81" s="296">
        <f ca="1">SUM(P36:P75)</f>
        <v>0</v>
      </c>
    </row>
    <row r="82" spans="1:9" ht="16.5" hidden="1" outlineLevel="1" thickBot="1">
      <c r="B82" s="21"/>
      <c r="C82" s="22"/>
      <c r="D82" s="22"/>
      <c r="E82" s="23"/>
    </row>
    <row r="83" spans="1:9" ht="16.5" collapsed="1" thickBot="1">
      <c r="A83" s="300" t="str">
        <f>"&lt;– show/hide "&amp;B17</f>
        <v>&lt;– show/hide User Entry: Custom Process</v>
      </c>
    </row>
    <row r="84" spans="1:9" ht="21" thickBot="1">
      <c r="B84" s="341" t="str">
        <f>"Process Template: "&amp;C87</f>
        <v>Process Template: Metal Carbide on Metal Oxide</v>
      </c>
      <c r="C84" s="342"/>
      <c r="D84" s="342"/>
      <c r="E84" s="342"/>
      <c r="F84" s="342"/>
      <c r="G84" s="343"/>
      <c r="I84" s="198"/>
    </row>
    <row r="85" spans="1:9" hidden="1" outlineLevel="1">
      <c r="B85" s="13"/>
      <c r="C85" s="14"/>
      <c r="D85" s="14"/>
      <c r="E85" s="14"/>
      <c r="F85" s="14"/>
      <c r="G85" s="15"/>
      <c r="I85" s="198"/>
    </row>
    <row r="86" spans="1:9" hidden="1" outlineLevel="1">
      <c r="B86" s="16"/>
      <c r="C86" s="17" t="s">
        <v>1048</v>
      </c>
      <c r="D86" s="18"/>
      <c r="E86" s="18"/>
      <c r="F86" s="18"/>
      <c r="G86" s="19"/>
      <c r="I86" s="198"/>
    </row>
    <row r="87" spans="1:9" hidden="1" outlineLevel="1">
      <c r="B87" s="16"/>
      <c r="C87" s="18" t="s">
        <v>993</v>
      </c>
      <c r="D87" s="18"/>
      <c r="E87" s="18"/>
      <c r="F87" s="18"/>
      <c r="G87" s="19"/>
      <c r="I87" s="198"/>
    </row>
    <row r="88" spans="1:9" ht="16.5" hidden="1" outlineLevel="1" thickBot="1">
      <c r="B88" s="16"/>
      <c r="C88" s="18"/>
      <c r="D88" s="18"/>
      <c r="E88" s="18"/>
      <c r="F88" s="18"/>
      <c r="G88" s="19"/>
      <c r="I88" s="198"/>
    </row>
    <row r="89" spans="1:9" ht="32.1" hidden="1" customHeight="1" outlineLevel="1">
      <c r="B89" s="424" t="str">
        <f>"Scaling Inputs: "&amp;C87</f>
        <v>Scaling Inputs: Metal Carbide on Metal Oxide</v>
      </c>
      <c r="C89" s="425"/>
      <c r="D89" s="425"/>
      <c r="E89" s="425"/>
      <c r="F89" s="425"/>
      <c r="G89" s="426"/>
      <c r="I89" s="198"/>
    </row>
    <row r="90" spans="1:9" hidden="1" outlineLevel="1">
      <c r="B90" s="16"/>
      <c r="C90" s="17" t="s">
        <v>1738</v>
      </c>
      <c r="D90" s="18"/>
      <c r="E90" s="18"/>
      <c r="F90" s="18"/>
      <c r="G90" s="19"/>
      <c r="I90" s="198"/>
    </row>
    <row r="91" spans="1:9" hidden="1" outlineLevel="1">
      <c r="B91" s="16"/>
      <c r="C91" s="137" t="s">
        <v>1835</v>
      </c>
      <c r="D91" s="176">
        <v>1000</v>
      </c>
      <c r="E91" s="48" t="str">
        <f>IF(COUNTBLANK(D92:D94)&gt;0,"select units below",D92&amp;" "&amp;D93&amp;"/"&amp;D94)</f>
        <v>kg catalyst/hour</v>
      </c>
      <c r="F91" s="42" t="s">
        <v>160</v>
      </c>
      <c r="G91" s="19"/>
      <c r="I91" s="198"/>
    </row>
    <row r="92" spans="1:9" hidden="1" outlineLevel="1">
      <c r="B92" s="16"/>
      <c r="C92" s="137"/>
      <c r="D92" s="176" t="s">
        <v>71</v>
      </c>
      <c r="E92" s="48" t="s">
        <v>912</v>
      </c>
      <c r="F92" s="48"/>
      <c r="G92" s="19"/>
      <c r="I92" s="198"/>
    </row>
    <row r="93" spans="1:9" hidden="1" outlineLevel="1">
      <c r="B93" s="16"/>
      <c r="C93" s="137"/>
      <c r="D93" s="176" t="s">
        <v>915</v>
      </c>
      <c r="E93" s="48" t="s">
        <v>914</v>
      </c>
      <c r="F93" s="42" t="s">
        <v>160</v>
      </c>
      <c r="G93" s="19"/>
      <c r="I93" s="198"/>
    </row>
    <row r="94" spans="1:9" hidden="1" outlineLevel="1">
      <c r="B94" s="16"/>
      <c r="C94" s="137"/>
      <c r="D94" s="176" t="s">
        <v>961</v>
      </c>
      <c r="E94" s="48" t="s">
        <v>913</v>
      </c>
      <c r="F94" s="42" t="s">
        <v>160</v>
      </c>
      <c r="G94" s="19"/>
      <c r="I94" s="198"/>
    </row>
    <row r="95" spans="1:9" hidden="1" outlineLevel="1">
      <c r="B95" s="16"/>
      <c r="C95" s="137" t="s">
        <v>1836</v>
      </c>
      <c r="D95" s="49">
        <f>IFERROR(D91*VLOOKUP(D92,UnitConv[],5,FALSE)/VLOOKUP(OutMassUnit,UnitConv[],5,FALSE)*IF(D93="active phase",100/APWeightPercent,1)/CHOOSE(MATCH(D94,{"hour","day","week","month","year"},0),1,24,24*7,7884/12,7884),"-----")</f>
        <v>1000</v>
      </c>
      <c r="E95" s="48" t="str">
        <f>OutMassUnit&amp;" catalyst/hour"</f>
        <v>kg catalyst/hour</v>
      </c>
      <c r="F95" s="42" t="s">
        <v>160</v>
      </c>
      <c r="G95" s="19"/>
      <c r="I95" s="198"/>
    </row>
    <row r="96" spans="1:9" hidden="1" outlineLevel="1">
      <c r="B96" s="16"/>
      <c r="C96" s="134"/>
      <c r="D96" s="98"/>
      <c r="E96" s="48"/>
      <c r="F96" s="48"/>
      <c r="G96" s="19"/>
      <c r="I96" s="198"/>
    </row>
    <row r="97" spans="2:21" hidden="1" outlineLevel="1">
      <c r="B97" s="16"/>
      <c r="C97" s="17" t="s">
        <v>1823</v>
      </c>
      <c r="D97" s="18"/>
      <c r="E97" s="18"/>
      <c r="F97" s="18"/>
      <c r="G97" s="19"/>
      <c r="I97" s="198"/>
    </row>
    <row r="98" spans="2:21" hidden="1" outlineLevel="1">
      <c r="B98" s="16"/>
      <c r="C98" s="137" t="s">
        <v>1834</v>
      </c>
      <c r="D98" s="49">
        <f>IF(DesignProductionRate=0,"-----",DesignProductionRate)</f>
        <v>1.2683916793505834</v>
      </c>
      <c r="E98" s="48" t="str">
        <f>OutMassUnit&amp;" catalyst/hour"</f>
        <v>kg catalyst/hour</v>
      </c>
      <c r="F98" s="42" t="s">
        <v>160</v>
      </c>
      <c r="G98" s="19"/>
      <c r="I98" s="198"/>
    </row>
    <row r="99" spans="2:21" ht="16.5" hidden="1" outlineLevel="1" thickBot="1">
      <c r="B99" s="16"/>
      <c r="C99" s="18"/>
      <c r="D99" s="291"/>
      <c r="E99" s="18"/>
      <c r="F99" s="18"/>
      <c r="G99" s="19"/>
    </row>
    <row r="100" spans="2:21" s="294" customFormat="1" ht="32.1" hidden="1" customHeight="1" outlineLevel="1">
      <c r="B100" s="424" t="str">
        <f>"Equipment List: "&amp;C87</f>
        <v>Equipment List: Metal Carbide on Metal Oxide</v>
      </c>
      <c r="C100" s="425"/>
      <c r="D100" s="425"/>
      <c r="E100" s="425"/>
      <c r="F100" s="425"/>
      <c r="G100" s="425"/>
      <c r="H100" s="292"/>
      <c r="I100" s="292"/>
      <c r="J100" s="292"/>
      <c r="K100" s="292"/>
      <c r="L100" s="292"/>
      <c r="M100" s="292"/>
      <c r="N100" s="292"/>
      <c r="O100" s="292"/>
      <c r="P100" s="292"/>
      <c r="Q100" s="293"/>
    </row>
    <row r="101" spans="2:21" ht="18.75" hidden="1" outlineLevel="1">
      <c r="B101" s="16"/>
      <c r="C101" s="428" t="s">
        <v>1837</v>
      </c>
      <c r="D101" s="428"/>
      <c r="E101" s="428"/>
      <c r="F101" s="428"/>
      <c r="G101" s="428"/>
      <c r="H101" s="428"/>
      <c r="I101" s="428"/>
      <c r="J101" s="73"/>
      <c r="K101" s="428" t="s">
        <v>1821</v>
      </c>
      <c r="L101" s="428"/>
      <c r="M101" s="73"/>
      <c r="N101" s="428" t="s">
        <v>1822</v>
      </c>
      <c r="O101" s="428"/>
      <c r="P101" s="428"/>
      <c r="Q101" s="19"/>
      <c r="S101" s="427" t="s">
        <v>997</v>
      </c>
      <c r="T101" s="427"/>
      <c r="U101" s="294"/>
    </row>
    <row r="102" spans="2:21" hidden="1" outlineLevel="1">
      <c r="B102" s="16"/>
      <c r="C102" s="64" t="s">
        <v>304</v>
      </c>
      <c r="D102" s="64" t="s">
        <v>310</v>
      </c>
      <c r="E102" s="64" t="s">
        <v>311</v>
      </c>
      <c r="F102" s="64" t="s">
        <v>307</v>
      </c>
      <c r="G102" s="64" t="s">
        <v>312</v>
      </c>
      <c r="H102" s="64" t="s">
        <v>305</v>
      </c>
      <c r="I102" s="64" t="s">
        <v>306</v>
      </c>
      <c r="J102" s="64"/>
      <c r="K102" s="64" t="s">
        <v>1073</v>
      </c>
      <c r="L102" s="64" t="s">
        <v>1074</v>
      </c>
      <c r="M102" s="64"/>
      <c r="N102" s="64" t="s">
        <v>308</v>
      </c>
      <c r="O102" s="64" t="s">
        <v>354</v>
      </c>
      <c r="P102" s="64" t="s">
        <v>309</v>
      </c>
      <c r="Q102" s="19"/>
      <c r="S102" s="297" t="s">
        <v>304</v>
      </c>
      <c r="T102" s="297" t="s">
        <v>205</v>
      </c>
      <c r="U102" s="294"/>
    </row>
    <row r="103" spans="2:21" hidden="1" outlineLevel="1">
      <c r="B103" s="16"/>
      <c r="C103" s="69" t="s">
        <v>568</v>
      </c>
      <c r="D103" s="70" t="s">
        <v>955</v>
      </c>
      <c r="E103" s="70" t="s">
        <v>333</v>
      </c>
      <c r="F103" s="70">
        <v>1</v>
      </c>
      <c r="G103" s="130">
        <v>120.76020000000001</v>
      </c>
      <c r="H103" s="106" t="str">
        <f ca="1">IFERROR(VLOOKUP(C103,fnEquipLibRange,2,FALSE),"")</f>
        <v>Volume, ft3</v>
      </c>
      <c r="I103" s="100" t="str">
        <f ca="1">IF(ISBLANK(G103),"",IF(G103&lt;VLOOKUP(C103,fnEquipLibRange,3,FALSE),"&gt;&gt;&gt; Too Small &lt;&lt;&lt;",IF(G103&gt;VLOOKUP(C103,fnEquipLibRange,4,FALSE),"&gt;&gt;&gt; Too Large &lt;&lt;&lt;","Yes")))</f>
        <v>Yes</v>
      </c>
      <c r="J103" s="100"/>
      <c r="K103" s="101">
        <f ca="1">IF(F103*G103=0,"",IFERROR(IF(F103*G103*$D$98/$D$95&lt;VLOOKUP(C103,fnEquipLibRange,3,FALSE),MAX(1,F103),MAX(ROUNDUP(F103*G103*$D$98/$D$95/VLOOKUP(C103,fnEquipLibRange,4,FALSE),0),F103)),""))</f>
        <v>1</v>
      </c>
      <c r="L103" s="102">
        <f ca="1">IF(F103*G103=0,"",IFERROR(IF(F103*G103*$D$98/$D$95&lt;VLOOKUP(C103,fnEquipLibRange,3,FALSE),VLOOKUP(C103,fnEquipLibRange,3,FALSE),F103*G103*$D$98/$D$95/MAX(ROUNDUP(F103*G103*$D$98/$D$95/VLOOKUP(C103,fnEquipLibRange,4,FALSE),0),F103)),""))</f>
        <v>10</v>
      </c>
      <c r="M103" s="102"/>
      <c r="N103" s="103">
        <f ca="1">IF($K103="","",IFERROR($K103*fnEquipCostCorr*fnEquipCostIndex*fnEquipConstMaterial,""))</f>
        <v>1779.9520157802804</v>
      </c>
      <c r="O103" s="104">
        <f ca="1">IFERROR(fnEquipInstFactor*N103,"")</f>
        <v>1779.9520157802804</v>
      </c>
      <c r="P103" s="105">
        <f ca="1">IFERROR(fnEquipLaborFactor*K103,"")</f>
        <v>0</v>
      </c>
      <c r="Q103" s="19"/>
      <c r="S103" s="94" t="str">
        <f>IF(ISBLANK(C103),"",C103)</f>
        <v>Bin</v>
      </c>
      <c r="T103" s="11" t="str">
        <f ca="1">IFERROR(IF(INDEX(fnEquipLibRange,fnEquipRowNum,39)="","",INDEX(fnEquipLibRange,fnEquipRowNum,39)),"")</f>
        <v>Carbon steel at atmospheric pressure</v>
      </c>
      <c r="U103" s="294"/>
    </row>
    <row r="104" spans="2:21" hidden="1" outlineLevel="1">
      <c r="B104" s="16"/>
      <c r="C104" s="69" t="s">
        <v>569</v>
      </c>
      <c r="D104" s="70" t="s">
        <v>956</v>
      </c>
      <c r="E104" s="70" t="s">
        <v>333</v>
      </c>
      <c r="F104" s="70">
        <v>1</v>
      </c>
      <c r="G104" s="130">
        <v>96.396300000000011</v>
      </c>
      <c r="H104" s="106" t="str">
        <f ca="1">IFERROR(VLOOKUP(C104,fnEquipLibRange,2,FALSE),"")</f>
        <v>Volumetric flow rate, ft3/hr</v>
      </c>
      <c r="I104" s="100" t="str">
        <f ca="1">IF(ISBLANK(G104),"",IF(G104&lt;VLOOKUP(C104,fnEquipLibRange,3,FALSE),"&gt;&gt;&gt; Too Small &lt;&lt;&lt;",IF(G104&gt;VLOOKUP(C104,fnEquipLibRange,4,FALSE),"&gt;&gt;&gt; Too Large &lt;&lt;&lt;","Yes")))</f>
        <v>&gt;&gt;&gt; Too Small &lt;&lt;&lt;</v>
      </c>
      <c r="J104" s="100"/>
      <c r="K104" s="101">
        <f ca="1">IF(F104*G104=0,"",IFERROR(IF(F104*G104*$D$98/$D$95&lt;VLOOKUP(C104,fnEquipLibRange,3,FALSE),MAX(1,F104),MAX(ROUNDUP(F104*G104*$D$98/$D$95/VLOOKUP(C104,fnEquipLibRange,4,FALSE),0),F104)),""))</f>
        <v>1</v>
      </c>
      <c r="L104" s="102">
        <f ca="1">IF(F104*G104=0,"",IFERROR(IF(F104*G104*$D$98/$D$95&lt;VLOOKUP(C104,fnEquipLibRange,3,FALSE),VLOOKUP(C104,fnEquipLibRange,3,FALSE),F104*G104*$D$98/$D$95/MAX(ROUNDUP(F104*G104*$D$98/$D$95/VLOOKUP(C104,fnEquipLibRange,4,FALSE),0),F104)),""))</f>
        <v>120</v>
      </c>
      <c r="M104" s="102"/>
      <c r="N104" s="103">
        <f ca="1">IF($K104="","",IFERROR($K104*fnEquipCostCorr*fnEquipCostIndex*fnEquipConstMaterial,""))</f>
        <v>4790.2170893292978</v>
      </c>
      <c r="O104" s="104">
        <f ca="1">IFERROR(fnEquipInstFactor*N104,"")</f>
        <v>8239.1733936463916</v>
      </c>
      <c r="P104" s="105">
        <f ca="1">IFERROR(fnEquipLaborFactor*K104,"")</f>
        <v>0.1</v>
      </c>
      <c r="Q104" s="19"/>
      <c r="S104" s="94" t="str">
        <f t="shared" ref="S104:S122" si="1">IF(ISBLANK(C104),"",C104)</f>
        <v>Feeder, belt</v>
      </c>
      <c r="T104" s="11" t="str">
        <f ca="1">IFERROR(IF(INDEX(fnEquipLibRange,fnEquipRowNum,39)="","",INDEX(fnEquipLibRange,fnEquipRowNum,39)),"")</f>
        <v>Includes motor and drive belt</v>
      </c>
    </row>
    <row r="105" spans="2:21" hidden="1" outlineLevel="1">
      <c r="B105" s="16"/>
      <c r="C105" s="69" t="s">
        <v>276</v>
      </c>
      <c r="D105" s="70" t="s">
        <v>315</v>
      </c>
      <c r="E105" s="70" t="s">
        <v>333</v>
      </c>
      <c r="F105" s="70">
        <v>1</v>
      </c>
      <c r="G105" s="130">
        <v>4.79</v>
      </c>
      <c r="H105" s="106" t="str">
        <f ca="1">IFERROR(VLOOKUP(C105,fnEquipLibRange,2,FALSE),"")</f>
        <v>volume, m3</v>
      </c>
      <c r="I105" s="100" t="str">
        <f ca="1">IF(ISBLANK(G105),"",IF(G105&lt;VLOOKUP(C105,fnEquipLibRange,3,FALSE),"&gt;&gt;&gt; Too Small &lt;&lt;&lt;",IF(G105&gt;VLOOKUP(C105,fnEquipLibRange,4,FALSE),"&gt;&gt;&gt; Too Large &lt;&lt;&lt;","Yes")))</f>
        <v>Yes</v>
      </c>
      <c r="J105" s="100"/>
      <c r="K105" s="101">
        <f ca="1">IF(F105*G105=0,"",IFERROR(IF(F105*G105*$D$98/$D$95&lt;VLOOKUP(C105,fnEquipLibRange,3,FALSE),MAX(1,F105),MAX(ROUNDUP(F105*G105*$D$98/$D$95/VLOOKUP(C105,fnEquipLibRange,4,FALSE),0),F105)),""))</f>
        <v>1</v>
      </c>
      <c r="L105" s="102">
        <f ca="1">IF(F105*G105=0,"",IFERROR(IF(F105*G105*$D$98/$D$95&lt;VLOOKUP(C105,fnEquipLibRange,3,FALSE),VLOOKUP(C105,fnEquipLibRange,3,FALSE),F105*G105*$D$98/$D$95/MAX(ROUNDUP(F105*G105*$D$98/$D$95/VLOOKUP(C105,fnEquipLibRange,4,FALSE),0),F105)),""))</f>
        <v>0.5</v>
      </c>
      <c r="M105" s="102"/>
      <c r="N105" s="103">
        <f ca="1">IF($K105="","",IFERROR($K105*fnEquipCostCorr*fnEquipCostIndex*fnEquipConstMaterial,""))</f>
        <v>62684.745091669349</v>
      </c>
      <c r="O105" s="104">
        <f ca="1">IFERROR(fnEquipInstFactor*N105,"")</f>
        <v>106564.06665583789</v>
      </c>
      <c r="P105" s="105">
        <f ca="1">IFERROR(fnEquipLaborFactor*K105,"")</f>
        <v>0.3</v>
      </c>
      <c r="Q105" s="19"/>
      <c r="S105" s="94" t="str">
        <f t="shared" si="1"/>
        <v>Reactor, jacketed, agitated</v>
      </c>
      <c r="T105" s="11" t="str">
        <f ca="1">IFERROR(IF(INDEX(fnEquipLibRange,fnEquipRowNum,39)="","",INDEX(fnEquipLibRange,fnEquipRowNum,39)),"")</f>
        <v/>
      </c>
    </row>
    <row r="106" spans="2:21" hidden="1" outlineLevel="1">
      <c r="B106" s="16"/>
      <c r="C106" s="69" t="s">
        <v>675</v>
      </c>
      <c r="D106" s="70" t="s">
        <v>957</v>
      </c>
      <c r="E106" s="70" t="s">
        <v>679</v>
      </c>
      <c r="F106" s="70">
        <v>1</v>
      </c>
      <c r="G106" s="130">
        <v>7170000</v>
      </c>
      <c r="H106" s="106" t="str">
        <f ca="1">IFERROR(VLOOKUP(C106,fnEquipLibRange,2,FALSE),"")</f>
        <v>Heat duty, Btu/hr</v>
      </c>
      <c r="I106" s="100" t="str">
        <f ca="1">IF(ISBLANK(G106),"",IF(G106&lt;VLOOKUP(C106,fnEquipLibRange,3,FALSE),"&gt;&gt;&gt; Too Small &lt;&lt;&lt;",IF(G106&gt;VLOOKUP(C106,fnEquipLibRange,4,FALSE),"&gt;&gt;&gt; Too Large &lt;&lt;&lt;","Yes")))</f>
        <v>&gt;&gt;&gt; Too Small &lt;&lt;&lt;</v>
      </c>
      <c r="J106" s="100"/>
      <c r="K106" s="101">
        <f ca="1">IF(F106*G106=0,"",IFERROR(IF(F106*G106*$D$98/$D$95&lt;VLOOKUP(C106,fnEquipLibRange,3,FALSE),MAX(1,F106),MAX(ROUNDUP(F106*G106*$D$98/$D$95/VLOOKUP(C106,fnEquipLibRange,4,FALSE),0),F106)),""))</f>
        <v>1</v>
      </c>
      <c r="L106" s="102">
        <f ca="1">IF(F106*G106=0,"",IFERROR(IF(F106*G106*$D$98/$D$95&lt;VLOOKUP(C106,fnEquipLibRange,3,FALSE),VLOOKUP(C106,fnEquipLibRange,3,FALSE),F106*G106*$D$98/$D$95/MAX(ROUNDUP(F106*G106*$D$98/$D$95/VLOOKUP(C106,fnEquipLibRange,4,FALSE),0),F106)),""))</f>
        <v>10000000</v>
      </c>
      <c r="M106" s="102"/>
      <c r="N106" s="103">
        <f ca="1">IF($K106="","",IFERROR($K106*fnEquipCostCorr*fnEquipCostIndex*fnEquipConstMaterial,""))</f>
        <v>256439.51964657885</v>
      </c>
      <c r="O106" s="104">
        <f ca="1">IFERROR(fnEquipInstFactor*N106,"")</f>
        <v>389788.06986279984</v>
      </c>
      <c r="P106" s="105">
        <f ca="1">IFERROR(fnEquipLaborFactor*K106,"")</f>
        <v>0.3</v>
      </c>
      <c r="Q106" s="19"/>
      <c r="S106" s="94" t="str">
        <f t="shared" si="1"/>
        <v>Heater, general purpose (box furnace)</v>
      </c>
      <c r="T106" s="11" t="str">
        <f ca="1">IFERROR(IF(INDEX(fnEquipLibRange,fnEquipRowNum,39)="","",INDEX(fnEquipLibRange,fnEquipRowNum,39)),"")</f>
        <v>Gas or fuel oil; up to 500 psig, for 500–3000 psig multiply purchase price by pressure factor = [0.986 – 0.0035*(P, psig) + 0.0175*(P, psig)^2]</v>
      </c>
    </row>
    <row r="107" spans="2:21" hidden="1" outlineLevel="1">
      <c r="B107" s="16"/>
      <c r="C107" s="69" t="s">
        <v>276</v>
      </c>
      <c r="D107" s="70" t="s">
        <v>316</v>
      </c>
      <c r="E107" s="70" t="s">
        <v>333</v>
      </c>
      <c r="F107" s="70">
        <v>1</v>
      </c>
      <c r="G107" s="130">
        <v>5.47</v>
      </c>
      <c r="H107" s="106" t="str">
        <f ca="1">IFERROR(VLOOKUP(C107,fnEquipLibRange,2,FALSE),"")</f>
        <v>volume, m3</v>
      </c>
      <c r="I107" s="100" t="str">
        <f ca="1">IF(ISBLANK(G107),"",IF(G107&lt;VLOOKUP(C107,fnEquipLibRange,3,FALSE),"&gt;&gt;&gt; Too Small &lt;&lt;&lt;",IF(G107&gt;VLOOKUP(C107,fnEquipLibRange,4,FALSE),"&gt;&gt;&gt; Too Large &lt;&lt;&lt;","Yes")))</f>
        <v>Yes</v>
      </c>
      <c r="J107" s="100"/>
      <c r="K107" s="101">
        <f ca="1">IF(F107*G107=0,"",IFERROR(IF(F107*G107*$D$98/$D$95&lt;VLOOKUP(C107,fnEquipLibRange,3,FALSE),MAX(1,F107),MAX(ROUNDUP(F107*G107*$D$98/$D$95/VLOOKUP(C107,fnEquipLibRange,4,FALSE),0),F107)),""))</f>
        <v>1</v>
      </c>
      <c r="L107" s="102">
        <f ca="1">IF(F107*G107=0,"",IFERROR(IF(F107*G107*$D$98/$D$95&lt;VLOOKUP(C107,fnEquipLibRange,3,FALSE),VLOOKUP(C107,fnEquipLibRange,3,FALSE),F107*G107*$D$98/$D$95/MAX(ROUNDUP(F107*G107*$D$98/$D$95/VLOOKUP(C107,fnEquipLibRange,4,FALSE),0),F107)),""))</f>
        <v>0.5</v>
      </c>
      <c r="M107" s="102"/>
      <c r="N107" s="103">
        <f ca="1">IF($K107="","",IFERROR($K107*fnEquipCostCorr*fnEquipCostIndex*fnEquipConstMaterial,""))</f>
        <v>62684.745091669349</v>
      </c>
      <c r="O107" s="104">
        <f ca="1">IFERROR(fnEquipInstFactor*N107,"")</f>
        <v>106564.06665583789</v>
      </c>
      <c r="P107" s="105">
        <f ca="1">IFERROR(fnEquipLaborFactor*K107,"")</f>
        <v>0.3</v>
      </c>
      <c r="Q107" s="19"/>
      <c r="S107" s="94" t="str">
        <f t="shared" si="1"/>
        <v>Reactor, jacketed, agitated</v>
      </c>
      <c r="T107" s="11" t="str">
        <f ca="1">IFERROR(IF(INDEX(fnEquipLibRange,fnEquipRowNum,39)="","",INDEX(fnEquipLibRange,fnEquipRowNum,39)),"")</f>
        <v/>
      </c>
    </row>
    <row r="108" spans="2:21" hidden="1" outlineLevel="1">
      <c r="B108" s="16"/>
      <c r="C108" s="69" t="s">
        <v>733</v>
      </c>
      <c r="D108" s="70" t="s">
        <v>1000</v>
      </c>
      <c r="E108" s="70" t="s">
        <v>333</v>
      </c>
      <c r="F108" s="70">
        <v>1</v>
      </c>
      <c r="G108" s="130">
        <v>2.4500000000000002</v>
      </c>
      <c r="H108" s="106" t="str">
        <f ca="1">IFERROR(VLOOKUP(C108,fnEquipLibRange,2,FALSE),"")</f>
        <v>area, m2</v>
      </c>
      <c r="I108" s="100" t="str">
        <f ca="1">IF(ISBLANK(G108),"",IF(G108&lt;VLOOKUP(C108,fnEquipLibRange,3,FALSE),"&gt;&gt;&gt; Too Small &lt;&lt;&lt;",IF(G108&gt;VLOOKUP(C108,fnEquipLibRange,4,FALSE),"&gt;&gt;&gt; Too Large &lt;&lt;&lt;","Yes")))</f>
        <v>&gt;&gt;&gt; Too Small &lt;&lt;&lt;</v>
      </c>
      <c r="J108" s="100"/>
      <c r="K108" s="101">
        <f ca="1">IF(F108*G108=0,"",IFERROR(IF(F108*G108*$D$98/$D$95&lt;VLOOKUP(C108,fnEquipLibRange,3,FALSE),MAX(1,F108),MAX(ROUNDUP(F108*G108*$D$98/$D$95/VLOOKUP(C108,fnEquipLibRange,4,FALSE),0),F108)),""))</f>
        <v>1</v>
      </c>
      <c r="L108" s="102">
        <f ca="1">IF(F108*G108=0,"",IFERROR(IF(F108*G108*$D$98/$D$95&lt;VLOOKUP(C108,fnEquipLibRange,3,FALSE),VLOOKUP(C108,fnEquipLibRange,3,FALSE),F108*G108*$D$98/$D$95/MAX(ROUNDUP(F108*G108*$D$98/$D$95/VLOOKUP(C108,fnEquipLibRange,4,FALSE),0),F108)),""))</f>
        <v>10</v>
      </c>
      <c r="M108" s="102"/>
      <c r="N108" s="103">
        <f ca="1">IF($K108="","",IFERROR($K108*fnEquipCostCorr*fnEquipCostIndex*fnEquipConstMaterial,""))</f>
        <v>29332.350885480093</v>
      </c>
      <c r="O108" s="104">
        <f ca="1">IFERROR(fnEquipInstFactor*N108,"")</f>
        <v>47225.084925622956</v>
      </c>
      <c r="P108" s="105">
        <f ca="1">IFERROR(fnEquipLaborFactor*K108,"")</f>
        <v>0.05</v>
      </c>
      <c r="Q108" s="19"/>
      <c r="S108" s="94" t="str">
        <f t="shared" si="1"/>
        <v>Heat exchanger, U-tube shell and tube</v>
      </c>
      <c r="T108" s="11" t="str">
        <f ca="1">IFERROR(IF(INDEX(fnEquipLibRange,fnEquipRowNum,39)="","",INDEX(fnEquipLibRange,fnEquipRowNum,39)),"")</f>
        <v/>
      </c>
    </row>
    <row r="109" spans="2:21" hidden="1" outlineLevel="1">
      <c r="B109" s="16"/>
      <c r="C109" s="69" t="s">
        <v>672</v>
      </c>
      <c r="D109" s="70" t="s">
        <v>958</v>
      </c>
      <c r="E109" s="70" t="s">
        <v>333</v>
      </c>
      <c r="F109" s="70">
        <v>1</v>
      </c>
      <c r="G109" s="130">
        <v>8.61</v>
      </c>
      <c r="H109" s="106" t="str">
        <f ca="1">IFERROR(VLOOKUP(C109,fnEquipLibRange,2,FALSE),"")</f>
        <v>Consumed power, hp</v>
      </c>
      <c r="I109" s="100" t="str">
        <f ca="1">IF(ISBLANK(G109),"",IF(G109&lt;VLOOKUP(C109,fnEquipLibRange,3,FALSE),"&gt;&gt;&gt; Too Small &lt;&lt;&lt;",IF(G109&gt;VLOOKUP(C109,fnEquipLibRange,4,FALSE),"&gt;&gt;&gt; Too Large &lt;&lt;&lt;","Yes")))</f>
        <v>&gt;&gt;&gt; Too Small &lt;&lt;&lt;</v>
      </c>
      <c r="J109" s="100"/>
      <c r="K109" s="101">
        <f ca="1">IF(F109*G109=0,"",IFERROR(IF(F109*G109*$D$98/$D$95&lt;VLOOKUP(C109,fnEquipLibRange,3,FALSE),MAX(1,F109),MAX(ROUNDUP(F109*G109*$D$98/$D$95/VLOOKUP(C109,fnEquipLibRange,4,FALSE),0),F109)),""))</f>
        <v>1</v>
      </c>
      <c r="L109" s="102">
        <f ca="1">IF(F109*G109=0,"",IFERROR(IF(F109*G109*$D$98/$D$95&lt;VLOOKUP(C109,fnEquipLibRange,3,FALSE),VLOOKUP(C109,fnEquipLibRange,3,FALSE),F109*G109*$D$98/$D$95/MAX(ROUNDUP(F109*G109*$D$98/$D$95/VLOOKUP(C109,fnEquipLibRange,4,FALSE),0),F109)),""))</f>
        <v>10</v>
      </c>
      <c r="M109" s="102"/>
      <c r="N109" s="103">
        <f ca="1">IF($K109="","",IFERROR($K109*fnEquipCostCorr*fnEquipCostIndex*fnEquipConstMaterial,""))</f>
        <v>19374.546001990613</v>
      </c>
      <c r="O109" s="104">
        <f ca="1">IFERROR(fnEquipInstFactor*N109,"")</f>
        <v>28868.073542966013</v>
      </c>
      <c r="P109" s="105">
        <f ca="1">IFERROR(fnEquipLaborFactor*K109,"")</f>
        <v>0.1</v>
      </c>
      <c r="Q109" s="19"/>
      <c r="S109" s="94" t="str">
        <f t="shared" si="1"/>
        <v>Compressor, rotary twin-screw, electric motor (preferred)</v>
      </c>
      <c r="T109" s="11" t="str">
        <f ca="1">IFERROR(IF(INDEX(fnEquipLibRange,fnEquipRowNum,39)="","",INDEX(fnEquipLibRange,fnEquipRowNum,39)),"")</f>
        <v>Includes drive and electric motor</v>
      </c>
    </row>
    <row r="110" spans="2:21" hidden="1" outlineLevel="1">
      <c r="B110" s="16"/>
      <c r="C110" s="69" t="s">
        <v>640</v>
      </c>
      <c r="D110" s="70" t="s">
        <v>959</v>
      </c>
      <c r="E110" s="70" t="s">
        <v>333</v>
      </c>
      <c r="F110" s="70">
        <v>1</v>
      </c>
      <c r="G110" s="130">
        <v>0.47</v>
      </c>
      <c r="H110" s="106" t="str">
        <f ca="1">IFERROR(VLOOKUP(C110,fnEquipLibRange,2,FALSE),"")</f>
        <v>Brake horsepower</v>
      </c>
      <c r="I110" s="100" t="str">
        <f ca="1">IF(ISBLANK(G110),"",IF(G110&lt;VLOOKUP(C110,fnEquipLibRange,3,FALSE),"&gt;&gt;&gt; Too Small &lt;&lt;&lt;",IF(G110&gt;VLOOKUP(C110,fnEquipLibRange,4,FALSE),"&gt;&gt;&gt; Too Large &lt;&lt;&lt;","Yes")))</f>
        <v>&gt;&gt;&gt; Too Small &lt;&lt;&lt;</v>
      </c>
      <c r="J110" s="100"/>
      <c r="K110" s="101">
        <f ca="1">IF(F110*G110=0,"",IFERROR(IF(F110*G110*$D$98/$D$95&lt;VLOOKUP(C110,fnEquipLibRange,3,FALSE),MAX(1,F110),MAX(ROUNDUP(F110*G110*$D$98/$D$95/VLOOKUP(C110,fnEquipLibRange,4,FALSE),0),F110)),""))</f>
        <v>1</v>
      </c>
      <c r="L110" s="102">
        <f ca="1">IF(F110*G110=0,"",IFERROR(IF(F110*G110*$D$98/$D$95&lt;VLOOKUP(C110,fnEquipLibRange,3,FALSE),VLOOKUP(C110,fnEquipLibRange,3,FALSE),F110*G110*$D$98/$D$95/MAX(ROUNDUP(F110*G110*$D$98/$D$95/VLOOKUP(C110,fnEquipLibRange,4,FALSE),0),F110)),""))</f>
        <v>5</v>
      </c>
      <c r="M110" s="102"/>
      <c r="N110" s="103">
        <f ca="1">IF($K110="","",IFERROR($K110*fnEquipCostCorr*fnEquipCostIndex*fnEquipConstMaterial,""))</f>
        <v>3806.6658871266923</v>
      </c>
      <c r="O110" s="104">
        <f ca="1">IFERROR(fnEquipInstFactor*N110,"")</f>
        <v>5671.9321718187712</v>
      </c>
      <c r="P110" s="105">
        <f ca="1">IFERROR(fnEquipLaborFactor*K110,"")</f>
        <v>0.1</v>
      </c>
      <c r="Q110" s="19"/>
      <c r="S110" s="94" t="str">
        <f t="shared" si="1"/>
        <v>Blower, centrifugal (turbo)</v>
      </c>
      <c r="T110" s="11" t="str">
        <f ca="1">IFERROR(IF(INDEX(fnEquipLibRange,fnEquipRowNum,39)="","",INDEX(fnEquipLibRange,fnEquipRowNum,39)),"")</f>
        <v>Includes drive and electric motor; cast iron housing; a "blower" may operate at any suction pressure and applies to compression ratios of up to 2</v>
      </c>
    </row>
    <row r="111" spans="2:21" hidden="1" outlineLevel="1">
      <c r="B111" s="16"/>
      <c r="C111" s="69" t="s">
        <v>672</v>
      </c>
      <c r="D111" s="70" t="s">
        <v>1001</v>
      </c>
      <c r="E111" s="70" t="s">
        <v>333</v>
      </c>
      <c r="F111" s="70">
        <v>1</v>
      </c>
      <c r="G111" s="130">
        <v>29.72</v>
      </c>
      <c r="H111" s="106" t="str">
        <f ca="1">IFERROR(VLOOKUP(C111,fnEquipLibRange,2,FALSE),"")</f>
        <v>Consumed power, hp</v>
      </c>
      <c r="I111" s="100" t="str">
        <f ca="1">IF(ISBLANK(G111),"",IF(G111&lt;VLOOKUP(C111,fnEquipLibRange,3,FALSE),"&gt;&gt;&gt; Too Small &lt;&lt;&lt;",IF(G111&gt;VLOOKUP(C111,fnEquipLibRange,4,FALSE),"&gt;&gt;&gt; Too Large &lt;&lt;&lt;","Yes")))</f>
        <v>Yes</v>
      </c>
      <c r="J111" s="100"/>
      <c r="K111" s="101">
        <f ca="1">IF(F111*G111=0,"",IFERROR(IF(F111*G111*$D$98/$D$95&lt;VLOOKUP(C111,fnEquipLibRange,3,FALSE),MAX(1,F111),MAX(ROUNDUP(F111*G111*$D$98/$D$95/VLOOKUP(C111,fnEquipLibRange,4,FALSE),0),F111)),""))</f>
        <v>1</v>
      </c>
      <c r="L111" s="102">
        <f ca="1">IF(F111*G111=0,"",IFERROR(IF(F111*G111*$D$98/$D$95&lt;VLOOKUP(C111,fnEquipLibRange,3,FALSE),VLOOKUP(C111,fnEquipLibRange,3,FALSE),F111*G111*$D$98/$D$95/MAX(ROUNDUP(F111*G111*$D$98/$D$95/VLOOKUP(C111,fnEquipLibRange,4,FALSE),0),F111)),""))</f>
        <v>10</v>
      </c>
      <c r="M111" s="102"/>
      <c r="N111" s="103">
        <f ca="1">IF($K111="","",IFERROR($K111*fnEquipCostCorr*fnEquipCostIndex*fnEquipConstMaterial,""))</f>
        <v>19374.546001990613</v>
      </c>
      <c r="O111" s="104">
        <f ca="1">IFERROR(fnEquipInstFactor*N111,"")</f>
        <v>28868.073542966013</v>
      </c>
      <c r="P111" s="105">
        <f ca="1">IFERROR(fnEquipLaborFactor*K111,"")</f>
        <v>0.1</v>
      </c>
      <c r="Q111" s="19"/>
      <c r="S111" s="94" t="str">
        <f t="shared" si="1"/>
        <v>Compressor, rotary twin-screw, electric motor (preferred)</v>
      </c>
      <c r="T111" s="11" t="str">
        <f ca="1">IFERROR(IF(INDEX(fnEquipLibRange,fnEquipRowNum,39)="","",INDEX(fnEquipLibRange,fnEquipRowNum,39)),"")</f>
        <v>Includes drive and electric motor</v>
      </c>
    </row>
    <row r="112" spans="2:21" hidden="1" outlineLevel="1">
      <c r="B112" s="16"/>
      <c r="C112" s="69" t="s">
        <v>640</v>
      </c>
      <c r="D112" s="70" t="s">
        <v>1002</v>
      </c>
      <c r="E112" s="70" t="s">
        <v>333</v>
      </c>
      <c r="F112" s="70">
        <v>1</v>
      </c>
      <c r="G112" s="130">
        <v>64.59</v>
      </c>
      <c r="H112" s="106" t="str">
        <f ca="1">IFERROR(VLOOKUP(C112,fnEquipLibRange,2,FALSE),"")</f>
        <v>Brake horsepower</v>
      </c>
      <c r="I112" s="100" t="str">
        <f ca="1">IF(ISBLANK(G112),"",IF(G112&lt;VLOOKUP(C112,fnEquipLibRange,3,FALSE),"&gt;&gt;&gt; Too Small &lt;&lt;&lt;",IF(G112&gt;VLOOKUP(C112,fnEquipLibRange,4,FALSE),"&gt;&gt;&gt; Too Large &lt;&lt;&lt;","Yes")))</f>
        <v>Yes</v>
      </c>
      <c r="J112" s="100"/>
      <c r="K112" s="101">
        <f ca="1">IF(F112*G112=0,"",IFERROR(IF(F112*G112*$D$98/$D$95&lt;VLOOKUP(C112,fnEquipLibRange,3,FALSE),MAX(1,F112),MAX(ROUNDUP(F112*G112*$D$98/$D$95/VLOOKUP(C112,fnEquipLibRange,4,FALSE),0),F112)),""))</f>
        <v>1</v>
      </c>
      <c r="L112" s="102">
        <f ca="1">IF(F112*G112=0,"",IFERROR(IF(F112*G112*$D$98/$D$95&lt;VLOOKUP(C112,fnEquipLibRange,3,FALSE),VLOOKUP(C112,fnEquipLibRange,3,FALSE),F112*G112*$D$98/$D$95/MAX(ROUNDUP(F112*G112*$D$98/$D$95/VLOOKUP(C112,fnEquipLibRange,4,FALSE),0),F112)),""))</f>
        <v>5</v>
      </c>
      <c r="M112" s="102"/>
      <c r="N112" s="103">
        <f ca="1">IF($K112="","",IFERROR($K112*fnEquipCostCorr*fnEquipCostIndex*fnEquipConstMaterial,""))</f>
        <v>3806.6658871266923</v>
      </c>
      <c r="O112" s="104">
        <f ca="1">IFERROR(fnEquipInstFactor*N112,"")</f>
        <v>5671.9321718187712</v>
      </c>
      <c r="P112" s="105">
        <f ca="1">IFERROR(fnEquipLaborFactor*K112,"")</f>
        <v>0.1</v>
      </c>
      <c r="Q112" s="19"/>
      <c r="S112" s="94" t="str">
        <f t="shared" si="1"/>
        <v>Blower, centrifugal (turbo)</v>
      </c>
      <c r="T112" s="11" t="str">
        <f ca="1">IFERROR(IF(INDEX(fnEquipLibRange,fnEquipRowNum,39)="","",INDEX(fnEquipLibRange,fnEquipRowNum,39)),"")</f>
        <v>Includes drive and electric motor; cast iron housing; a "blower" may operate at any suction pressure and applies to compression ratios of up to 2</v>
      </c>
    </row>
    <row r="113" spans="2:20" hidden="1" outlineLevel="1">
      <c r="B113" s="16"/>
      <c r="C113" s="69" t="s">
        <v>777</v>
      </c>
      <c r="D113" s="70" t="s">
        <v>1003</v>
      </c>
      <c r="E113" s="70" t="s">
        <v>780</v>
      </c>
      <c r="F113" s="70">
        <v>1</v>
      </c>
      <c r="G113" s="130">
        <v>3053.89</v>
      </c>
      <c r="H113" s="106" t="str">
        <f ca="1">IFERROR(VLOOKUP(C113,fnEquipLibRange,2,FALSE),"")</f>
        <v>Waste gas flow rate, lb/hr</v>
      </c>
      <c r="I113" s="100" t="str">
        <f ca="1">IF(ISBLANK(G113),"",IF(G113&lt;VLOOKUP(C113,fnEquipLibRange,3,FALSE),"&gt;&gt;&gt; Too Small &lt;&lt;&lt;",IF(G113&gt;VLOOKUP(C113,fnEquipLibRange,4,FALSE),"&gt;&gt;&gt; Too Large &lt;&lt;&lt;","Yes")))</f>
        <v>Yes</v>
      </c>
      <c r="J113" s="100"/>
      <c r="K113" s="101">
        <f ca="1">IF(F113*G113=0,"",IFERROR(IF(F113*G113*$D$98/$D$95&lt;VLOOKUP(C113,fnEquipLibRange,3,FALSE),MAX(1,F113),MAX(ROUNDUP(F113*G113*$D$98/$D$95/VLOOKUP(C113,fnEquipLibRange,4,FALSE),0),F113)),""))</f>
        <v>1</v>
      </c>
      <c r="L113" s="102">
        <f ca="1">IF(F113*G113=0,"",IFERROR(IF(F113*G113*$D$98/$D$95&lt;VLOOKUP(C113,fnEquipLibRange,3,FALSE),VLOOKUP(C113,fnEquipLibRange,3,FALSE),F113*G113*$D$98/$D$95/MAX(ROUNDUP(F113*G113*$D$98/$D$95/VLOOKUP(C113,fnEquipLibRange,4,FALSE),0),F113)),""))</f>
        <v>2500</v>
      </c>
      <c r="M113" s="102"/>
      <c r="N113" s="103">
        <f ca="1">IF($K113="","",IFERROR($K113*fnEquipCostCorr*fnEquipCostIndex*fnEquipConstMaterial,""))</f>
        <v>44690.250000000058</v>
      </c>
      <c r="O113" s="104">
        <f ca="1">IFERROR(fnEquipInstFactor*N113,"")</f>
        <v>64800.862500000083</v>
      </c>
      <c r="P113" s="105">
        <f ca="1">IFERROR(fnEquipLaborFactor*K113,"")</f>
        <v>0.1</v>
      </c>
      <c r="Q113" s="19"/>
      <c r="S113" s="94" t="str">
        <f t="shared" si="1"/>
        <v>Flare, elevated (40 ft)</v>
      </c>
      <c r="T113" s="11" t="str">
        <f ca="1">IFERROR(IF(INDEX(fnEquipLibRange,fnEquipRowNum,39)="","",INDEX(fnEquipLibRange,fnEquipRowNum,39)),"")</f>
        <v>Standard cost for 60–1000 Btu/ft3, non-corrosive. Use material factors for other scenarios.</v>
      </c>
    </row>
    <row r="114" spans="2:20" hidden="1" outlineLevel="1">
      <c r="B114" s="16"/>
      <c r="C114" s="69" t="s">
        <v>467</v>
      </c>
      <c r="D114" s="70" t="s">
        <v>1004</v>
      </c>
      <c r="E114" s="70" t="s">
        <v>333</v>
      </c>
      <c r="F114" s="70">
        <v>1</v>
      </c>
      <c r="G114" s="130">
        <v>70.550847457627114</v>
      </c>
      <c r="H114" s="106" t="str">
        <f ca="1">IFERROR(VLOOKUP(C114,fnEquipLibRange,2,FALSE),"")</f>
        <v>Gas flow rate, actual ft3/min</v>
      </c>
      <c r="I114" s="100" t="str">
        <f ca="1">IF(ISBLANK(G114),"",IF(G114&lt;VLOOKUP(C114,fnEquipLibRange,3,FALSE),"&gt;&gt;&gt; Too Small &lt;&lt;&lt;",IF(G114&gt;VLOOKUP(C114,fnEquipLibRange,4,FALSE),"&gt;&gt;&gt; Too Large &lt;&lt;&lt;","Yes")))</f>
        <v>&gt;&gt;&gt; Too Small &lt;&lt;&lt;</v>
      </c>
      <c r="J114" s="100"/>
      <c r="K114" s="101">
        <f ca="1">IF(F114*G114=0,"",IFERROR(IF(F114*G114*$D$98/$D$95&lt;VLOOKUP(C114,fnEquipLibRange,3,FALSE),MAX(1,F114),MAX(ROUNDUP(F114*G114*$D$98/$D$95/VLOOKUP(C114,fnEquipLibRange,4,FALSE),0),F114)),""))</f>
        <v>1</v>
      </c>
      <c r="L114" s="102">
        <f ca="1">IF(F114*G114=0,"",IFERROR(IF(F114*G114*$D$98/$D$95&lt;VLOOKUP(C114,fnEquipLibRange,3,FALSE),VLOOKUP(C114,fnEquipLibRange,3,FALSE),F114*G114*$D$98/$D$95/MAX(ROUNDUP(F114*G114*$D$98/$D$95/VLOOKUP(C114,fnEquipLibRange,4,FALSE),0),F114)),""))</f>
        <v>5000</v>
      </c>
      <c r="M114" s="102"/>
      <c r="N114" s="103">
        <f ca="1">IF($K114="","",IFERROR($K114*fnEquipCostCorr*fnEquipCostIndex*fnEquipConstMaterial,""))</f>
        <v>41666.555788328369</v>
      </c>
      <c r="O114" s="104">
        <f ca="1">IFERROR(fnEquipInstFactor*N114,"")</f>
        <v>79166.455997823898</v>
      </c>
      <c r="P114" s="105">
        <f ca="1">IFERROR(fnEquipLaborFactor*K114,"")</f>
        <v>0.1</v>
      </c>
      <c r="Q114" s="19"/>
      <c r="S114" s="94" t="str">
        <f t="shared" si="1"/>
        <v>Bag filter</v>
      </c>
      <c r="T114" s="11" t="str">
        <f ca="1">IFERROR(IF(INDEX(fnEquipLibRange,fnEquipRowNum,39)="","",INDEX(fnEquipLibRange,fnEquipRowNum,39)),"")</f>
        <v>Dust particles 0.1–50 microns in size</v>
      </c>
    </row>
    <row r="115" spans="2:20" hidden="1" outlineLevel="1">
      <c r="B115" s="16"/>
      <c r="C115" s="69" t="s">
        <v>760</v>
      </c>
      <c r="D115" s="70" t="s">
        <v>317</v>
      </c>
      <c r="E115" s="70" t="s">
        <v>333</v>
      </c>
      <c r="F115" s="70">
        <v>1</v>
      </c>
      <c r="G115" s="130">
        <v>500</v>
      </c>
      <c r="H115" s="106" t="str">
        <f ca="1">IFERROR(VLOOKUP(C115,fnEquipLibRange,2,FALSE),"")</f>
        <v>Volume, gal</v>
      </c>
      <c r="I115" s="100" t="str">
        <f ca="1">IF(ISBLANK(G115),"",IF(G115&lt;VLOOKUP(C115,fnEquipLibRange,3,FALSE),"&gt;&gt;&gt; Too Small &lt;&lt;&lt;",IF(G115&gt;VLOOKUP(C115,fnEquipLibRange,4,FALSE),"&gt;&gt;&gt; Too Large &lt;&lt;&lt;","Yes")))</f>
        <v>&gt;&gt;&gt; Too Small &lt;&lt;&lt;</v>
      </c>
      <c r="J115" s="100"/>
      <c r="K115" s="101">
        <f ca="1">IF(F115*G115=0,"",IFERROR(IF(F115*G115*$D$98/$D$95&lt;VLOOKUP(C115,fnEquipLibRange,3,FALSE),MAX(1,F115),MAX(ROUNDUP(F115*G115*$D$98/$D$95/VLOOKUP(C115,fnEquipLibRange,4,FALSE),0),F115)),""))</f>
        <v>1</v>
      </c>
      <c r="L115" s="102">
        <f ca="1">IF(F115*G115=0,"",IFERROR(IF(F115*G115*$D$98/$D$95&lt;VLOOKUP(C115,fnEquipLibRange,3,FALSE),VLOOKUP(C115,fnEquipLibRange,3,FALSE),F115*G115*$D$98/$D$95/MAX(ROUNDUP(F115*G115*$D$98/$D$95/VLOOKUP(C115,fnEquipLibRange,4,FALSE),0),F115)),""))</f>
        <v>1000</v>
      </c>
      <c r="M115" s="102"/>
      <c r="N115" s="103">
        <f ca="1">IF($K115="","",IFERROR($K115*fnEquipCostCorr*fnEquipCostIndex*fnEquipConstMaterial,""))</f>
        <v>8758.3369764777308</v>
      </c>
      <c r="O115" s="104">
        <f ca="1">IFERROR(fnEquipInstFactor*N115,"")</f>
        <v>16465.673515778133</v>
      </c>
      <c r="P115" s="105">
        <f ca="1">IFERROR(fnEquipLaborFactor*K115,"")</f>
        <v>0</v>
      </c>
      <c r="Q115" s="19"/>
      <c r="S115" s="94" t="str">
        <f t="shared" si="1"/>
        <v>Tank, cone roof (Seider)</v>
      </c>
      <c r="T115" s="11" t="str">
        <f ca="1">IFERROR(IF(INDEX(fnEquipLibRange,fnEquipRowNum,39)="","",INDEX(fnEquipLibRange,fnEquipRowNum,39)),"")</f>
        <v>Carbon steel, pressure up to 3 psig</v>
      </c>
    </row>
    <row r="116" spans="2:20" hidden="1" outlineLevel="1">
      <c r="B116" s="16"/>
      <c r="C116" s="69" t="s">
        <v>760</v>
      </c>
      <c r="D116" s="70" t="s">
        <v>318</v>
      </c>
      <c r="E116" s="70" t="s">
        <v>333</v>
      </c>
      <c r="F116" s="70">
        <v>1</v>
      </c>
      <c r="G116" s="130">
        <v>52000</v>
      </c>
      <c r="H116" s="106" t="str">
        <f ca="1">IFERROR(VLOOKUP(C116,fnEquipLibRange,2,FALSE),"")</f>
        <v>Volume, gal</v>
      </c>
      <c r="I116" s="100" t="str">
        <f ca="1">IF(ISBLANK(G116),"",IF(G116&lt;VLOOKUP(C116,fnEquipLibRange,3,FALSE),"&gt;&gt;&gt; Too Small &lt;&lt;&lt;",IF(G116&gt;VLOOKUP(C116,fnEquipLibRange,4,FALSE),"&gt;&gt;&gt; Too Large &lt;&lt;&lt;","Yes")))</f>
        <v>Yes</v>
      </c>
      <c r="J116" s="100"/>
      <c r="K116" s="101">
        <f ca="1">IF(F116*G116=0,"",IFERROR(IF(F116*G116*$D$98/$D$95&lt;VLOOKUP(C116,fnEquipLibRange,3,FALSE),MAX(1,F116),MAX(ROUNDUP(F116*G116*$D$98/$D$95/VLOOKUP(C116,fnEquipLibRange,4,FALSE),0),F116)),""))</f>
        <v>1</v>
      </c>
      <c r="L116" s="102">
        <f ca="1">IF(F116*G116=0,"",IFERROR(IF(F116*G116*$D$98/$D$95&lt;VLOOKUP(C116,fnEquipLibRange,3,FALSE),VLOOKUP(C116,fnEquipLibRange,3,FALSE),F116*G116*$D$98/$D$95/MAX(ROUNDUP(F116*G116*$D$98/$D$95/VLOOKUP(C116,fnEquipLibRange,4,FALSE),0),F116)),""))</f>
        <v>1000</v>
      </c>
      <c r="M116" s="102"/>
      <c r="N116" s="103">
        <f ca="1">IF($K116="","",IFERROR($K116*fnEquipCostCorr*fnEquipCostIndex*fnEquipConstMaterial,""))</f>
        <v>8758.3369764777308</v>
      </c>
      <c r="O116" s="104">
        <f ca="1">IFERROR(fnEquipInstFactor*N116,"")</f>
        <v>16465.673515778133</v>
      </c>
      <c r="P116" s="105">
        <f ca="1">IFERROR(fnEquipLaborFactor*K116,"")</f>
        <v>0</v>
      </c>
      <c r="Q116" s="19"/>
      <c r="S116" s="94" t="str">
        <f t="shared" si="1"/>
        <v>Tank, cone roof (Seider)</v>
      </c>
      <c r="T116" s="11" t="str">
        <f ca="1">IFERROR(IF(INDEX(fnEquipLibRange,fnEquipRowNum,39)="","",INDEX(fnEquipLibRange,fnEquipRowNum,39)),"")</f>
        <v>Carbon steel, pressure up to 3 psig</v>
      </c>
    </row>
    <row r="117" spans="2:20" hidden="1" outlineLevel="1">
      <c r="B117" s="16"/>
      <c r="C117" s="69" t="s">
        <v>760</v>
      </c>
      <c r="D117" s="70" t="s">
        <v>960</v>
      </c>
      <c r="E117" s="70" t="s">
        <v>333</v>
      </c>
      <c r="F117" s="70">
        <v>1</v>
      </c>
      <c r="G117" s="130">
        <v>26000</v>
      </c>
      <c r="H117" s="106" t="str">
        <f ca="1">IFERROR(VLOOKUP(C117,fnEquipLibRange,2,FALSE),"")</f>
        <v>Volume, gal</v>
      </c>
      <c r="I117" s="100" t="str">
        <f ca="1">IF(ISBLANK(G117),"",IF(G117&lt;VLOOKUP(C117,fnEquipLibRange,3,FALSE),"&gt;&gt;&gt; Too Small &lt;&lt;&lt;",IF(G117&gt;VLOOKUP(C117,fnEquipLibRange,4,FALSE),"&gt;&gt;&gt; Too Large &lt;&lt;&lt;","Yes")))</f>
        <v>Yes</v>
      </c>
      <c r="J117" s="100"/>
      <c r="K117" s="101">
        <f ca="1">IF(F117*G117=0,"",IFERROR(IF(F117*G117*$D$98/$D$95&lt;VLOOKUP(C117,fnEquipLibRange,3,FALSE),MAX(1,F117),MAX(ROUNDUP(F117*G117*$D$98/$D$95/VLOOKUP(C117,fnEquipLibRange,4,FALSE),0),F117)),""))</f>
        <v>1</v>
      </c>
      <c r="L117" s="102">
        <f ca="1">IF(F117*G117=0,"",IFERROR(IF(F117*G117*$D$98/$D$95&lt;VLOOKUP(C117,fnEquipLibRange,3,FALSE),VLOOKUP(C117,fnEquipLibRange,3,FALSE),F117*G117*$D$98/$D$95/MAX(ROUNDUP(F117*G117*$D$98/$D$95/VLOOKUP(C117,fnEquipLibRange,4,FALSE),0),F117)),""))</f>
        <v>1000</v>
      </c>
      <c r="M117" s="102"/>
      <c r="N117" s="103">
        <f ca="1">IF($K117="","",IFERROR($K117*fnEquipCostCorr*fnEquipCostIndex*fnEquipConstMaterial,""))</f>
        <v>8758.3369764777308</v>
      </c>
      <c r="O117" s="104">
        <f ca="1">IFERROR(fnEquipInstFactor*N117,"")</f>
        <v>16465.673515778133</v>
      </c>
      <c r="P117" s="105">
        <f ca="1">IFERROR(fnEquipLaborFactor*K117,"")</f>
        <v>0</v>
      </c>
      <c r="Q117" s="19"/>
      <c r="S117" s="94" t="str">
        <f t="shared" si="1"/>
        <v>Tank, cone roof (Seider)</v>
      </c>
      <c r="T117" s="11" t="str">
        <f ca="1">IFERROR(IF(INDEX(fnEquipLibRange,fnEquipRowNum,39)="","",INDEX(fnEquipLibRange,fnEquipRowNum,39)),"")</f>
        <v>Carbon steel, pressure up to 3 psig</v>
      </c>
    </row>
    <row r="118" spans="2:20" hidden="1" outlineLevel="1">
      <c r="B118" s="16"/>
      <c r="C118" s="69"/>
      <c r="D118" s="70"/>
      <c r="E118" s="70"/>
      <c r="F118" s="70"/>
      <c r="G118" s="130"/>
      <c r="H118" s="106" t="str">
        <f ca="1">IFERROR(VLOOKUP(C118,fnEquipLibRange,2,FALSE),"")</f>
        <v/>
      </c>
      <c r="I118" s="100" t="str">
        <f>IF(ISBLANK(G118),"",IF(G118&lt;VLOOKUP(C118,fnEquipLibRange,3,FALSE),"&gt;&gt;&gt; Too Small &lt;&lt;&lt;",IF(G118&gt;VLOOKUP(C118,fnEquipLibRange,4,FALSE),"&gt;&gt;&gt; Too Large &lt;&lt;&lt;","Yes")))</f>
        <v/>
      </c>
      <c r="J118" s="100"/>
      <c r="K118" s="101" t="str">
        <f>IF(F118*G118=0,"",IFERROR(IF(F118*G118*$D$98/$D$95&lt;VLOOKUP(C118,fnEquipLibRange,3,FALSE),MAX(1,F118),MAX(ROUNDUP(F118*G118*$D$98/$D$95/VLOOKUP(C118,fnEquipLibRange,4,FALSE),0),F118)),""))</f>
        <v/>
      </c>
      <c r="L118" s="102" t="str">
        <f>IF(F118*G118=0,"",IFERROR(IF(F118*G118*$D$98/$D$95&lt;VLOOKUP(C118,fnEquipLibRange,3,FALSE),VLOOKUP(C118,fnEquipLibRange,3,FALSE),F118*G118*$D$98/$D$95/MAX(ROUNDUP(F118*G118*$D$98/$D$95/VLOOKUP(C118,fnEquipLibRange,4,FALSE),0),F118)),""))</f>
        <v/>
      </c>
      <c r="M118" s="102"/>
      <c r="N118" s="103" t="str">
        <f>IF($K118="","",IFERROR($K118*fnEquipCostCorr*fnEquipCostIndex*fnEquipConstMaterial,""))</f>
        <v/>
      </c>
      <c r="O118" s="104" t="str">
        <f ca="1">IFERROR(fnEquipInstFactor*N118,"")</f>
        <v/>
      </c>
      <c r="P118" s="105" t="str">
        <f ca="1">IFERROR(fnEquipLaborFactor*K118,"")</f>
        <v/>
      </c>
      <c r="Q118" s="19"/>
      <c r="S118" s="94" t="str">
        <f t="shared" si="1"/>
        <v/>
      </c>
      <c r="T118" s="11" t="str">
        <f ca="1">IFERROR(IF(INDEX(fnEquipLibRange,fnEquipRowNum,39)="","",INDEX(fnEquipLibRange,fnEquipRowNum,39)),"")</f>
        <v/>
      </c>
    </row>
    <row r="119" spans="2:20" hidden="1" outlineLevel="1">
      <c r="B119" s="16"/>
      <c r="C119" s="69"/>
      <c r="D119" s="70"/>
      <c r="E119" s="70" t="str">
        <f ca="1">IFERROR(VLOOKUP(C119,fnEquipLibRange,16,FALSE),"")</f>
        <v/>
      </c>
      <c r="F119" s="70"/>
      <c r="G119" s="130"/>
      <c r="H119" s="106" t="str">
        <f ca="1">IFERROR(VLOOKUP(C119,fnEquipLibRange,2,FALSE),"")</f>
        <v/>
      </c>
      <c r="I119" s="100" t="str">
        <f>IF(ISBLANK(G119),"",IF(G119&lt;VLOOKUP(C119,fnEquipLibRange,3,FALSE),"&gt;&gt;&gt; Too Small &lt;&lt;&lt;",IF(G119&gt;VLOOKUP(C119,fnEquipLibRange,4,FALSE),"&gt;&gt;&gt; Too Large &lt;&lt;&lt;","Yes")))</f>
        <v/>
      </c>
      <c r="J119" s="100"/>
      <c r="K119" s="101" t="str">
        <f>IF(F119*G119=0,"",IFERROR(IF(F119*G119*$D$98/$D$95&lt;VLOOKUP(C119,fnEquipLibRange,3,FALSE),MAX(1,F119),MAX(ROUNDUP(F119*G119*$D$98/$D$95/VLOOKUP(C119,fnEquipLibRange,4,FALSE),0),F119)),""))</f>
        <v/>
      </c>
      <c r="L119" s="102" t="str">
        <f>IF(F119*G119=0,"",IFERROR(IF(F119*G119*$D$98/$D$95&lt;VLOOKUP(C119,fnEquipLibRange,3,FALSE),VLOOKUP(C119,fnEquipLibRange,3,FALSE),F119*G119*$D$98/$D$95/MAX(ROUNDUP(F119*G119*$D$98/$D$95/VLOOKUP(C119,fnEquipLibRange,4,FALSE),0),F119)),""))</f>
        <v/>
      </c>
      <c r="M119" s="102"/>
      <c r="N119" s="103" t="str">
        <f>IF($K119="","",IFERROR($K119*fnEquipCostCorr*fnEquipCostIndex*fnEquipConstMaterial,""))</f>
        <v/>
      </c>
      <c r="O119" s="104" t="str">
        <f ca="1">IFERROR(fnEquipInstFactor*N119,"")</f>
        <v/>
      </c>
      <c r="P119" s="105" t="str">
        <f ca="1">IFERROR(fnEquipLaborFactor*K119,"")</f>
        <v/>
      </c>
      <c r="Q119" s="19"/>
      <c r="S119" s="94" t="str">
        <f t="shared" si="1"/>
        <v/>
      </c>
      <c r="T119" s="11" t="str">
        <f ca="1">IFERROR(IF(INDEX(fnEquipLibRange,fnEquipRowNum,39)="","",INDEX(fnEquipLibRange,fnEquipRowNum,39)),"")</f>
        <v/>
      </c>
    </row>
    <row r="120" spans="2:20" hidden="1" outlineLevel="1">
      <c r="B120" s="16"/>
      <c r="C120" s="69"/>
      <c r="D120" s="70"/>
      <c r="E120" s="70" t="str">
        <f ca="1">IFERROR(VLOOKUP(C120,fnEquipLibRange,16,FALSE),"")</f>
        <v/>
      </c>
      <c r="F120" s="70"/>
      <c r="G120" s="130"/>
      <c r="H120" s="106" t="str">
        <f ca="1">IFERROR(VLOOKUP(C120,fnEquipLibRange,2,FALSE),"")</f>
        <v/>
      </c>
      <c r="I120" s="100" t="str">
        <f>IF(ISBLANK(G120),"",IF(G120&lt;VLOOKUP(C120,fnEquipLibRange,3,FALSE),"&gt;&gt;&gt; Too Small &lt;&lt;&lt;",IF(G120&gt;VLOOKUP(C120,fnEquipLibRange,4,FALSE),"&gt;&gt;&gt; Too Large &lt;&lt;&lt;","Yes")))</f>
        <v/>
      </c>
      <c r="J120" s="100"/>
      <c r="K120" s="101" t="str">
        <f>IF(F120*G120=0,"",IFERROR(IF(F120*G120*$D$98/$D$95&lt;VLOOKUP(C120,fnEquipLibRange,3,FALSE),MAX(1,F120),MAX(ROUNDUP(F120*G120*$D$98/$D$95/VLOOKUP(C120,fnEquipLibRange,4,FALSE),0),F120)),""))</f>
        <v/>
      </c>
      <c r="L120" s="102" t="str">
        <f>IF(F120*G120=0,"",IFERROR(IF(F120*G120*$D$98/$D$95&lt;VLOOKUP(C120,fnEquipLibRange,3,FALSE),VLOOKUP(C120,fnEquipLibRange,3,FALSE),F120*G120*$D$98/$D$95/MAX(ROUNDUP(F120*G120*$D$98/$D$95/VLOOKUP(C120,fnEquipLibRange,4,FALSE),0),F120)),""))</f>
        <v/>
      </c>
      <c r="M120" s="102"/>
      <c r="N120" s="103" t="str">
        <f>IF($K120="","",IFERROR($K120*fnEquipCostCorr*fnEquipCostIndex*fnEquipConstMaterial,""))</f>
        <v/>
      </c>
      <c r="O120" s="104" t="str">
        <f ca="1">IFERROR(fnEquipInstFactor*N120,"")</f>
        <v/>
      </c>
      <c r="P120" s="105" t="str">
        <f ca="1">IFERROR(fnEquipLaborFactor*K120,"")</f>
        <v/>
      </c>
      <c r="Q120" s="19"/>
      <c r="S120" s="94" t="str">
        <f t="shared" si="1"/>
        <v/>
      </c>
      <c r="T120" s="11" t="str">
        <f ca="1">IFERROR(IF(INDEX(fnEquipLibRange,fnEquipRowNum,39)="","",INDEX(fnEquipLibRange,fnEquipRowNum,39)),"")</f>
        <v/>
      </c>
    </row>
    <row r="121" spans="2:20" hidden="1" outlineLevel="1">
      <c r="B121" s="16"/>
      <c r="C121" s="69"/>
      <c r="D121" s="70"/>
      <c r="E121" s="70" t="str">
        <f ca="1">IFERROR(VLOOKUP(C121,fnEquipLibRange,16,FALSE),"")</f>
        <v/>
      </c>
      <c r="F121" s="70"/>
      <c r="G121" s="130"/>
      <c r="H121" s="106" t="str">
        <f ca="1">IFERROR(VLOOKUP(C121,fnEquipLibRange,2,FALSE),"")</f>
        <v/>
      </c>
      <c r="I121" s="100" t="str">
        <f>IF(ISBLANK(G121),"",IF(G121&lt;VLOOKUP(C121,fnEquipLibRange,3,FALSE),"&gt;&gt;&gt; Too Small &lt;&lt;&lt;",IF(G121&gt;VLOOKUP(C121,fnEquipLibRange,4,FALSE),"&gt;&gt;&gt; Too Large &lt;&lt;&lt;","Yes")))</f>
        <v/>
      </c>
      <c r="J121" s="100"/>
      <c r="K121" s="101" t="str">
        <f>IF(F121*G121=0,"",IFERROR(IF(F121*G121*$D$98/$D$95&lt;VLOOKUP(C121,fnEquipLibRange,3,FALSE),MAX(1,F121),MAX(ROUNDUP(F121*G121*$D$98/$D$95/VLOOKUP(C121,fnEquipLibRange,4,FALSE),0),F121)),""))</f>
        <v/>
      </c>
      <c r="L121" s="102" t="str">
        <f>IF(F121*G121=0,"",IFERROR(IF(F121*G121*$D$98/$D$95&lt;VLOOKUP(C121,fnEquipLibRange,3,FALSE),VLOOKUP(C121,fnEquipLibRange,3,FALSE),F121*G121*$D$98/$D$95/MAX(ROUNDUP(F121*G121*$D$98/$D$95/VLOOKUP(C121,fnEquipLibRange,4,FALSE),0),F121)),""))</f>
        <v/>
      </c>
      <c r="M121" s="102"/>
      <c r="N121" s="103" t="str">
        <f>IF($K121="","",IFERROR($K121*fnEquipCostCorr*fnEquipCostIndex*fnEquipConstMaterial,""))</f>
        <v/>
      </c>
      <c r="O121" s="104" t="str">
        <f ca="1">IFERROR(fnEquipInstFactor*N121,"")</f>
        <v/>
      </c>
      <c r="P121" s="105" t="str">
        <f ca="1">IFERROR(fnEquipLaborFactor*K121,"")</f>
        <v/>
      </c>
      <c r="Q121" s="19"/>
      <c r="S121" s="94" t="str">
        <f t="shared" si="1"/>
        <v/>
      </c>
      <c r="T121" s="11" t="str">
        <f ca="1">IFERROR(IF(INDEX(fnEquipLibRange,fnEquipRowNum,39)="","",INDEX(fnEquipLibRange,fnEquipRowNum,39)),"")</f>
        <v/>
      </c>
    </row>
    <row r="122" spans="2:20" hidden="1" outlineLevel="1">
      <c r="B122" s="16"/>
      <c r="C122" s="69"/>
      <c r="D122" s="70"/>
      <c r="E122" s="70" t="str">
        <f ca="1">IFERROR(VLOOKUP(C122,fnEquipLibRange,16,FALSE),"")</f>
        <v/>
      </c>
      <c r="F122" s="70"/>
      <c r="G122" s="130"/>
      <c r="H122" s="106" t="str">
        <f ca="1">IFERROR(VLOOKUP(C122,fnEquipLibRange,2,FALSE),"")</f>
        <v/>
      </c>
      <c r="I122" s="100" t="str">
        <f>IF(ISBLANK(G122),"",IF(G122&lt;VLOOKUP(C122,fnEquipLibRange,3,FALSE),"&gt;&gt;&gt; Too Small &lt;&lt;&lt;",IF(G122&gt;VLOOKUP(C122,fnEquipLibRange,4,FALSE),"&gt;&gt;&gt; Too Large &lt;&lt;&lt;","Yes")))</f>
        <v/>
      </c>
      <c r="J122" s="100"/>
      <c r="K122" s="101" t="str">
        <f>IF(F122*G122=0,"",IFERROR(IF(F122*G122*$D$98/$D$95&lt;VLOOKUP(C122,fnEquipLibRange,3,FALSE),MAX(1,F122),MAX(ROUNDUP(F122*G122*$D$98/$D$95/VLOOKUP(C122,fnEquipLibRange,4,FALSE),0),F122)),""))</f>
        <v/>
      </c>
      <c r="L122" s="102" t="str">
        <f>IF(F122*G122=0,"",IFERROR(IF(F122*G122*$D$98/$D$95&lt;VLOOKUP(C122,fnEquipLibRange,3,FALSE),VLOOKUP(C122,fnEquipLibRange,3,FALSE),F122*G122*$D$98/$D$95/MAX(ROUNDUP(F122*G122*$D$98/$D$95/VLOOKUP(C122,fnEquipLibRange,4,FALSE),0),F122)),""))</f>
        <v/>
      </c>
      <c r="M122" s="102"/>
      <c r="N122" s="103" t="str">
        <f>IF($K122="","",IFERROR($K122*fnEquipCostCorr*fnEquipCostIndex*fnEquipConstMaterial,""))</f>
        <v/>
      </c>
      <c r="O122" s="104" t="str">
        <f ca="1">IFERROR(fnEquipInstFactor*N122,"")</f>
        <v/>
      </c>
      <c r="P122" s="105" t="str">
        <f ca="1">IFERROR(fnEquipLaborFactor*K122,"")</f>
        <v/>
      </c>
      <c r="Q122" s="19"/>
      <c r="S122" s="94" t="str">
        <f t="shared" si="1"/>
        <v/>
      </c>
      <c r="T122" s="11" t="str">
        <f ca="1">IFERROR(IF(INDEX(fnEquipLibRange,fnEquipRowNum,39)="","",INDEX(fnEquipLibRange,fnEquipRowNum,39)),"")</f>
        <v/>
      </c>
    </row>
    <row r="123" spans="2:20" ht="16.5" hidden="1" outlineLevel="1" thickBot="1">
      <c r="B123" s="21"/>
      <c r="C123" s="22"/>
      <c r="D123" s="22"/>
      <c r="E123" s="22"/>
      <c r="F123" s="22"/>
      <c r="G123" s="22"/>
      <c r="H123" s="22"/>
      <c r="I123" s="22"/>
      <c r="J123" s="22"/>
      <c r="K123" s="22"/>
      <c r="L123" s="99"/>
      <c r="M123" s="99"/>
      <c r="N123" s="22"/>
      <c r="O123" s="22"/>
      <c r="P123" s="22"/>
      <c r="Q123" s="23"/>
    </row>
    <row r="124" spans="2:20" ht="32.1" hidden="1" customHeight="1" outlineLevel="1">
      <c r="B124" s="424" t="str">
        <f>"Equipment Cost Totals: "&amp;C87</f>
        <v>Equipment Cost Totals: Metal Carbide on Metal Oxide</v>
      </c>
      <c r="C124" s="425"/>
      <c r="D124" s="425"/>
      <c r="E124" s="426"/>
    </row>
    <row r="125" spans="2:20" hidden="1" outlineLevel="1">
      <c r="B125" s="16"/>
      <c r="C125" s="17" t="str">
        <f>"Equipment Cost Totals for "&amp;C87</f>
        <v>Equipment Cost Totals for Metal Carbide on Metal Oxide</v>
      </c>
      <c r="D125" s="18"/>
      <c r="E125" s="19"/>
    </row>
    <row r="126" spans="2:20" hidden="1" outlineLevel="1">
      <c r="B126" s="16"/>
      <c r="C126" s="18"/>
      <c r="D126" s="162" t="s">
        <v>308</v>
      </c>
      <c r="E126" s="295">
        <f ca="1">SUM(N103:N122)</f>
        <v>576705.77031650359</v>
      </c>
    </row>
    <row r="127" spans="2:20" hidden="1" outlineLevel="1">
      <c r="B127" s="16"/>
      <c r="C127" s="18"/>
      <c r="D127" s="162" t="s">
        <v>354</v>
      </c>
      <c r="E127" s="295">
        <f ca="1">SUM(O103:O122)</f>
        <v>922604.76398425328</v>
      </c>
    </row>
    <row r="128" spans="2:20" hidden="1" outlineLevel="1">
      <c r="B128" s="16"/>
      <c r="C128" s="18"/>
      <c r="D128" s="162" t="s">
        <v>995</v>
      </c>
      <c r="E128" s="296">
        <f ca="1">SUM(P103:P122)</f>
        <v>1.6500000000000006</v>
      </c>
    </row>
    <row r="129" spans="1:9" ht="16.5" hidden="1" outlineLevel="1" thickBot="1">
      <c r="B129" s="21"/>
      <c r="C129" s="22"/>
      <c r="D129" s="22"/>
      <c r="E129" s="23"/>
    </row>
    <row r="130" spans="1:9" ht="16.5" collapsed="1" thickBot="1">
      <c r="A130" s="300" t="str">
        <f>"&lt;– show/hide "&amp;B84</f>
        <v>&lt;– show/hide Process Template: Metal Carbide on Metal Oxide</v>
      </c>
    </row>
    <row r="131" spans="1:9" ht="21" thickBot="1">
      <c r="B131" s="341" t="str">
        <f>"Process Template: "&amp;C134</f>
        <v>Process Template: Nanoparticles - Flow Synthesis</v>
      </c>
      <c r="C131" s="342"/>
      <c r="D131" s="342"/>
      <c r="E131" s="342"/>
      <c r="F131" s="342"/>
      <c r="G131" s="343"/>
      <c r="I131" s="198"/>
    </row>
    <row r="132" spans="1:9" hidden="1" outlineLevel="1">
      <c r="B132" s="13"/>
      <c r="C132" s="14"/>
      <c r="D132" s="14"/>
      <c r="E132" s="14"/>
      <c r="F132" s="14"/>
      <c r="G132" s="15"/>
      <c r="I132" s="198"/>
    </row>
    <row r="133" spans="1:9" hidden="1" outlineLevel="1">
      <c r="B133" s="16"/>
      <c r="C133" s="17" t="s">
        <v>1048</v>
      </c>
      <c r="D133" s="18"/>
      <c r="E133" s="18"/>
      <c r="F133" s="18"/>
      <c r="G133" s="19"/>
      <c r="I133" s="198"/>
    </row>
    <row r="134" spans="1:9" hidden="1" outlineLevel="1">
      <c r="B134" s="16"/>
      <c r="C134" s="18" t="s">
        <v>998</v>
      </c>
      <c r="D134" s="18"/>
      <c r="E134" s="18"/>
      <c r="F134" s="18"/>
      <c r="G134" s="19"/>
      <c r="I134" s="198"/>
    </row>
    <row r="135" spans="1:9" ht="16.5" hidden="1" outlineLevel="1" thickBot="1">
      <c r="B135" s="16"/>
      <c r="C135" s="18"/>
      <c r="D135" s="18"/>
      <c r="E135" s="18"/>
      <c r="F135" s="18"/>
      <c r="G135" s="19"/>
      <c r="I135" s="198"/>
    </row>
    <row r="136" spans="1:9" ht="32.1" hidden="1" customHeight="1" outlineLevel="1">
      <c r="B136" s="424" t="str">
        <f>"Scaling Inputs: "&amp;C134</f>
        <v>Scaling Inputs: Nanoparticles - Flow Synthesis</v>
      </c>
      <c r="C136" s="425"/>
      <c r="D136" s="425"/>
      <c r="E136" s="425"/>
      <c r="F136" s="425"/>
      <c r="G136" s="426"/>
      <c r="I136" s="198"/>
    </row>
    <row r="137" spans="1:9" hidden="1" outlineLevel="1">
      <c r="B137" s="16"/>
      <c r="C137" s="17" t="s">
        <v>1738</v>
      </c>
      <c r="D137" s="18"/>
      <c r="E137" s="18"/>
      <c r="F137" s="18"/>
      <c r="G137" s="19"/>
      <c r="I137" s="198"/>
    </row>
    <row r="138" spans="1:9" hidden="1" outlineLevel="1">
      <c r="B138" s="16"/>
      <c r="C138" s="137" t="s">
        <v>1835</v>
      </c>
      <c r="D138" s="176">
        <v>80</v>
      </c>
      <c r="E138" s="48" t="str">
        <f>IF(COUNTBLANK(D139:D141)&gt;0,"select units below",D139&amp;" "&amp;D140&amp;"/"&amp;D141)</f>
        <v>g active phase/hour</v>
      </c>
      <c r="F138" s="42" t="s">
        <v>160</v>
      </c>
      <c r="G138" s="19"/>
      <c r="I138" s="198"/>
    </row>
    <row r="139" spans="1:9" hidden="1" outlineLevel="1">
      <c r="B139" s="16"/>
      <c r="C139" s="137"/>
      <c r="D139" s="176" t="s">
        <v>74</v>
      </c>
      <c r="E139" s="48" t="s">
        <v>912</v>
      </c>
      <c r="F139" s="48"/>
      <c r="G139" s="19"/>
      <c r="I139" s="198"/>
    </row>
    <row r="140" spans="1:9" hidden="1" outlineLevel="1">
      <c r="B140" s="16"/>
      <c r="C140" s="137"/>
      <c r="D140" s="176" t="s">
        <v>1011</v>
      </c>
      <c r="E140" s="48" t="s">
        <v>914</v>
      </c>
      <c r="F140" s="42" t="s">
        <v>160</v>
      </c>
      <c r="G140" s="19"/>
      <c r="I140" s="198"/>
    </row>
    <row r="141" spans="1:9" hidden="1" outlineLevel="1">
      <c r="B141" s="16"/>
      <c r="C141" s="137"/>
      <c r="D141" s="176" t="s">
        <v>961</v>
      </c>
      <c r="E141" s="48" t="s">
        <v>913</v>
      </c>
      <c r="F141" s="42" t="s">
        <v>160</v>
      </c>
      <c r="G141" s="19"/>
      <c r="I141" s="198"/>
    </row>
    <row r="142" spans="1:9" hidden="1" outlineLevel="1">
      <c r="B142" s="16"/>
      <c r="C142" s="137" t="s">
        <v>1836</v>
      </c>
      <c r="D142" s="49">
        <f>IFERROR(D138*VLOOKUP(D139,UnitConv[],5,FALSE)/VLOOKUP(OutMassUnit,UnitConv[],5,FALSE)*IF(D140="active phase",100/APWeightPercent,1)/CHOOSE(MATCH(D141,{"hour","day","week","month","year"},0),1,24,24*7,7884/12,7884),"-----")</f>
        <v>0.8</v>
      </c>
      <c r="E142" s="48" t="str">
        <f>OutMassUnit&amp;" catalyst/hour"</f>
        <v>kg catalyst/hour</v>
      </c>
      <c r="F142" s="42" t="s">
        <v>160</v>
      </c>
      <c r="G142" s="19"/>
      <c r="I142" s="198"/>
    </row>
    <row r="143" spans="1:9" hidden="1" outlineLevel="1">
      <c r="B143" s="16"/>
      <c r="C143" s="134"/>
      <c r="D143" s="98"/>
      <c r="E143" s="48"/>
      <c r="F143" s="48"/>
      <c r="G143" s="19"/>
      <c r="I143" s="198"/>
    </row>
    <row r="144" spans="1:9" hidden="1" outlineLevel="1">
      <c r="B144" s="16"/>
      <c r="C144" s="17" t="s">
        <v>1823</v>
      </c>
      <c r="D144" s="18"/>
      <c r="E144" s="18"/>
      <c r="F144" s="18"/>
      <c r="G144" s="19"/>
      <c r="I144" s="198"/>
    </row>
    <row r="145" spans="2:21" hidden="1" outlineLevel="1">
      <c r="B145" s="16"/>
      <c r="C145" s="137" t="s">
        <v>1834</v>
      </c>
      <c r="D145" s="49">
        <f>IF(DesignProductionRate=0,"-----",DesignProductionRate)</f>
        <v>1.2683916793505834</v>
      </c>
      <c r="E145" s="48" t="str">
        <f>OutMassUnit&amp;" catalyst/hour"</f>
        <v>kg catalyst/hour</v>
      </c>
      <c r="F145" s="42" t="s">
        <v>160</v>
      </c>
      <c r="G145" s="19"/>
      <c r="I145" s="198"/>
    </row>
    <row r="146" spans="2:21" ht="16.5" hidden="1" outlineLevel="1" thickBot="1">
      <c r="B146" s="16"/>
      <c r="C146" s="18"/>
      <c r="D146" s="291"/>
      <c r="E146" s="18"/>
      <c r="F146" s="18"/>
      <c r="G146" s="19"/>
    </row>
    <row r="147" spans="2:21" s="294" customFormat="1" ht="32.1" hidden="1" customHeight="1" outlineLevel="1">
      <c r="B147" s="424" t="str">
        <f>"Equipment List: "&amp;C134</f>
        <v>Equipment List: Nanoparticles - Flow Synthesis</v>
      </c>
      <c r="C147" s="425"/>
      <c r="D147" s="425"/>
      <c r="E147" s="425"/>
      <c r="F147" s="425"/>
      <c r="G147" s="425"/>
      <c r="H147" s="292"/>
      <c r="I147" s="292"/>
      <c r="J147" s="292"/>
      <c r="K147" s="292"/>
      <c r="L147" s="292"/>
      <c r="M147" s="292"/>
      <c r="N147" s="292"/>
      <c r="O147" s="292"/>
      <c r="P147" s="292"/>
      <c r="Q147" s="293"/>
    </row>
    <row r="148" spans="2:21" ht="18.75" hidden="1" outlineLevel="1">
      <c r="B148" s="16"/>
      <c r="C148" s="428" t="s">
        <v>1837</v>
      </c>
      <c r="D148" s="428"/>
      <c r="E148" s="428"/>
      <c r="F148" s="428"/>
      <c r="G148" s="428"/>
      <c r="H148" s="428"/>
      <c r="I148" s="428"/>
      <c r="J148" s="73"/>
      <c r="K148" s="428" t="s">
        <v>1821</v>
      </c>
      <c r="L148" s="428"/>
      <c r="M148" s="73"/>
      <c r="N148" s="428" t="s">
        <v>1822</v>
      </c>
      <c r="O148" s="428"/>
      <c r="P148" s="428"/>
      <c r="Q148" s="19"/>
      <c r="S148" s="427" t="s">
        <v>997</v>
      </c>
      <c r="T148" s="427"/>
      <c r="U148" s="294"/>
    </row>
    <row r="149" spans="2:21" hidden="1" outlineLevel="1">
      <c r="B149" s="16"/>
      <c r="C149" s="64" t="s">
        <v>304</v>
      </c>
      <c r="D149" s="64" t="s">
        <v>310</v>
      </c>
      <c r="E149" s="64" t="s">
        <v>311</v>
      </c>
      <c r="F149" s="64" t="s">
        <v>307</v>
      </c>
      <c r="G149" s="64" t="s">
        <v>312</v>
      </c>
      <c r="H149" s="64" t="s">
        <v>305</v>
      </c>
      <c r="I149" s="64" t="s">
        <v>306</v>
      </c>
      <c r="J149" s="64"/>
      <c r="K149" s="64" t="s">
        <v>1073</v>
      </c>
      <c r="L149" s="64" t="s">
        <v>1074</v>
      </c>
      <c r="M149" s="64"/>
      <c r="N149" s="64" t="s">
        <v>308</v>
      </c>
      <c r="O149" s="64" t="s">
        <v>354</v>
      </c>
      <c r="P149" s="64" t="s">
        <v>309</v>
      </c>
      <c r="Q149" s="19"/>
      <c r="S149" s="297" t="s">
        <v>304</v>
      </c>
      <c r="T149" s="297" t="s">
        <v>205</v>
      </c>
      <c r="U149" s="294"/>
    </row>
    <row r="150" spans="2:21" hidden="1" outlineLevel="1">
      <c r="B150" s="16"/>
      <c r="C150" s="69" t="s">
        <v>808</v>
      </c>
      <c r="D150" s="70"/>
      <c r="E150" s="70" t="s">
        <v>779</v>
      </c>
      <c r="F150" s="70">
        <v>1</v>
      </c>
      <c r="G150" s="130">
        <v>1</v>
      </c>
      <c r="H150" s="106" t="str">
        <f ca="1">IFERROR(VLOOKUP(C150,fnEquipLibRange,2,FALSE),"")</f>
        <v>each</v>
      </c>
      <c r="I150" s="100" t="str">
        <f ca="1">IF(ISBLANK(G150),"",IF(G150&lt;VLOOKUP(C150,fnEquipLibRange,3,FALSE),"&gt;&gt;&gt; Too Small &lt;&lt;&lt;",IF(G150&gt;VLOOKUP(C150,fnEquipLibRange,4,FALSE),"&gt;&gt;&gt; Too Large &lt;&lt;&lt;","Yes")))</f>
        <v>Yes</v>
      </c>
      <c r="J150" s="100"/>
      <c r="K150" s="101">
        <f ca="1">IF(F150*G150=0,"",IFERROR(IF(F150*G150*$D$145/$D$142&lt;VLOOKUP(C150,fnEquipLibRange,3,FALSE),MAX(1,F150),MAX(ROUNDUP(F150*G150*$D$145/$D$142/VLOOKUP(C150,fnEquipLibRange,4,FALSE),0),F150)),""))</f>
        <v>2</v>
      </c>
      <c r="L150" s="102">
        <f ca="1">IF(F150*G150=0,"",IFERROR(IF(F150*G150*$D$145/$D$142&lt;VLOOKUP(C150,fnEquipLibRange,3,FALSE),VLOOKUP(C150,fnEquipLibRange,3,FALSE),F150*G150*$D$145/$D$142/MAX(ROUNDUP(F150*G150*$D$145/$D$142/VLOOKUP(C150,fnEquipLibRange,4,FALSE),0),F150)),""))</f>
        <v>0.79274479959411459</v>
      </c>
      <c r="M150" s="102"/>
      <c r="N150" s="103">
        <f ca="1">IF($K150="","",IFERROR($K150*fnEquipCostCorr*fnEquipCostIndex*fnEquipConstMaterial,""))</f>
        <v>34363.348017621145</v>
      </c>
      <c r="O150" s="104">
        <f ca="1">IFERROR(fnEquipInstFactor*N150,"")</f>
        <v>34363.348017621145</v>
      </c>
      <c r="P150" s="105">
        <f ca="1">IFERROR(fnEquipLaborFactor*K150,"")</f>
        <v>0.5</v>
      </c>
      <c r="Q150" s="19"/>
      <c r="S150" s="94" t="str">
        <f>IF(ISBLANK(C150),"",C150)</f>
        <v>Peristaltic pump</v>
      </c>
      <c r="T150" s="11" t="str">
        <f ca="1">IFERROR(IF(INDEX(fnEquipLibRange,fnEquipRowNum,39)="","",INDEX(fnEquipLibRange,fnEquipRowNum,39)),"")</f>
        <v>Serves 16 channels</v>
      </c>
      <c r="U150" s="294"/>
    </row>
    <row r="151" spans="2:21" hidden="1" outlineLevel="1">
      <c r="B151" s="16"/>
      <c r="C151" s="69" t="s">
        <v>793</v>
      </c>
      <c r="D151" s="70"/>
      <c r="E151" s="70" t="s">
        <v>779</v>
      </c>
      <c r="F151" s="70">
        <v>16</v>
      </c>
      <c r="G151" s="130">
        <v>1</v>
      </c>
      <c r="H151" s="106" t="str">
        <f ca="1">IFERROR(VLOOKUP(C151,fnEquipLibRange,2,FALSE),"")</f>
        <v>each</v>
      </c>
      <c r="I151" s="100" t="str">
        <f ca="1">IF(ISBLANK(G151),"",IF(G151&lt;VLOOKUP(C151,fnEquipLibRange,3,FALSE),"&gt;&gt;&gt; Too Small &lt;&lt;&lt;",IF(G151&gt;VLOOKUP(C151,fnEquipLibRange,4,FALSE),"&gt;&gt;&gt; Too Large &lt;&lt;&lt;","Yes")))</f>
        <v>Yes</v>
      </c>
      <c r="J151" s="100"/>
      <c r="K151" s="101">
        <f ca="1">IF(F151*G151=0,"",IFERROR(IF(F151*G151*$D$145/$D$142&lt;VLOOKUP(C151,fnEquipLibRange,3,FALSE),MAX(1,F151),MAX(ROUNDUP(F151*G151*$D$145/$D$142/VLOOKUP(C151,fnEquipLibRange,4,FALSE),0),F151)),""))</f>
        <v>26</v>
      </c>
      <c r="L151" s="102">
        <f ca="1">IF(F151*G151=0,"",IFERROR(IF(F151*G151*$D$145/$D$142&lt;VLOOKUP(C151,fnEquipLibRange,3,FALSE),VLOOKUP(C151,fnEquipLibRange,3,FALSE),F151*G151*$D$145/$D$142/MAX(ROUNDUP(F151*G151*$D$145/$D$142/VLOOKUP(C151,fnEquipLibRange,4,FALSE),0),F151)),""))</f>
        <v>0.97568590719275639</v>
      </c>
      <c r="M151" s="102"/>
      <c r="N151" s="103">
        <f ca="1">IF($K151="","",IFERROR($K151*fnEquipCostCorr*fnEquipCostIndex*fnEquipConstMaterial,""))</f>
        <v>2283.5017480176216</v>
      </c>
      <c r="O151" s="104">
        <f ca="1">IFERROR(fnEquipInstFactor*N151,"")</f>
        <v>2283.5017480176216</v>
      </c>
      <c r="P151" s="105">
        <f ca="1">IFERROR(fnEquipLaborFactor*K151,"")</f>
        <v>0</v>
      </c>
      <c r="Q151" s="19"/>
      <c r="S151" s="94" t="str">
        <f t="shared" ref="S151:S169" si="2">IF(ISBLANK(C151),"",C151)</f>
        <v>One-way valve</v>
      </c>
      <c r="T151" s="11" t="str">
        <f ca="1">IFERROR(IF(INDEX(fnEquipLibRange,fnEquipRowNum,39)="","",INDEX(fnEquipLibRange,fnEquipRowNum,39)),"")</f>
        <v>IDEX check valve</v>
      </c>
    </row>
    <row r="152" spans="2:21" hidden="1" outlineLevel="1">
      <c r="B152" s="16"/>
      <c r="C152" s="69" t="s">
        <v>794</v>
      </c>
      <c r="D152" s="70"/>
      <c r="E152" s="70" t="s">
        <v>779</v>
      </c>
      <c r="F152" s="70">
        <v>16</v>
      </c>
      <c r="G152" s="130">
        <v>1</v>
      </c>
      <c r="H152" s="106" t="str">
        <f ca="1">IFERROR(VLOOKUP(C152,fnEquipLibRange,2,FALSE),"")</f>
        <v>each</v>
      </c>
      <c r="I152" s="100" t="str">
        <f ca="1">IF(ISBLANK(G152),"",IF(G152&lt;VLOOKUP(C152,fnEquipLibRange,3,FALSE),"&gt;&gt;&gt; Too Small &lt;&lt;&lt;",IF(G152&gt;VLOOKUP(C152,fnEquipLibRange,4,FALSE),"&gt;&gt;&gt; Too Large &lt;&lt;&lt;","Yes")))</f>
        <v>Yes</v>
      </c>
      <c r="J152" s="100"/>
      <c r="K152" s="101">
        <f ca="1">IF(F152*G152=0,"",IFERROR(IF(F152*G152*$D$145/$D$142&lt;VLOOKUP(C152,fnEquipLibRange,3,FALSE),MAX(1,F152),MAX(ROUNDUP(F152*G152*$D$145/$D$142/VLOOKUP(C152,fnEquipLibRange,4,FALSE),0),F152)),""))</f>
        <v>26</v>
      </c>
      <c r="L152" s="102">
        <f ca="1">IF(F152*G152=0,"",IFERROR(IF(F152*G152*$D$145/$D$142&lt;VLOOKUP(C152,fnEquipLibRange,3,FALSE),VLOOKUP(C152,fnEquipLibRange,3,FALSE),F152*G152*$D$145/$D$142/MAX(ROUNDUP(F152*G152*$D$145/$D$142/VLOOKUP(C152,fnEquipLibRange,4,FALSE),0),F152)),""))</f>
        <v>0.97568590719275639</v>
      </c>
      <c r="M152" s="102"/>
      <c r="N152" s="103">
        <f ca="1">IF($K152="","",IFERROR($K152*fnEquipCostCorr*fnEquipCostIndex*fnEquipConstMaterial,""))</f>
        <v>1493.0492898678415</v>
      </c>
      <c r="O152" s="104">
        <f ca="1">IFERROR(fnEquipInstFactor*N152,"")</f>
        <v>1493.0492898678415</v>
      </c>
      <c r="P152" s="105">
        <f ca="1">IFERROR(fnEquipLaborFactor*K152,"")</f>
        <v>0</v>
      </c>
      <c r="Q152" s="19"/>
      <c r="S152" s="94" t="str">
        <f t="shared" si="2"/>
        <v>Needle valve</v>
      </c>
      <c r="T152" s="11" t="str">
        <f ca="1">IFERROR(IF(INDEX(fnEquipLibRange,fnEquipRowNum,39)="","",INDEX(fnEquipLibRange,fnEquipRowNum,39)),"")</f>
        <v>IDEX micro metering valve</v>
      </c>
    </row>
    <row r="153" spans="2:21" hidden="1" outlineLevel="1">
      <c r="B153" s="16"/>
      <c r="C153" s="69" t="s">
        <v>795</v>
      </c>
      <c r="D153" s="70"/>
      <c r="E153" s="70" t="s">
        <v>779</v>
      </c>
      <c r="F153" s="70">
        <v>1</v>
      </c>
      <c r="G153" s="130">
        <v>1</v>
      </c>
      <c r="H153" s="106" t="str">
        <f ca="1">IFERROR(VLOOKUP(C153,fnEquipLibRange,2,FALSE),"")</f>
        <v>each</v>
      </c>
      <c r="I153" s="100" t="str">
        <f ca="1">IF(ISBLANK(G153),"",IF(G153&lt;VLOOKUP(C153,fnEquipLibRange,3,FALSE),"&gt;&gt;&gt; Too Small &lt;&lt;&lt;",IF(G153&gt;VLOOKUP(C153,fnEquipLibRange,4,FALSE),"&gt;&gt;&gt; Too Large &lt;&lt;&lt;","Yes")))</f>
        <v>Yes</v>
      </c>
      <c r="J153" s="100"/>
      <c r="K153" s="101">
        <f ca="1">IF(F153*G153=0,"",IFERROR(IF(F153*G153*$D$145/$D$142&lt;VLOOKUP(C153,fnEquipLibRange,3,FALSE),MAX(1,F153),MAX(ROUNDUP(F153*G153*$D$145/$D$142/VLOOKUP(C153,fnEquipLibRange,4,FALSE),0),F153)),""))</f>
        <v>2</v>
      </c>
      <c r="L153" s="102">
        <f ca="1">IF(F153*G153=0,"",IFERROR(IF(F153*G153*$D$145/$D$142&lt;VLOOKUP(C153,fnEquipLibRange,3,FALSE),VLOOKUP(C153,fnEquipLibRange,3,FALSE),F153*G153*$D$145/$D$142/MAX(ROUNDUP(F153*G153*$D$145/$D$142/VLOOKUP(C153,fnEquipLibRange,4,FALSE),0),F153)),""))</f>
        <v>0.79274479959411459</v>
      </c>
      <c r="M153" s="102"/>
      <c r="N153" s="103">
        <f ca="1">IF($K153="","",IFERROR($K153*fnEquipCostCorr*fnEquipCostIndex*fnEquipConstMaterial,""))</f>
        <v>188.02478590308371</v>
      </c>
      <c r="O153" s="104">
        <f ca="1">IFERROR(fnEquipInstFactor*N153,"")</f>
        <v>188.02478590308371</v>
      </c>
      <c r="P153" s="105">
        <f ca="1">IFERROR(fnEquipLaborFactor*K153,"")</f>
        <v>0</v>
      </c>
      <c r="Q153" s="19"/>
      <c r="S153" s="94" t="str">
        <f t="shared" si="2"/>
        <v>Pressure regulator 40 psi.</v>
      </c>
      <c r="T153" s="11" t="str">
        <f ca="1">IFERROR(IF(INDEX(fnEquipLibRange,fnEquipRowNum,39)="","",INDEX(fnEquipLibRange,fnEquipRowNum,39)),"")</f>
        <v>IDEX BPR assembly 40 psi,</v>
      </c>
    </row>
    <row r="154" spans="2:21" hidden="1" outlineLevel="1">
      <c r="B154" s="16"/>
      <c r="C154" s="69" t="s">
        <v>796</v>
      </c>
      <c r="D154" s="70"/>
      <c r="E154" s="70" t="s">
        <v>779</v>
      </c>
      <c r="F154" s="70">
        <v>1</v>
      </c>
      <c r="G154" s="130">
        <v>1</v>
      </c>
      <c r="H154" s="106" t="str">
        <f ca="1">IFERROR(VLOOKUP(C154,fnEquipLibRange,2,FALSE),"")</f>
        <v>each</v>
      </c>
      <c r="I154" s="100" t="str">
        <f ca="1">IF(ISBLANK(G154),"",IF(G154&lt;VLOOKUP(C154,fnEquipLibRange,3,FALSE),"&gt;&gt;&gt; Too Small &lt;&lt;&lt;",IF(G154&gt;VLOOKUP(C154,fnEquipLibRange,4,FALSE),"&gt;&gt;&gt; Too Large &lt;&lt;&lt;","Yes")))</f>
        <v>Yes</v>
      </c>
      <c r="J154" s="100"/>
      <c r="K154" s="101">
        <f ca="1">IF(F154*G154=0,"",IFERROR(IF(F154*G154*$D$145/$D$142&lt;VLOOKUP(C154,fnEquipLibRange,3,FALSE),MAX(1,F154),MAX(ROUNDUP(F154*G154*$D$145/$D$142/VLOOKUP(C154,fnEquipLibRange,4,FALSE),0),F154)),""))</f>
        <v>2</v>
      </c>
      <c r="L154" s="102">
        <f ca="1">IF(F154*G154=0,"",IFERROR(IF(F154*G154*$D$145/$D$142&lt;VLOOKUP(C154,fnEquipLibRange,3,FALSE),VLOOKUP(C154,fnEquipLibRange,3,FALSE),F154*G154*$D$145/$D$142/MAX(ROUNDUP(F154*G154*$D$145/$D$142/VLOOKUP(C154,fnEquipLibRange,4,FALSE),0),F154)),""))</f>
        <v>0.79274479959411459</v>
      </c>
      <c r="M154" s="102"/>
      <c r="N154" s="103">
        <f ca="1">IF($K154="","",IFERROR($K154*fnEquipCostCorr*fnEquipCostIndex*fnEquipConstMaterial,""))</f>
        <v>129.3970960352423</v>
      </c>
      <c r="O154" s="104">
        <f ca="1">IFERROR(fnEquipInstFactor*N154,"")</f>
        <v>129.3970960352423</v>
      </c>
      <c r="P154" s="105">
        <f ca="1">IFERROR(fnEquipLaborFactor*K154,"")</f>
        <v>0</v>
      </c>
      <c r="Q154" s="19"/>
      <c r="S154" s="94" t="str">
        <f t="shared" si="2"/>
        <v>Pressure regulator 75 psi.</v>
      </c>
      <c r="T154" s="11" t="str">
        <f ca="1">IFERROR(IF(INDEX(fnEquipLibRange,fnEquipRowNum,39)="","",INDEX(fnEquipLibRange,fnEquipRowNum,39)),"")</f>
        <v>IDEX BPR cartridge 75 psi.</v>
      </c>
    </row>
    <row r="155" spans="2:21" hidden="1" outlineLevel="1">
      <c r="B155" s="16"/>
      <c r="C155" s="69" t="s">
        <v>797</v>
      </c>
      <c r="D155" s="70"/>
      <c r="E155" s="70" t="s">
        <v>779</v>
      </c>
      <c r="F155" s="70">
        <v>16</v>
      </c>
      <c r="G155" s="130">
        <v>1</v>
      </c>
      <c r="H155" s="106" t="str">
        <f ca="1">IFERROR(VLOOKUP(C155,fnEquipLibRange,2,FALSE),"")</f>
        <v>each</v>
      </c>
      <c r="I155" s="100" t="str">
        <f ca="1">IF(ISBLANK(G155),"",IF(G155&lt;VLOOKUP(C155,fnEquipLibRange,3,FALSE),"&gt;&gt;&gt; Too Small &lt;&lt;&lt;",IF(G155&gt;VLOOKUP(C155,fnEquipLibRange,4,FALSE),"&gt;&gt;&gt; Too Large &lt;&lt;&lt;","Yes")))</f>
        <v>Yes</v>
      </c>
      <c r="J155" s="100"/>
      <c r="K155" s="101">
        <f ca="1">IF(F155*G155=0,"",IFERROR(IF(F155*G155*$D$145/$D$142&lt;VLOOKUP(C155,fnEquipLibRange,3,FALSE),MAX(1,F155),MAX(ROUNDUP(F155*G155*$D$145/$D$142/VLOOKUP(C155,fnEquipLibRange,4,FALSE),0),F155)),""))</f>
        <v>26</v>
      </c>
      <c r="L155" s="102">
        <f ca="1">IF(F155*G155=0,"",IFERROR(IF(F155*G155*$D$145/$D$142&lt;VLOOKUP(C155,fnEquipLibRange,3,FALSE),VLOOKUP(C155,fnEquipLibRange,3,FALSE),F155*G155*$D$145/$D$142/MAX(ROUNDUP(F155*G155*$D$145/$D$142/VLOOKUP(C155,fnEquipLibRange,4,FALSE),0),F155)),""))</f>
        <v>0.97568590719275639</v>
      </c>
      <c r="M155" s="102"/>
      <c r="N155" s="103">
        <f ca="1">IF($K155="","",IFERROR($K155*fnEquipCostCorr*fnEquipCostIndex*fnEquipConstMaterial,""))</f>
        <v>913.30142731277533</v>
      </c>
      <c r="O155" s="104">
        <f ca="1">IFERROR(fnEquipInstFactor*N155,"")</f>
        <v>913.30142731277533</v>
      </c>
      <c r="P155" s="105">
        <f ca="1">IFERROR(fnEquipLaborFactor*K155,"")</f>
        <v>0</v>
      </c>
      <c r="Q155" s="19"/>
      <c r="S155" s="94" t="str">
        <f t="shared" si="2"/>
        <v>Metal luer lock adaptor</v>
      </c>
      <c r="T155" s="11" t="str">
        <f ca="1">IFERROR(IF(INDEX(fnEquipLibRange,fnEquipRowNum,39)="","",INDEX(fnEquipLibRange,fnEquipRowNum,39)),"")</f>
        <v>McMaster 5194K34</v>
      </c>
    </row>
    <row r="156" spans="2:21" hidden="1" outlineLevel="1">
      <c r="B156" s="16"/>
      <c r="C156" s="69" t="s">
        <v>805</v>
      </c>
      <c r="D156" s="70"/>
      <c r="E156" s="70" t="s">
        <v>779</v>
      </c>
      <c r="F156" s="70">
        <v>16</v>
      </c>
      <c r="G156" s="130">
        <v>1</v>
      </c>
      <c r="H156" s="106" t="str">
        <f ca="1">IFERROR(VLOOKUP(C156,fnEquipLibRange,2,FALSE),"")</f>
        <v>each</v>
      </c>
      <c r="I156" s="100" t="str">
        <f ca="1">IF(ISBLANK(G156),"",IF(G156&lt;VLOOKUP(C156,fnEquipLibRange,3,FALSE),"&gt;&gt;&gt; Too Small &lt;&lt;&lt;",IF(G156&gt;VLOOKUP(C156,fnEquipLibRange,4,FALSE),"&gt;&gt;&gt; Too Large &lt;&lt;&lt;","Yes")))</f>
        <v>Yes</v>
      </c>
      <c r="J156" s="100"/>
      <c r="K156" s="101">
        <f ca="1">IF(F156*G156=0,"",IFERROR(IF(F156*G156*$D$145/$D$142&lt;VLOOKUP(C156,fnEquipLibRange,3,FALSE),MAX(1,F156),MAX(ROUNDUP(F156*G156*$D$145/$D$142/VLOOKUP(C156,fnEquipLibRange,4,FALSE),0),F156)),""))</f>
        <v>26</v>
      </c>
      <c r="L156" s="102">
        <f ca="1">IF(F156*G156=0,"",IFERROR(IF(F156*G156*$D$145/$D$142&lt;VLOOKUP(C156,fnEquipLibRange,3,FALSE),VLOOKUP(C156,fnEquipLibRange,3,FALSE),F156*G156*$D$145/$D$142/MAX(ROUNDUP(F156*G156*$D$145/$D$142/VLOOKUP(C156,fnEquipLibRange,4,FALSE),0),F156)),""))</f>
        <v>0.97568590719275639</v>
      </c>
      <c r="M156" s="102"/>
      <c r="N156" s="103">
        <f ca="1">IF($K156="","",IFERROR($K156*fnEquipCostCorr*fnEquipCostIndex*fnEquipConstMaterial,""))</f>
        <v>104.23548898678415</v>
      </c>
      <c r="O156" s="104">
        <f ca="1">IFERROR(fnEquipInstFactor*N156,"")</f>
        <v>104.23548898678415</v>
      </c>
      <c r="P156" s="105">
        <f ca="1">IFERROR(fnEquipLaborFactor*K156,"")</f>
        <v>0</v>
      </c>
      <c r="Q156" s="19"/>
      <c r="S156" s="94" t="str">
        <f t="shared" si="2"/>
        <v>Glass reactor tube</v>
      </c>
      <c r="T156" s="11" t="str">
        <f ca="1">IFERROR(IF(INDEX(fnEquipLibRange,fnEquipRowNum,39)="","",INDEX(fnEquipLibRange,fnEquipRowNum,39)),"")</f>
        <v>FisherScientific S37608 pk of 25</v>
      </c>
    </row>
    <row r="157" spans="2:21" hidden="1" outlineLevel="1">
      <c r="B157" s="16"/>
      <c r="C157" s="69" t="s">
        <v>799</v>
      </c>
      <c r="D157" s="70"/>
      <c r="E157" s="70" t="s">
        <v>779</v>
      </c>
      <c r="F157" s="70">
        <v>16</v>
      </c>
      <c r="G157" s="130">
        <v>1</v>
      </c>
      <c r="H157" s="106" t="str">
        <f ca="1">IFERROR(VLOOKUP(C157,fnEquipLibRange,2,FALSE),"")</f>
        <v>each</v>
      </c>
      <c r="I157" s="100" t="str">
        <f ca="1">IF(ISBLANK(G157),"",IF(G157&lt;VLOOKUP(C157,fnEquipLibRange,3,FALSE),"&gt;&gt;&gt; Too Small &lt;&lt;&lt;",IF(G157&gt;VLOOKUP(C157,fnEquipLibRange,4,FALSE),"&gt;&gt;&gt; Too Large &lt;&lt;&lt;","Yes")))</f>
        <v>Yes</v>
      </c>
      <c r="J157" s="100"/>
      <c r="K157" s="101">
        <f ca="1">IF(F157*G157=0,"",IFERROR(IF(F157*G157*$D$145/$D$142&lt;VLOOKUP(C157,fnEquipLibRange,3,FALSE),MAX(1,F157),MAX(ROUNDUP(F157*G157*$D$145/$D$142/VLOOKUP(C157,fnEquipLibRange,4,FALSE),0),F157)),""))</f>
        <v>26</v>
      </c>
      <c r="L157" s="102">
        <f ca="1">IF(F157*G157=0,"",IFERROR(IF(F157*G157*$D$145/$D$142&lt;VLOOKUP(C157,fnEquipLibRange,3,FALSE),VLOOKUP(C157,fnEquipLibRange,3,FALSE),F157*G157*$D$145/$D$142/MAX(ROUNDUP(F157*G157*$D$145/$D$142/VLOOKUP(C157,fnEquipLibRange,4,FALSE),0),F157)),""))</f>
        <v>0.97568590719275639</v>
      </c>
      <c r="M157" s="102"/>
      <c r="N157" s="103">
        <f ca="1">IF($K157="","",IFERROR($K157*fnEquipCostCorr*fnEquipCostIndex*fnEquipConstMaterial,""))</f>
        <v>23701.164757709252</v>
      </c>
      <c r="O157" s="104">
        <f ca="1">IFERROR(fnEquipInstFactor*N157,"")</f>
        <v>23701.164757709252</v>
      </c>
      <c r="P157" s="105">
        <f ca="1">IFERROR(fnEquipLaborFactor*K157,"")</f>
        <v>0</v>
      </c>
      <c r="Q157" s="19"/>
      <c r="S157" s="94" t="str">
        <f t="shared" si="2"/>
        <v>Temperature controller 2</v>
      </c>
      <c r="T157" s="11" t="str">
        <f ca="1">IFERROR(IF(INDEX(fnEquipLibRange,fnEquipRowNum,39)="","",INDEX(fnEquipLibRange,fnEquipRowNum,39)),"")</f>
        <v>J-Kem Model 210</v>
      </c>
    </row>
    <row r="158" spans="2:21" hidden="1" outlineLevel="1">
      <c r="B158" s="16"/>
      <c r="C158" s="69" t="s">
        <v>800</v>
      </c>
      <c r="D158" s="70"/>
      <c r="E158" s="70" t="s">
        <v>779</v>
      </c>
      <c r="F158" s="70">
        <v>16</v>
      </c>
      <c r="G158" s="130">
        <v>1</v>
      </c>
      <c r="H158" s="106" t="str">
        <f ca="1">IFERROR(VLOOKUP(C158,fnEquipLibRange,2,FALSE),"")</f>
        <v>each</v>
      </c>
      <c r="I158" s="100" t="str">
        <f ca="1">IF(ISBLANK(G158),"",IF(G158&lt;VLOOKUP(C158,fnEquipLibRange,3,FALSE),"&gt;&gt;&gt; Too Small &lt;&lt;&lt;",IF(G158&gt;VLOOKUP(C158,fnEquipLibRange,4,FALSE),"&gt;&gt;&gt; Too Large &lt;&lt;&lt;","Yes")))</f>
        <v>Yes</v>
      </c>
      <c r="J158" s="100"/>
      <c r="K158" s="101">
        <f ca="1">IF(F158*G158=0,"",IFERROR(IF(F158*G158*$D$145/$D$142&lt;VLOOKUP(C158,fnEquipLibRange,3,FALSE),MAX(1,F158),MAX(ROUNDUP(F158*G158*$D$145/$D$142/VLOOKUP(C158,fnEquipLibRange,4,FALSE),0),F158)),""))</f>
        <v>26</v>
      </c>
      <c r="L158" s="102">
        <f ca="1">IF(F158*G158=0,"",IFERROR(IF(F158*G158*$D$145/$D$142&lt;VLOOKUP(C158,fnEquipLibRange,3,FALSE),VLOOKUP(C158,fnEquipLibRange,3,FALSE),F158*G158*$D$145/$D$142/MAX(ROUNDUP(F158*G158*$D$145/$D$142/VLOOKUP(C158,fnEquipLibRange,4,FALSE),0),F158)),""))</f>
        <v>0.97568590719275639</v>
      </c>
      <c r="M158" s="102"/>
      <c r="N158" s="103">
        <f ca="1">IF($K158="","",IFERROR($K158*fnEquipCostCorr*fnEquipCostIndex*fnEquipConstMaterial,""))</f>
        <v>1687.6222026431719</v>
      </c>
      <c r="O158" s="104">
        <f ca="1">IFERROR(fnEquipInstFactor*N158,"")</f>
        <v>1687.6222026431719</v>
      </c>
      <c r="P158" s="105">
        <f ca="1">IFERROR(fnEquipLaborFactor*K158,"")</f>
        <v>0</v>
      </c>
      <c r="Q158" s="19"/>
      <c r="S158" s="94" t="str">
        <f t="shared" si="2"/>
        <v>Type J/K thermocouple</v>
      </c>
      <c r="T158" s="11" t="str">
        <f ca="1">IFERROR(IF(INDEX(fnEquipLibRange,fnEquipRowNum,39)="","",INDEX(fnEquipLibRange,fnEquipRowNum,39)),"")</f>
        <v>J-Kem thermocouple</v>
      </c>
    </row>
    <row r="159" spans="2:21" hidden="1" outlineLevel="1">
      <c r="B159" s="16"/>
      <c r="C159" s="69" t="s">
        <v>801</v>
      </c>
      <c r="D159" s="70"/>
      <c r="E159" s="70" t="s">
        <v>779</v>
      </c>
      <c r="F159" s="70">
        <v>16</v>
      </c>
      <c r="G159" s="130">
        <v>1</v>
      </c>
      <c r="H159" s="106" t="str">
        <f ca="1">IFERROR(VLOOKUP(C159,fnEquipLibRange,2,FALSE),"")</f>
        <v>each</v>
      </c>
      <c r="I159" s="100" t="str">
        <f ca="1">IF(ISBLANK(G159),"",IF(G159&lt;VLOOKUP(C159,fnEquipLibRange,3,FALSE),"&gt;&gt;&gt; Too Small &lt;&lt;&lt;",IF(G159&gt;VLOOKUP(C159,fnEquipLibRange,4,FALSE),"&gt;&gt;&gt; Too Large &lt;&lt;&lt;","Yes")))</f>
        <v>Yes</v>
      </c>
      <c r="J159" s="100"/>
      <c r="K159" s="101">
        <f ca="1">IF(F159*G159=0,"",IFERROR(IF(F159*G159*$D$145/$D$142&lt;VLOOKUP(C159,fnEquipLibRange,3,FALSE),MAX(1,F159),MAX(ROUNDUP(F159*G159*$D$145/$D$142/VLOOKUP(C159,fnEquipLibRange,4,FALSE),0),F159)),""))</f>
        <v>26</v>
      </c>
      <c r="L159" s="102">
        <f ca="1">IF(F159*G159=0,"",IFERROR(IF(F159*G159*$D$145/$D$142&lt;VLOOKUP(C159,fnEquipLibRange,3,FALSE),VLOOKUP(C159,fnEquipLibRange,3,FALSE),F159*G159*$D$145/$D$142/MAX(ROUNDUP(F159*G159*$D$145/$D$142/VLOOKUP(C159,fnEquipLibRange,4,FALSE),0),F159)),""))</f>
        <v>0.97568590719275639</v>
      </c>
      <c r="M159" s="102"/>
      <c r="N159" s="103">
        <f ca="1">IF($K159="","",IFERROR($K159*fnEquipCostCorr*fnEquipCostIndex*fnEquipConstMaterial,""))</f>
        <v>3325.6084581497798</v>
      </c>
      <c r="O159" s="104">
        <f ca="1">IFERROR(fnEquipInstFactor*N159,"")</f>
        <v>3325.6084581497798</v>
      </c>
      <c r="P159" s="105">
        <f ca="1">IFERROR(fnEquipLaborFactor*K159,"")</f>
        <v>0</v>
      </c>
      <c r="Q159" s="19"/>
      <c r="S159" s="94" t="str">
        <f t="shared" si="2"/>
        <v>Type J/K connecting cable</v>
      </c>
      <c r="T159" s="11" t="str">
        <f ca="1">IFERROR(IF(INDEX(fnEquipLibRange,fnEquipRowNum,39)="","",INDEX(fnEquipLibRange,fnEquipRowNum,39)),"")</f>
        <v>J-Kem Type J connecting cable</v>
      </c>
    </row>
    <row r="160" spans="2:21" hidden="1" outlineLevel="1">
      <c r="B160" s="16"/>
      <c r="C160" s="69" t="s">
        <v>802</v>
      </c>
      <c r="D160" s="70"/>
      <c r="E160" s="70" t="s">
        <v>779</v>
      </c>
      <c r="F160" s="70">
        <v>16</v>
      </c>
      <c r="G160" s="130">
        <v>1</v>
      </c>
      <c r="H160" s="106" t="str">
        <f ca="1">IFERROR(VLOOKUP(C160,fnEquipLibRange,2,FALSE),"")</f>
        <v>each</v>
      </c>
      <c r="I160" s="100" t="str">
        <f ca="1">IF(ISBLANK(G160),"",IF(G160&lt;VLOOKUP(C160,fnEquipLibRange,3,FALSE),"&gt;&gt;&gt; Too Small &lt;&lt;&lt;",IF(G160&gt;VLOOKUP(C160,fnEquipLibRange,4,FALSE),"&gt;&gt;&gt; Too Large &lt;&lt;&lt;","Yes")))</f>
        <v>Yes</v>
      </c>
      <c r="J160" s="100"/>
      <c r="K160" s="101">
        <f ca="1">IF(F160*G160=0,"",IFERROR(IF(F160*G160*$D$145/$D$142&lt;VLOOKUP(C160,fnEquipLibRange,3,FALSE),MAX(1,F160),MAX(ROUNDUP(F160*G160*$D$145/$D$142/VLOOKUP(C160,fnEquipLibRange,4,FALSE),0),F160)),""))</f>
        <v>26</v>
      </c>
      <c r="L160" s="102">
        <f ca="1">IF(F160*G160=0,"",IFERROR(IF(F160*G160*$D$145/$D$142&lt;VLOOKUP(C160,fnEquipLibRange,3,FALSE),VLOOKUP(C160,fnEquipLibRange,3,FALSE),F160*G160*$D$145/$D$142/MAX(ROUNDUP(F160*G160*$D$145/$D$142/VLOOKUP(C160,fnEquipLibRange,4,FALSE),0),F160)),""))</f>
        <v>0.97568590719275639</v>
      </c>
      <c r="M160" s="102"/>
      <c r="N160" s="103">
        <f ca="1">IF($K160="","",IFERROR($K160*fnEquipCostCorr*fnEquipCostIndex*fnEquipConstMaterial,""))</f>
        <v>10200.187136563878</v>
      </c>
      <c r="O160" s="104">
        <f ca="1">IFERROR(fnEquipInstFactor*N160,"")</f>
        <v>10200.187136563878</v>
      </c>
      <c r="P160" s="105">
        <f ca="1">IFERROR(fnEquipLaborFactor*K160,"")</f>
        <v>0</v>
      </c>
      <c r="Q160" s="19"/>
      <c r="S160" s="94" t="str">
        <f t="shared" si="2"/>
        <v>Heating mantle 1</v>
      </c>
      <c r="T160" s="11" t="str">
        <f ca="1">IFERROR(IF(INDEX(fnEquipLibRange,fnEquipRowNum,39)="","",INDEX(fnEquipLibRange,fnEquipRowNum,39)),"")</f>
        <v>Glas-Co 100A O580</v>
      </c>
    </row>
    <row r="161" spans="2:20" hidden="1" outlineLevel="1">
      <c r="B161" s="16"/>
      <c r="C161" s="69" t="s">
        <v>810</v>
      </c>
      <c r="D161" s="70"/>
      <c r="E161" s="70" t="s">
        <v>779</v>
      </c>
      <c r="F161" s="70">
        <v>16</v>
      </c>
      <c r="G161" s="130">
        <v>1</v>
      </c>
      <c r="H161" s="106" t="str">
        <f ca="1">IFERROR(VLOOKUP(C161,fnEquipLibRange,2,FALSE),"")</f>
        <v>each</v>
      </c>
      <c r="I161" s="100" t="str">
        <f ca="1">IF(ISBLANK(G161),"",IF(G161&lt;VLOOKUP(C161,fnEquipLibRange,3,FALSE),"&gt;&gt;&gt; Too Small &lt;&lt;&lt;",IF(G161&gt;VLOOKUP(C161,fnEquipLibRange,4,FALSE),"&gt;&gt;&gt; Too Large &lt;&lt;&lt;","Yes")))</f>
        <v>Yes</v>
      </c>
      <c r="J161" s="100"/>
      <c r="K161" s="101">
        <f ca="1">IF(F161*G161=0,"",IFERROR(IF(F161*G161*$D$145/$D$142&lt;VLOOKUP(C161,fnEquipLibRange,3,FALSE),MAX(1,F161),MAX(ROUNDUP(F161*G161*$D$145/$D$142/VLOOKUP(C161,fnEquipLibRange,4,FALSE),0),F161)),""))</f>
        <v>26</v>
      </c>
      <c r="L161" s="102">
        <f ca="1">IF(F161*G161=0,"",IFERROR(IF(F161*G161*$D$145/$D$142&lt;VLOOKUP(C161,fnEquipLibRange,3,FALSE),VLOOKUP(C161,fnEquipLibRange,3,FALSE),F161*G161*$D$145/$D$142/MAX(ROUNDUP(F161*G161*$D$145/$D$142/VLOOKUP(C161,fnEquipLibRange,4,FALSE),0),F161)),""))</f>
        <v>0.97568590719275639</v>
      </c>
      <c r="M161" s="102"/>
      <c r="N161" s="103">
        <f ca="1">IF($K161="","",IFERROR($K161*fnEquipCostCorr*fnEquipCostIndex*fnEquipConstMaterial,""))</f>
        <v>372.26960352422913</v>
      </c>
      <c r="O161" s="104">
        <f ca="1">IFERROR(fnEquipInstFactor*N161,"")</f>
        <v>372.26960352422913</v>
      </c>
      <c r="P161" s="105">
        <f ca="1">IFERROR(fnEquipLaborFactor*K161,"")</f>
        <v>0</v>
      </c>
      <c r="Q161" s="19"/>
      <c r="S161" s="94" t="str">
        <f t="shared" si="2"/>
        <v>Millifluidic mixer</v>
      </c>
      <c r="T161" s="11" t="str">
        <f ca="1">IFERROR(IF(INDEX(fnEquipLibRange,fnEquipRowNum,39)="","",INDEX(fnEquipLibRange,fnEquipRowNum,39)),"")</f>
        <v/>
      </c>
    </row>
    <row r="162" spans="2:20" hidden="1" outlineLevel="1">
      <c r="B162" s="16"/>
      <c r="C162" s="69" t="s">
        <v>811</v>
      </c>
      <c r="D162" s="70"/>
      <c r="E162" s="70" t="s">
        <v>779</v>
      </c>
      <c r="F162" s="70">
        <v>16</v>
      </c>
      <c r="G162" s="130">
        <v>1</v>
      </c>
      <c r="H162" s="106" t="str">
        <f ca="1">IFERROR(VLOOKUP(C162,fnEquipLibRange,2,FALSE),"")</f>
        <v>each</v>
      </c>
      <c r="I162" s="100" t="str">
        <f ca="1">IF(ISBLANK(G162),"",IF(G162&lt;VLOOKUP(C162,fnEquipLibRange,3,FALSE),"&gt;&gt;&gt; Too Small &lt;&lt;&lt;",IF(G162&gt;VLOOKUP(C162,fnEquipLibRange,4,FALSE),"&gt;&gt;&gt; Too Large &lt;&lt;&lt;","Yes")))</f>
        <v>Yes</v>
      </c>
      <c r="J162" s="100"/>
      <c r="K162" s="101">
        <f ca="1">IF(F162*G162=0,"",IFERROR(IF(F162*G162*$D$145/$D$142&lt;VLOOKUP(C162,fnEquipLibRange,3,FALSE),MAX(1,F162),MAX(ROUNDUP(F162*G162*$D$145/$D$142/VLOOKUP(C162,fnEquipLibRange,4,FALSE),0),F162)),""))</f>
        <v>26</v>
      </c>
      <c r="L162" s="102">
        <f ca="1">IF(F162*G162=0,"",IFERROR(IF(F162*G162*$D$145/$D$142&lt;VLOOKUP(C162,fnEquipLibRange,3,FALSE),VLOOKUP(C162,fnEquipLibRange,3,FALSE),F162*G162*$D$145/$D$142/MAX(ROUNDUP(F162*G162*$D$145/$D$142/VLOOKUP(C162,fnEquipLibRange,4,FALSE),0),F162)),""))</f>
        <v>0.97568590719275639</v>
      </c>
      <c r="M162" s="102"/>
      <c r="N162" s="103">
        <f ca="1">IF($K162="","",IFERROR($K162*fnEquipCostCorr*fnEquipCostIndex*fnEquipConstMaterial,""))</f>
        <v>1240.898678414097</v>
      </c>
      <c r="O162" s="104">
        <f ca="1">IFERROR(fnEquipInstFactor*N162,"")</f>
        <v>1240.898678414097</v>
      </c>
      <c r="P162" s="105">
        <f ca="1">IFERROR(fnEquipLaborFactor*K162,"")</f>
        <v>0</v>
      </c>
      <c r="Q162" s="19"/>
      <c r="S162" s="94" t="str">
        <f t="shared" si="2"/>
        <v>Millifluidic droplet forming mixer</v>
      </c>
      <c r="T162" s="11" t="str">
        <f ca="1">IFERROR(IF(INDEX(fnEquipLibRange,fnEquipRowNum,39)="","",INDEX(fnEquipLibRange,fnEquipRowNum,39)),"")</f>
        <v/>
      </c>
    </row>
    <row r="163" spans="2:20" hidden="1" outlineLevel="1">
      <c r="B163" s="16"/>
      <c r="C163" s="69" t="s">
        <v>804</v>
      </c>
      <c r="D163" s="70"/>
      <c r="E163" s="70" t="s">
        <v>779</v>
      </c>
      <c r="F163" s="70">
        <v>1</v>
      </c>
      <c r="G163" s="130">
        <v>2</v>
      </c>
      <c r="H163" s="106" t="str">
        <f ca="1">IFERROR(VLOOKUP(C163,fnEquipLibRange,2,FALSE),"")</f>
        <v>lb</v>
      </c>
      <c r="I163" s="100" t="str">
        <f ca="1">IF(ISBLANK(G163),"",IF(G163&lt;VLOOKUP(C163,fnEquipLibRange,3,FALSE),"&gt;&gt;&gt; Too Small &lt;&lt;&lt;",IF(G163&gt;VLOOKUP(C163,fnEquipLibRange,4,FALSE),"&gt;&gt;&gt; Too Large &lt;&lt;&lt;","Yes")))</f>
        <v>Yes</v>
      </c>
      <c r="J163" s="100"/>
      <c r="K163" s="101">
        <f ca="1">IF(F163*G163=0,"",IFERROR(IF(F163*G163*$D$145/$D$142&lt;VLOOKUP(C163,fnEquipLibRange,3,FALSE),MAX(1,F163),MAX(ROUNDUP(F163*G163*$D$145/$D$142/VLOOKUP(C163,fnEquipLibRange,4,FALSE),0),F163)),""))</f>
        <v>1</v>
      </c>
      <c r="L163" s="102">
        <f ca="1">IF(F163*G163=0,"",IFERROR(IF(F163*G163*$D$145/$D$142&lt;VLOOKUP(C163,fnEquipLibRange,3,FALSE),VLOOKUP(C163,fnEquipLibRange,3,FALSE),F163*G163*$D$145/$D$142/MAX(ROUNDUP(F163*G163*$D$145/$D$142/VLOOKUP(C163,fnEquipLibRange,4,FALSE),0),F163)),""))</f>
        <v>3.1709791983764584</v>
      </c>
      <c r="M163" s="102"/>
      <c r="N163" s="103">
        <f ca="1">IF($K163="","",IFERROR($K163*fnEquipCostCorr*fnEquipCostIndex*fnEquipConstMaterial,""))</f>
        <v>0.18160910291741261</v>
      </c>
      <c r="O163" s="104">
        <f ca="1">IFERROR(fnEquipInstFactor*N163,"")</f>
        <v>0.18160910291741261</v>
      </c>
      <c r="P163" s="105">
        <f ca="1">IFERROR(fnEquipLaborFactor*K163,"")</f>
        <v>0</v>
      </c>
      <c r="Q163" s="19"/>
      <c r="S163" s="94" t="str">
        <f t="shared" si="2"/>
        <v>Sand</v>
      </c>
      <c r="T163" s="11" t="str">
        <f ca="1">IFERROR(IF(INDEX(fnEquipLibRange,fnEquipRowNum,39)="","",INDEX(fnEquipLibRange,fnEquipRowNum,39)),"")</f>
        <v/>
      </c>
    </row>
    <row r="164" spans="2:20" hidden="1" outlineLevel="1">
      <c r="B164" s="16"/>
      <c r="C164" s="69" t="s">
        <v>1007</v>
      </c>
      <c r="D164" s="70"/>
      <c r="E164" s="70" t="s">
        <v>779</v>
      </c>
      <c r="F164" s="70">
        <v>1</v>
      </c>
      <c r="G164" s="130">
        <v>1</v>
      </c>
      <c r="H164" s="106" t="str">
        <f ca="1">IFERROR(VLOOKUP(C164,fnEquipLibRange,2,FALSE),"")</f>
        <v>each</v>
      </c>
      <c r="I164" s="100" t="str">
        <f ca="1">IF(ISBLANK(G164),"",IF(G164&lt;VLOOKUP(C164,fnEquipLibRange,3,FALSE),"&gt;&gt;&gt; Too Small &lt;&lt;&lt;",IF(G164&gt;VLOOKUP(C164,fnEquipLibRange,4,FALSE),"&gt;&gt;&gt; Too Large &lt;&lt;&lt;","Yes")))</f>
        <v>Yes</v>
      </c>
      <c r="J164" s="100"/>
      <c r="K164" s="101">
        <f ca="1">IF(F164*G164=0,"",IFERROR(IF(F164*G164*$D$145/$D$142&lt;VLOOKUP(C164,fnEquipLibRange,3,FALSE),MAX(1,F164),MAX(ROUNDUP(F164*G164*$D$145/$D$142/VLOOKUP(C164,fnEquipLibRange,4,FALSE),0),F164)),""))</f>
        <v>2</v>
      </c>
      <c r="L164" s="102">
        <f ca="1">IF(F164*G164=0,"",IFERROR(IF(F164*G164*$D$145/$D$142&lt;VLOOKUP(C164,fnEquipLibRange,3,FALSE),VLOOKUP(C164,fnEquipLibRange,3,FALSE),F164*G164*$D$145/$D$142/MAX(ROUNDUP(F164*G164*$D$145/$D$142/VLOOKUP(C164,fnEquipLibRange,4,FALSE),0),F164)),""))</f>
        <v>0.79274479959411459</v>
      </c>
      <c r="M164" s="102"/>
      <c r="N164" s="103">
        <f ca="1">IF($K164="","",IFERROR($K164*fnEquipCostCorr*fnEquipCostIndex*fnEquipConstMaterial,""))</f>
        <v>4772.6872246696039</v>
      </c>
      <c r="O164" s="104">
        <f ca="1">IFERROR(fnEquipInstFactor*N164,"")</f>
        <v>4772.6872246696039</v>
      </c>
      <c r="P164" s="105">
        <f ca="1">IFERROR(fnEquipLaborFactor*K164,"")</f>
        <v>0</v>
      </c>
      <c r="Q164" s="19"/>
      <c r="S164" s="94" t="str">
        <f t="shared" si="2"/>
        <v>Centrifuge (lab)</v>
      </c>
      <c r="T164" s="11" t="str">
        <f ca="1">IFERROR(IF(INDEX(fnEquipLibRange,fnEquipRowNum,39)="","",INDEX(fnEquipLibRange,fnEquipRowNum,39)),"")</f>
        <v/>
      </c>
    </row>
    <row r="165" spans="2:20" hidden="1" outlineLevel="1">
      <c r="B165" s="16"/>
      <c r="C165" s="69"/>
      <c r="D165" s="70"/>
      <c r="E165" s="70" t="str">
        <f ca="1">IFERROR(VLOOKUP(C165,fnEquipLibRange,16,FALSE),"")</f>
        <v/>
      </c>
      <c r="F165" s="70"/>
      <c r="G165" s="130"/>
      <c r="H165" s="106" t="str">
        <f ca="1">IFERROR(VLOOKUP(C165,fnEquipLibRange,2,FALSE),"")</f>
        <v/>
      </c>
      <c r="I165" s="100" t="str">
        <f>IF(ISBLANK(G165),"",IF(G165&lt;VLOOKUP(C165,fnEquipLibRange,3,FALSE),"&gt;&gt;&gt; Too Small &lt;&lt;&lt;",IF(G165&gt;VLOOKUP(C165,fnEquipLibRange,4,FALSE),"&gt;&gt;&gt; Too Large &lt;&lt;&lt;","Yes")))</f>
        <v/>
      </c>
      <c r="J165" s="100"/>
      <c r="K165" s="101" t="str">
        <f>IF(F165*G165=0,"",IFERROR(IF(F165*G165*$D$145/$D$142&lt;VLOOKUP(C165,fnEquipLibRange,3,FALSE),MAX(1,F165),MAX(ROUNDUP(F165*G165*$D$145/$D$142/VLOOKUP(C165,fnEquipLibRange,4,FALSE),0),F165)),""))</f>
        <v/>
      </c>
      <c r="L165" s="102" t="str">
        <f>IF(F165*G165=0,"",IFERROR(IF(F165*G165*$D$145/$D$142&lt;VLOOKUP(C165,fnEquipLibRange,3,FALSE),VLOOKUP(C165,fnEquipLibRange,3,FALSE),F165*G165*$D$145/$D$142/MAX(ROUNDUP(F165*G165*$D$145/$D$142/VLOOKUP(C165,fnEquipLibRange,4,FALSE),0),F165)),""))</f>
        <v/>
      </c>
      <c r="M165" s="102"/>
      <c r="N165" s="103" t="str">
        <f>IF($K165="","",IFERROR($K165*fnEquipCostCorr*fnEquipCostIndex*fnEquipConstMaterial,""))</f>
        <v/>
      </c>
      <c r="O165" s="104" t="str">
        <f ca="1">IFERROR(fnEquipInstFactor*N165,"")</f>
        <v/>
      </c>
      <c r="P165" s="105" t="str">
        <f ca="1">IFERROR(fnEquipLaborFactor*K165,"")</f>
        <v/>
      </c>
      <c r="Q165" s="19"/>
      <c r="S165" s="94" t="str">
        <f t="shared" si="2"/>
        <v/>
      </c>
      <c r="T165" s="11" t="str">
        <f ca="1">IFERROR(IF(INDEX(fnEquipLibRange,fnEquipRowNum,39)="","",INDEX(fnEquipLibRange,fnEquipRowNum,39)),"")</f>
        <v/>
      </c>
    </row>
    <row r="166" spans="2:20" hidden="1" outlineLevel="1">
      <c r="B166" s="16"/>
      <c r="C166" s="69"/>
      <c r="D166" s="70"/>
      <c r="E166" s="70" t="str">
        <f ca="1">IFERROR(VLOOKUP(C166,fnEquipLibRange,16,FALSE),"")</f>
        <v/>
      </c>
      <c r="F166" s="70"/>
      <c r="G166" s="130"/>
      <c r="H166" s="106" t="str">
        <f ca="1">IFERROR(VLOOKUP(C166,fnEquipLibRange,2,FALSE),"")</f>
        <v/>
      </c>
      <c r="I166" s="100" t="str">
        <f>IF(ISBLANK(G166),"",IF(G166&lt;VLOOKUP(C166,fnEquipLibRange,3,FALSE),"&gt;&gt;&gt; Too Small &lt;&lt;&lt;",IF(G166&gt;VLOOKUP(C166,fnEquipLibRange,4,FALSE),"&gt;&gt;&gt; Too Large &lt;&lt;&lt;","Yes")))</f>
        <v/>
      </c>
      <c r="J166" s="100"/>
      <c r="K166" s="101" t="str">
        <f>IF(F166*G166=0,"",IFERROR(IF(F166*G166*$D$145/$D$142&lt;VLOOKUP(C166,fnEquipLibRange,3,FALSE),MAX(1,F166),MAX(ROUNDUP(F166*G166*$D$145/$D$142/VLOOKUP(C166,fnEquipLibRange,4,FALSE),0),F166)),""))</f>
        <v/>
      </c>
      <c r="L166" s="102" t="str">
        <f>IF(F166*G166=0,"",IFERROR(IF(F166*G166*$D$145/$D$142&lt;VLOOKUP(C166,fnEquipLibRange,3,FALSE),VLOOKUP(C166,fnEquipLibRange,3,FALSE),F166*G166*$D$145/$D$142/MAX(ROUNDUP(F166*G166*$D$145/$D$142/VLOOKUP(C166,fnEquipLibRange,4,FALSE),0),F166)),""))</f>
        <v/>
      </c>
      <c r="M166" s="102"/>
      <c r="N166" s="103" t="str">
        <f>IF($K166="","",IFERROR($K166*fnEquipCostCorr*fnEquipCostIndex*fnEquipConstMaterial,""))</f>
        <v/>
      </c>
      <c r="O166" s="104" t="str">
        <f ca="1">IFERROR(fnEquipInstFactor*N166,"")</f>
        <v/>
      </c>
      <c r="P166" s="105" t="str">
        <f ca="1">IFERROR(fnEquipLaborFactor*K166,"")</f>
        <v/>
      </c>
      <c r="Q166" s="19"/>
      <c r="S166" s="94" t="str">
        <f t="shared" si="2"/>
        <v/>
      </c>
      <c r="T166" s="11" t="str">
        <f ca="1">IFERROR(IF(INDEX(fnEquipLibRange,fnEquipRowNum,39)="","",INDEX(fnEquipLibRange,fnEquipRowNum,39)),"")</f>
        <v/>
      </c>
    </row>
    <row r="167" spans="2:20" hidden="1" outlineLevel="1">
      <c r="B167" s="16"/>
      <c r="C167" s="69"/>
      <c r="D167" s="70"/>
      <c r="E167" s="70" t="str">
        <f ca="1">IFERROR(VLOOKUP(C167,fnEquipLibRange,16,FALSE),"")</f>
        <v/>
      </c>
      <c r="F167" s="70"/>
      <c r="G167" s="130"/>
      <c r="H167" s="106" t="str">
        <f ca="1">IFERROR(VLOOKUP(C167,fnEquipLibRange,2,FALSE),"")</f>
        <v/>
      </c>
      <c r="I167" s="100" t="str">
        <f>IF(ISBLANK(G167),"",IF(G167&lt;VLOOKUP(C167,fnEquipLibRange,3,FALSE),"&gt;&gt;&gt; Too Small &lt;&lt;&lt;",IF(G167&gt;VLOOKUP(C167,fnEquipLibRange,4,FALSE),"&gt;&gt;&gt; Too Large &lt;&lt;&lt;","Yes")))</f>
        <v/>
      </c>
      <c r="J167" s="100"/>
      <c r="K167" s="101" t="str">
        <f>IF(F167*G167=0,"",IFERROR(IF(F167*G167*$D$145/$D$142&lt;VLOOKUP(C167,fnEquipLibRange,3,FALSE),MAX(1,F167),MAX(ROUNDUP(F167*G167*$D$145/$D$142/VLOOKUP(C167,fnEquipLibRange,4,FALSE),0),F167)),""))</f>
        <v/>
      </c>
      <c r="L167" s="102" t="str">
        <f>IF(F167*G167=0,"",IFERROR(IF(F167*G167*$D$145/$D$142&lt;VLOOKUP(C167,fnEquipLibRange,3,FALSE),VLOOKUP(C167,fnEquipLibRange,3,FALSE),F167*G167*$D$145/$D$142/MAX(ROUNDUP(F167*G167*$D$145/$D$142/VLOOKUP(C167,fnEquipLibRange,4,FALSE),0),F167)),""))</f>
        <v/>
      </c>
      <c r="M167" s="102"/>
      <c r="N167" s="103" t="str">
        <f>IF($K167="","",IFERROR($K167*fnEquipCostCorr*fnEquipCostIndex*fnEquipConstMaterial,""))</f>
        <v/>
      </c>
      <c r="O167" s="104" t="str">
        <f ca="1">IFERROR(fnEquipInstFactor*N167,"")</f>
        <v/>
      </c>
      <c r="P167" s="105" t="str">
        <f ca="1">IFERROR(fnEquipLaborFactor*K167,"")</f>
        <v/>
      </c>
      <c r="Q167" s="19"/>
      <c r="S167" s="94" t="str">
        <f t="shared" si="2"/>
        <v/>
      </c>
      <c r="T167" s="11" t="str">
        <f ca="1">IFERROR(IF(INDEX(fnEquipLibRange,fnEquipRowNum,39)="","",INDEX(fnEquipLibRange,fnEquipRowNum,39)),"")</f>
        <v/>
      </c>
    </row>
    <row r="168" spans="2:20" hidden="1" outlineLevel="1">
      <c r="B168" s="16"/>
      <c r="C168" s="69"/>
      <c r="D168" s="70"/>
      <c r="E168" s="70" t="str">
        <f ca="1">IFERROR(VLOOKUP(C168,fnEquipLibRange,16,FALSE),"")</f>
        <v/>
      </c>
      <c r="F168" s="70"/>
      <c r="G168" s="130"/>
      <c r="H168" s="106" t="str">
        <f ca="1">IFERROR(VLOOKUP(C168,fnEquipLibRange,2,FALSE),"")</f>
        <v/>
      </c>
      <c r="I168" s="100" t="str">
        <f>IF(ISBLANK(G168),"",IF(G168&lt;VLOOKUP(C168,fnEquipLibRange,3,FALSE),"&gt;&gt;&gt; Too Small &lt;&lt;&lt;",IF(G168&gt;VLOOKUP(C168,fnEquipLibRange,4,FALSE),"&gt;&gt;&gt; Too Large &lt;&lt;&lt;","Yes")))</f>
        <v/>
      </c>
      <c r="J168" s="100"/>
      <c r="K168" s="101" t="str">
        <f>IF(F168*G168=0,"",IFERROR(IF(F168*G168*$D$145/$D$142&lt;VLOOKUP(C168,fnEquipLibRange,3,FALSE),MAX(1,F168),MAX(ROUNDUP(F168*G168*$D$145/$D$142/VLOOKUP(C168,fnEquipLibRange,4,FALSE),0),F168)),""))</f>
        <v/>
      </c>
      <c r="L168" s="102" t="str">
        <f>IF(F168*G168=0,"",IFERROR(IF(F168*G168*$D$145/$D$142&lt;VLOOKUP(C168,fnEquipLibRange,3,FALSE),VLOOKUP(C168,fnEquipLibRange,3,FALSE),F168*G168*$D$145/$D$142/MAX(ROUNDUP(F168*G168*$D$145/$D$142/VLOOKUP(C168,fnEquipLibRange,4,FALSE),0),F168)),""))</f>
        <v/>
      </c>
      <c r="M168" s="102"/>
      <c r="N168" s="103" t="str">
        <f>IF($K168="","",IFERROR($K168*fnEquipCostCorr*fnEquipCostIndex*fnEquipConstMaterial,""))</f>
        <v/>
      </c>
      <c r="O168" s="104" t="str">
        <f ca="1">IFERROR(fnEquipInstFactor*N168,"")</f>
        <v/>
      </c>
      <c r="P168" s="105" t="str">
        <f ca="1">IFERROR(fnEquipLaborFactor*K168,"")</f>
        <v/>
      </c>
      <c r="Q168" s="19"/>
      <c r="S168" s="94" t="str">
        <f t="shared" si="2"/>
        <v/>
      </c>
      <c r="T168" s="11" t="str">
        <f ca="1">IFERROR(IF(INDEX(fnEquipLibRange,fnEquipRowNum,39)="","",INDEX(fnEquipLibRange,fnEquipRowNum,39)),"")</f>
        <v/>
      </c>
    </row>
    <row r="169" spans="2:20" hidden="1" outlineLevel="1">
      <c r="B169" s="16"/>
      <c r="C169" s="69"/>
      <c r="D169" s="70"/>
      <c r="E169" s="70" t="str">
        <f ca="1">IFERROR(VLOOKUP(C169,fnEquipLibRange,16,FALSE),"")</f>
        <v/>
      </c>
      <c r="F169" s="70"/>
      <c r="G169" s="130"/>
      <c r="H169" s="106" t="str">
        <f ca="1">IFERROR(VLOOKUP(C169,fnEquipLibRange,2,FALSE),"")</f>
        <v/>
      </c>
      <c r="I169" s="100" t="str">
        <f>IF(ISBLANK(G169),"",IF(G169&lt;VLOOKUP(C169,fnEquipLibRange,3,FALSE),"&gt;&gt;&gt; Too Small &lt;&lt;&lt;",IF(G169&gt;VLOOKUP(C169,fnEquipLibRange,4,FALSE),"&gt;&gt;&gt; Too Large &lt;&lt;&lt;","Yes")))</f>
        <v/>
      </c>
      <c r="J169" s="100"/>
      <c r="K169" s="101" t="str">
        <f>IF(F169*G169=0,"",IFERROR(IF(F169*G169*$D$145/$D$142&lt;VLOOKUP(C169,fnEquipLibRange,3,FALSE),MAX(1,F169),MAX(ROUNDUP(F169*G169*$D$145/$D$142/VLOOKUP(C169,fnEquipLibRange,4,FALSE),0),F169)),""))</f>
        <v/>
      </c>
      <c r="L169" s="102" t="str">
        <f>IF(F169*G169=0,"",IFERROR(IF(F169*G169*$D$145/$D$142&lt;VLOOKUP(C169,fnEquipLibRange,3,FALSE),VLOOKUP(C169,fnEquipLibRange,3,FALSE),F169*G169*$D$145/$D$142/MAX(ROUNDUP(F169*G169*$D$145/$D$142/VLOOKUP(C169,fnEquipLibRange,4,FALSE),0),F169)),""))</f>
        <v/>
      </c>
      <c r="M169" s="102"/>
      <c r="N169" s="103" t="str">
        <f>IF($K169="","",IFERROR($K169*fnEquipCostCorr*fnEquipCostIndex*fnEquipConstMaterial,""))</f>
        <v/>
      </c>
      <c r="O169" s="104" t="str">
        <f ca="1">IFERROR(fnEquipInstFactor*N169,"")</f>
        <v/>
      </c>
      <c r="P169" s="105" t="str">
        <f ca="1">IFERROR(fnEquipLaborFactor*K169,"")</f>
        <v/>
      </c>
      <c r="Q169" s="19"/>
      <c r="S169" s="94" t="str">
        <f t="shared" si="2"/>
        <v/>
      </c>
      <c r="T169" s="11" t="str">
        <f ca="1">IFERROR(IF(INDEX(fnEquipLibRange,fnEquipRowNum,39)="","",INDEX(fnEquipLibRange,fnEquipRowNum,39)),"")</f>
        <v/>
      </c>
    </row>
    <row r="170" spans="2:20" ht="16.5" hidden="1" outlineLevel="1" thickBot="1">
      <c r="B170" s="21"/>
      <c r="C170" s="22"/>
      <c r="D170" s="22"/>
      <c r="E170" s="22"/>
      <c r="F170" s="22"/>
      <c r="G170" s="22"/>
      <c r="H170" s="22"/>
      <c r="I170" s="22"/>
      <c r="J170" s="22"/>
      <c r="K170" s="22"/>
      <c r="L170" s="99"/>
      <c r="M170" s="99"/>
      <c r="N170" s="22"/>
      <c r="O170" s="22"/>
      <c r="P170" s="22"/>
      <c r="Q170" s="23"/>
    </row>
    <row r="171" spans="2:20" ht="32.1" hidden="1" customHeight="1" outlineLevel="1">
      <c r="B171" s="424" t="str">
        <f>"Equipment Cost Totals: "&amp;C134</f>
        <v>Equipment Cost Totals: Nanoparticles - Flow Synthesis</v>
      </c>
      <c r="C171" s="425"/>
      <c r="D171" s="425"/>
      <c r="E171" s="426"/>
    </row>
    <row r="172" spans="2:20" hidden="1" outlineLevel="1">
      <c r="B172" s="16"/>
      <c r="C172" s="17" t="str">
        <f>"Equipment Cost Totals for "&amp;C134</f>
        <v>Equipment Cost Totals for Nanoparticles - Flow Synthesis</v>
      </c>
      <c r="D172" s="18"/>
      <c r="E172" s="19"/>
    </row>
    <row r="173" spans="2:20" hidden="1" outlineLevel="1">
      <c r="B173" s="16"/>
      <c r="C173" s="18"/>
      <c r="D173" s="162" t="s">
        <v>308</v>
      </c>
      <c r="E173" s="295">
        <f ca="1">SUM(N150:N169)</f>
        <v>84775.477524521441</v>
      </c>
    </row>
    <row r="174" spans="2:20" hidden="1" outlineLevel="1">
      <c r="B174" s="16"/>
      <c r="C174" s="18"/>
      <c r="D174" s="162" t="s">
        <v>354</v>
      </c>
      <c r="E174" s="295">
        <f ca="1">SUM(O150:O169)</f>
        <v>84775.477524521441</v>
      </c>
    </row>
    <row r="175" spans="2:20" hidden="1" outlineLevel="1">
      <c r="B175" s="16"/>
      <c r="C175" s="18"/>
      <c r="D175" s="162" t="s">
        <v>995</v>
      </c>
      <c r="E175" s="296">
        <f ca="1">SUM(P150:P169)</f>
        <v>0.5</v>
      </c>
    </row>
    <row r="176" spans="2:20" ht="16.5" hidden="1" outlineLevel="1" thickBot="1">
      <c r="B176" s="21"/>
      <c r="C176" s="22"/>
      <c r="D176" s="22"/>
      <c r="E176" s="23"/>
    </row>
    <row r="177" spans="1:9" ht="16.5" collapsed="1" thickBot="1">
      <c r="A177" s="300" t="str">
        <f>"&lt;– show/hide "&amp;B131</f>
        <v>&lt;– show/hide Process Template: Nanoparticles - Flow Synthesis</v>
      </c>
    </row>
    <row r="178" spans="1:9" ht="21" thickBot="1">
      <c r="B178" s="341" t="str">
        <f>"Process Template: "&amp;C181</f>
        <v>Process Template: Wet Impregnation - Metal on Metal Oxide</v>
      </c>
      <c r="C178" s="342"/>
      <c r="D178" s="342"/>
      <c r="E178" s="342"/>
      <c r="F178" s="342"/>
      <c r="G178" s="343"/>
      <c r="I178" s="198"/>
    </row>
    <row r="179" spans="1:9" hidden="1" outlineLevel="1">
      <c r="B179" s="13"/>
      <c r="C179" s="14"/>
      <c r="D179" s="14"/>
      <c r="E179" s="14"/>
      <c r="F179" s="14"/>
      <c r="G179" s="15"/>
      <c r="I179" s="198"/>
    </row>
    <row r="180" spans="1:9" hidden="1" outlineLevel="1">
      <c r="B180" s="16"/>
      <c r="C180" s="17" t="s">
        <v>1048</v>
      </c>
      <c r="D180" s="18"/>
      <c r="E180" s="18"/>
      <c r="F180" s="18"/>
      <c r="G180" s="19"/>
      <c r="I180" s="198"/>
    </row>
    <row r="181" spans="1:9" hidden="1" outlineLevel="1">
      <c r="B181" s="16"/>
      <c r="C181" s="18" t="s">
        <v>999</v>
      </c>
      <c r="D181" s="18"/>
      <c r="E181" s="18"/>
      <c r="F181" s="18"/>
      <c r="G181" s="19"/>
      <c r="I181" s="198"/>
    </row>
    <row r="182" spans="1:9" ht="16.5" hidden="1" outlineLevel="1" thickBot="1">
      <c r="B182" s="16"/>
      <c r="C182" s="18"/>
      <c r="D182" s="18"/>
      <c r="E182" s="18"/>
      <c r="F182" s="18"/>
      <c r="G182" s="19"/>
      <c r="I182" s="198"/>
    </row>
    <row r="183" spans="1:9" ht="32.1" hidden="1" customHeight="1" outlineLevel="1">
      <c r="B183" s="424" t="str">
        <f>"Scaling Inputs: "&amp;C181</f>
        <v>Scaling Inputs: Wet Impregnation - Metal on Metal Oxide</v>
      </c>
      <c r="C183" s="425"/>
      <c r="D183" s="425"/>
      <c r="E183" s="425"/>
      <c r="F183" s="425"/>
      <c r="G183" s="426"/>
      <c r="I183" s="198"/>
    </row>
    <row r="184" spans="1:9" hidden="1" outlineLevel="1">
      <c r="B184" s="16"/>
      <c r="C184" s="17" t="s">
        <v>1738</v>
      </c>
      <c r="D184" s="18"/>
      <c r="E184" s="18"/>
      <c r="F184" s="18"/>
      <c r="G184" s="19"/>
      <c r="I184" s="198"/>
    </row>
    <row r="185" spans="1:9" hidden="1" outlineLevel="1">
      <c r="B185" s="16"/>
      <c r="C185" s="137" t="s">
        <v>1835</v>
      </c>
      <c r="D185" s="176">
        <v>1000</v>
      </c>
      <c r="E185" s="48" t="str">
        <f>IF(COUNTBLANK(D186:D188)&gt;0,"select units below",D186&amp;" "&amp;D187&amp;"/"&amp;D188)</f>
        <v>kg catalyst/hour</v>
      </c>
      <c r="F185" s="42" t="s">
        <v>160</v>
      </c>
      <c r="G185" s="19"/>
      <c r="I185" s="198"/>
    </row>
    <row r="186" spans="1:9" hidden="1" outlineLevel="1">
      <c r="B186" s="16"/>
      <c r="C186" s="137"/>
      <c r="D186" s="176" t="s">
        <v>71</v>
      </c>
      <c r="E186" s="48" t="s">
        <v>912</v>
      </c>
      <c r="F186" s="48"/>
      <c r="G186" s="19"/>
      <c r="I186" s="198"/>
    </row>
    <row r="187" spans="1:9" hidden="1" outlineLevel="1">
      <c r="B187" s="16"/>
      <c r="C187" s="137"/>
      <c r="D187" s="176" t="s">
        <v>915</v>
      </c>
      <c r="E187" s="48" t="s">
        <v>914</v>
      </c>
      <c r="F187" s="42" t="s">
        <v>160</v>
      </c>
      <c r="G187" s="19"/>
      <c r="I187" s="198"/>
    </row>
    <row r="188" spans="1:9" hidden="1" outlineLevel="1">
      <c r="B188" s="16"/>
      <c r="C188" s="137"/>
      <c r="D188" s="176" t="s">
        <v>961</v>
      </c>
      <c r="E188" s="48" t="s">
        <v>913</v>
      </c>
      <c r="F188" s="42" t="s">
        <v>160</v>
      </c>
      <c r="G188" s="19"/>
      <c r="I188" s="198"/>
    </row>
    <row r="189" spans="1:9" hidden="1" outlineLevel="1">
      <c r="B189" s="16"/>
      <c r="C189" s="137" t="s">
        <v>1836</v>
      </c>
      <c r="D189" s="49">
        <f>IFERROR(D185*VLOOKUP(D186,UnitConv[],5,FALSE)/VLOOKUP(OutMassUnit,UnitConv[],5,FALSE)*IF(D187="active phase",100/APWeightPercent,1)/CHOOSE(MATCH(D188,{"hour","day","week","month","year"},0),1,24,24*7,7884/12,7884),"-----")</f>
        <v>1000</v>
      </c>
      <c r="E189" s="48" t="str">
        <f>OutMassUnit&amp;" catalyst/hour"</f>
        <v>kg catalyst/hour</v>
      </c>
      <c r="F189" s="42" t="s">
        <v>160</v>
      </c>
      <c r="G189" s="19"/>
      <c r="I189" s="198"/>
    </row>
    <row r="190" spans="1:9" hidden="1" outlineLevel="1">
      <c r="B190" s="16"/>
      <c r="C190" s="134"/>
      <c r="D190" s="98"/>
      <c r="E190" s="48"/>
      <c r="F190" s="48"/>
      <c r="G190" s="19"/>
      <c r="I190" s="198"/>
    </row>
    <row r="191" spans="1:9" hidden="1" outlineLevel="1">
      <c r="B191" s="16"/>
      <c r="C191" s="17" t="s">
        <v>1823</v>
      </c>
      <c r="D191" s="18"/>
      <c r="E191" s="18"/>
      <c r="F191" s="18"/>
      <c r="G191" s="19"/>
      <c r="I191" s="198"/>
    </row>
    <row r="192" spans="1:9" hidden="1" outlineLevel="1">
      <c r="B192" s="16"/>
      <c r="C192" s="137" t="s">
        <v>1834</v>
      </c>
      <c r="D192" s="49">
        <f>IF(DesignProductionRate=0,"-----",DesignProductionRate)</f>
        <v>1.2683916793505834</v>
      </c>
      <c r="E192" s="48" t="str">
        <f>OutMassUnit&amp;" catalyst/hour"</f>
        <v>kg catalyst/hour</v>
      </c>
      <c r="F192" s="42" t="s">
        <v>160</v>
      </c>
      <c r="G192" s="19"/>
      <c r="I192" s="198"/>
    </row>
    <row r="193" spans="2:21" ht="16.5" hidden="1" outlineLevel="1" thickBot="1">
      <c r="B193" s="16"/>
      <c r="C193" s="18"/>
      <c r="D193" s="291"/>
      <c r="E193" s="18"/>
      <c r="F193" s="18"/>
      <c r="G193" s="19"/>
    </row>
    <row r="194" spans="2:21" s="294" customFormat="1" ht="32.1" hidden="1" customHeight="1" outlineLevel="1">
      <c r="B194" s="424" t="str">
        <f>"Equipment List: "&amp;C181</f>
        <v>Equipment List: Wet Impregnation - Metal on Metal Oxide</v>
      </c>
      <c r="C194" s="425"/>
      <c r="D194" s="425"/>
      <c r="E194" s="425"/>
      <c r="F194" s="425"/>
      <c r="G194" s="425"/>
      <c r="H194" s="292"/>
      <c r="I194" s="292"/>
      <c r="J194" s="292"/>
      <c r="K194" s="292"/>
      <c r="L194" s="292"/>
      <c r="M194" s="292"/>
      <c r="N194" s="292"/>
      <c r="O194" s="292"/>
      <c r="P194" s="292"/>
      <c r="Q194" s="293"/>
    </row>
    <row r="195" spans="2:21" ht="18.75" hidden="1" outlineLevel="1">
      <c r="B195" s="16"/>
      <c r="C195" s="428" t="s">
        <v>1837</v>
      </c>
      <c r="D195" s="428"/>
      <c r="E195" s="428"/>
      <c r="F195" s="428"/>
      <c r="G195" s="428"/>
      <c r="H195" s="428"/>
      <c r="I195" s="428"/>
      <c r="J195" s="73"/>
      <c r="K195" s="428" t="s">
        <v>1821</v>
      </c>
      <c r="L195" s="428"/>
      <c r="M195" s="73"/>
      <c r="N195" s="428" t="s">
        <v>1822</v>
      </c>
      <c r="O195" s="428"/>
      <c r="P195" s="428"/>
      <c r="Q195" s="19"/>
      <c r="S195" s="427" t="s">
        <v>997</v>
      </c>
      <c r="T195" s="427"/>
      <c r="U195" s="294"/>
    </row>
    <row r="196" spans="2:21" hidden="1" outlineLevel="1">
      <c r="B196" s="16"/>
      <c r="C196" s="64" t="s">
        <v>304</v>
      </c>
      <c r="D196" s="64" t="s">
        <v>310</v>
      </c>
      <c r="E196" s="64" t="s">
        <v>311</v>
      </c>
      <c r="F196" s="64" t="s">
        <v>307</v>
      </c>
      <c r="G196" s="64" t="s">
        <v>312</v>
      </c>
      <c r="H196" s="64" t="s">
        <v>305</v>
      </c>
      <c r="I196" s="64" t="s">
        <v>306</v>
      </c>
      <c r="J196" s="64"/>
      <c r="K196" s="64" t="s">
        <v>1073</v>
      </c>
      <c r="L196" s="64" t="s">
        <v>1074</v>
      </c>
      <c r="M196" s="64"/>
      <c r="N196" s="64" t="s">
        <v>308</v>
      </c>
      <c r="O196" s="64" t="s">
        <v>354</v>
      </c>
      <c r="P196" s="64" t="s">
        <v>309</v>
      </c>
      <c r="Q196" s="19"/>
      <c r="S196" s="297" t="s">
        <v>304</v>
      </c>
      <c r="T196" s="297" t="s">
        <v>205</v>
      </c>
      <c r="U196" s="294"/>
    </row>
    <row r="197" spans="2:21" hidden="1" outlineLevel="1">
      <c r="B197" s="16"/>
      <c r="C197" s="69" t="s">
        <v>568</v>
      </c>
      <c r="D197" s="70" t="s">
        <v>955</v>
      </c>
      <c r="E197" s="70" t="str">
        <f ca="1">IFERROR(VLOOKUP(C197,fnEquipLibRange,16,FALSE),"")</f>
        <v>Carbon steel</v>
      </c>
      <c r="F197" s="70">
        <v>1</v>
      </c>
      <c r="G197" s="130">
        <v>53.318100000000001</v>
      </c>
      <c r="H197" s="106" t="str">
        <f ca="1">IFERROR(VLOOKUP(C197,fnEquipLibRange,2,FALSE),"")</f>
        <v>Volume, ft3</v>
      </c>
      <c r="I197" s="100" t="str">
        <f ca="1">IF(ISBLANK(G197),"",IF(G197&lt;VLOOKUP(C197,fnEquipLibRange,3,FALSE),"&gt;&gt;&gt; Too Small &lt;&lt;&lt;",IF(G197&gt;VLOOKUP(C197,fnEquipLibRange,4,FALSE),"&gt;&gt;&gt; Too Large &lt;&lt;&lt;","Yes")))</f>
        <v>Yes</v>
      </c>
      <c r="J197" s="100"/>
      <c r="K197" s="101">
        <f ca="1">IF(F197*G197=0,"",IFERROR(IF(F197*G197*$D$192/$D$189&lt;VLOOKUP(C197,fnEquipLibRange,3,FALSE),MAX(1,F197),MAX(ROUNDUP(F197*G197*$D$192/$D$189/VLOOKUP(C197,fnEquipLibRange,4,FALSE),0),F197)),""))</f>
        <v>1</v>
      </c>
      <c r="L197" s="102">
        <f ca="1">IF(F197*G197=0,"",IFERROR(IF(F197*G197*$D$192/$D$189&lt;VLOOKUP(C197,fnEquipLibRange,3,FALSE),VLOOKUP(C197,fnEquipLibRange,3,FALSE),F197*G197*$D$192/$D$189/MAX(ROUNDUP(F197*G197*$D$192/$D$189/VLOOKUP(C197,fnEquipLibRange,4,FALSE),0),F197)),""))</f>
        <v>10</v>
      </c>
      <c r="M197" s="102"/>
      <c r="N197" s="103">
        <f ca="1">IF($K197="","",IFERROR($K197*fnEquipCostCorr*fnEquipCostIndex*fnEquipConstMaterial,""))</f>
        <v>1779.9520157802804</v>
      </c>
      <c r="O197" s="104">
        <f ca="1">IFERROR(fnEquipInstFactor*N197,"")</f>
        <v>1779.9520157802804</v>
      </c>
      <c r="P197" s="105">
        <f ca="1">IFERROR(fnEquipLaborFactor*K197,"")</f>
        <v>0</v>
      </c>
      <c r="Q197" s="19"/>
      <c r="S197" s="94" t="str">
        <f>IF(ISBLANK(C197),"",C197)</f>
        <v>Bin</v>
      </c>
      <c r="T197" s="11" t="str">
        <f ca="1">IFERROR(IF(INDEX(fnEquipLibRange,fnEquipRowNum,39)="","",INDEX(fnEquipLibRange,fnEquipRowNum,39)),"")</f>
        <v>Carbon steel at atmospheric pressure</v>
      </c>
      <c r="U197" s="294"/>
    </row>
    <row r="198" spans="2:21" hidden="1" outlineLevel="1">
      <c r="B198" s="16"/>
      <c r="C198" s="69" t="s">
        <v>569</v>
      </c>
      <c r="D198" s="70" t="s">
        <v>956</v>
      </c>
      <c r="E198" s="70" t="str">
        <f ca="1">IFERROR(VLOOKUP(C198,fnEquipLibRange,16,FALSE),"")</f>
        <v>Carbon steel</v>
      </c>
      <c r="F198" s="70">
        <v>1</v>
      </c>
      <c r="G198" s="130">
        <v>35.6631</v>
      </c>
      <c r="H198" s="106" t="str">
        <f ca="1">IFERROR(VLOOKUP(C198,fnEquipLibRange,2,FALSE),"")</f>
        <v>Volumetric flow rate, ft3/hr</v>
      </c>
      <c r="I198" s="100" t="str">
        <f ca="1">IF(ISBLANK(G198),"",IF(G198&lt;VLOOKUP(C198,fnEquipLibRange,3,FALSE),"&gt;&gt;&gt; Too Small &lt;&lt;&lt;",IF(G198&gt;VLOOKUP(C198,fnEquipLibRange,4,FALSE),"&gt;&gt;&gt; Too Large &lt;&lt;&lt;","Yes")))</f>
        <v>&gt;&gt;&gt; Too Small &lt;&lt;&lt;</v>
      </c>
      <c r="J198" s="100"/>
      <c r="K198" s="101">
        <f ca="1">IF(F198*G198=0,"",IFERROR(IF(F198*G198*$D$192/$D$189&lt;VLOOKUP(C198,fnEquipLibRange,3,FALSE),MAX(1,F198),MAX(ROUNDUP(F198*G198*$D$192/$D$189/VLOOKUP(C198,fnEquipLibRange,4,FALSE),0),F198)),""))</f>
        <v>1</v>
      </c>
      <c r="L198" s="102">
        <f ca="1">IF(F198*G198=0,"",IFERROR(IF(F198*G198*$D$192/$D$189&lt;VLOOKUP(C198,fnEquipLibRange,3,FALSE),VLOOKUP(C198,fnEquipLibRange,3,FALSE),F198*G198*$D$192/$D$189/MAX(ROUNDUP(F198*G198*$D$192/$D$189/VLOOKUP(C198,fnEquipLibRange,4,FALSE),0),F198)),""))</f>
        <v>120</v>
      </c>
      <c r="M198" s="102"/>
      <c r="N198" s="103">
        <f ca="1">IF($K198="","",IFERROR($K198*fnEquipCostCorr*fnEquipCostIndex*fnEquipConstMaterial,""))</f>
        <v>4790.2170893292978</v>
      </c>
      <c r="O198" s="104">
        <f ca="1">IFERROR(fnEquipInstFactor*N198,"")</f>
        <v>8239.1733936463916</v>
      </c>
      <c r="P198" s="105">
        <f ca="1">IFERROR(fnEquipLaborFactor*K198,"")</f>
        <v>0.1</v>
      </c>
      <c r="Q198" s="19"/>
      <c r="S198" s="94" t="str">
        <f t="shared" ref="S198:S211" si="3">IF(ISBLANK(C198),"",C198)</f>
        <v>Feeder, belt</v>
      </c>
      <c r="T198" s="11" t="str">
        <f ca="1">IFERROR(IF(INDEX(fnEquipLibRange,fnEquipRowNum,39)="","",INDEX(fnEquipLibRange,fnEquipRowNum,39)),"")</f>
        <v>Includes motor and drive belt</v>
      </c>
    </row>
    <row r="199" spans="2:21" hidden="1" outlineLevel="1">
      <c r="B199" s="16"/>
      <c r="C199" s="69" t="s">
        <v>276</v>
      </c>
      <c r="D199" s="70" t="s">
        <v>315</v>
      </c>
      <c r="E199" s="70" t="str">
        <f ca="1">IFERROR(VLOOKUP(C199,fnEquipLibRange,16,FALSE),"")</f>
        <v>Carbon steel</v>
      </c>
      <c r="F199" s="70">
        <v>1</v>
      </c>
      <c r="G199" s="130">
        <v>2.37</v>
      </c>
      <c r="H199" s="106" t="str">
        <f ca="1">IFERROR(VLOOKUP(C199,fnEquipLibRange,2,FALSE),"")</f>
        <v>volume, m3</v>
      </c>
      <c r="I199" s="100" t="str">
        <f ca="1">IF(ISBLANK(G199),"",IF(G199&lt;VLOOKUP(C199,fnEquipLibRange,3,FALSE),"&gt;&gt;&gt; Too Small &lt;&lt;&lt;",IF(G199&gt;VLOOKUP(C199,fnEquipLibRange,4,FALSE),"&gt;&gt;&gt; Too Large &lt;&lt;&lt;","Yes")))</f>
        <v>Yes</v>
      </c>
      <c r="J199" s="100"/>
      <c r="K199" s="101">
        <f ca="1">IF(F199*G199=0,"",IFERROR(IF(F199*G199*$D$192/$D$189&lt;VLOOKUP(C199,fnEquipLibRange,3,FALSE),MAX(1,F199),MAX(ROUNDUP(F199*G199*$D$192/$D$189/VLOOKUP(C199,fnEquipLibRange,4,FALSE),0),F199)),""))</f>
        <v>1</v>
      </c>
      <c r="L199" s="102">
        <f ca="1">IF(F199*G199=0,"",IFERROR(IF(F199*G199*$D$192/$D$189&lt;VLOOKUP(C199,fnEquipLibRange,3,FALSE),VLOOKUP(C199,fnEquipLibRange,3,FALSE),F199*G199*$D$192/$D$189/MAX(ROUNDUP(F199*G199*$D$192/$D$189/VLOOKUP(C199,fnEquipLibRange,4,FALSE),0),F199)),""))</f>
        <v>0.5</v>
      </c>
      <c r="M199" s="102"/>
      <c r="N199" s="103">
        <f ca="1">IF($K199="","",IFERROR($K199*fnEquipCostCorr*fnEquipCostIndex*fnEquipConstMaterial,""))</f>
        <v>62684.745091669349</v>
      </c>
      <c r="O199" s="104">
        <f ca="1">IFERROR(fnEquipInstFactor*N199,"")</f>
        <v>106564.06665583789</v>
      </c>
      <c r="P199" s="105">
        <f ca="1">IFERROR(fnEquipLaborFactor*K199,"")</f>
        <v>0.3</v>
      </c>
      <c r="Q199" s="19"/>
      <c r="S199" s="94" t="str">
        <f t="shared" si="3"/>
        <v>Reactor, jacketed, agitated</v>
      </c>
      <c r="T199" s="11" t="str">
        <f ca="1">IFERROR(IF(INDEX(fnEquipLibRange,fnEquipRowNum,39)="","",INDEX(fnEquipLibRange,fnEquipRowNum,39)),"")</f>
        <v/>
      </c>
    </row>
    <row r="200" spans="2:21" hidden="1" outlineLevel="1">
      <c r="B200" s="16"/>
      <c r="C200" s="69" t="s">
        <v>276</v>
      </c>
      <c r="D200" s="70" t="s">
        <v>316</v>
      </c>
      <c r="E200" s="70" t="str">
        <f ca="1">IFERROR(VLOOKUP(C200,fnEquipLibRange,16,FALSE),"")</f>
        <v>Carbon steel</v>
      </c>
      <c r="F200" s="70">
        <v>1</v>
      </c>
      <c r="G200" s="130">
        <v>2.97</v>
      </c>
      <c r="H200" s="106" t="str">
        <f ca="1">IFERROR(VLOOKUP(C200,fnEquipLibRange,2,FALSE),"")</f>
        <v>volume, m3</v>
      </c>
      <c r="I200" s="100" t="str">
        <f ca="1">IF(ISBLANK(G200),"",IF(G200&lt;VLOOKUP(C200,fnEquipLibRange,3,FALSE),"&gt;&gt;&gt; Too Small &lt;&lt;&lt;",IF(G200&gt;VLOOKUP(C200,fnEquipLibRange,4,FALSE),"&gt;&gt;&gt; Too Large &lt;&lt;&lt;","Yes")))</f>
        <v>Yes</v>
      </c>
      <c r="J200" s="100"/>
      <c r="K200" s="101">
        <f ca="1">IF(F200*G200=0,"",IFERROR(IF(F200*G200*$D$192/$D$189&lt;VLOOKUP(C200,fnEquipLibRange,3,FALSE),MAX(1,F200),MAX(ROUNDUP(F200*G200*$D$192/$D$189/VLOOKUP(C200,fnEquipLibRange,4,FALSE),0),F200)),""))</f>
        <v>1</v>
      </c>
      <c r="L200" s="102">
        <f ca="1">IF(F200*G200=0,"",IFERROR(IF(F200*G200*$D$192/$D$189&lt;VLOOKUP(C200,fnEquipLibRange,3,FALSE),VLOOKUP(C200,fnEquipLibRange,3,FALSE),F200*G200*$D$192/$D$189/MAX(ROUNDUP(F200*G200*$D$192/$D$189/VLOOKUP(C200,fnEquipLibRange,4,FALSE),0),F200)),""))</f>
        <v>0.5</v>
      </c>
      <c r="M200" s="102"/>
      <c r="N200" s="103">
        <f ca="1">IF($K200="","",IFERROR($K200*fnEquipCostCorr*fnEquipCostIndex*fnEquipConstMaterial,""))</f>
        <v>62684.745091669349</v>
      </c>
      <c r="O200" s="104">
        <f ca="1">IFERROR(fnEquipInstFactor*N200,"")</f>
        <v>106564.06665583789</v>
      </c>
      <c r="P200" s="105">
        <f ca="1">IFERROR(fnEquipLaborFactor*K200,"")</f>
        <v>0.3</v>
      </c>
      <c r="Q200" s="19"/>
      <c r="S200" s="94" t="str">
        <f t="shared" si="3"/>
        <v>Reactor, jacketed, agitated</v>
      </c>
      <c r="T200" s="11" t="str">
        <f ca="1">IFERROR(IF(INDEX(fnEquipLibRange,fnEquipRowNum,39)="","",INDEX(fnEquipLibRange,fnEquipRowNum,39)),"")</f>
        <v/>
      </c>
    </row>
    <row r="201" spans="2:21" hidden="1" outlineLevel="1">
      <c r="B201" s="16"/>
      <c r="C201" s="69" t="s">
        <v>733</v>
      </c>
      <c r="D201" s="70" t="s">
        <v>957</v>
      </c>
      <c r="E201" s="70" t="str">
        <f ca="1">IFERROR(VLOOKUP(C201,fnEquipLibRange,16,FALSE),"")</f>
        <v>Carbon steel</v>
      </c>
      <c r="F201" s="70">
        <v>1</v>
      </c>
      <c r="G201" s="130">
        <v>0.54</v>
      </c>
      <c r="H201" s="106" t="str">
        <f ca="1">IFERROR(VLOOKUP(C201,fnEquipLibRange,2,FALSE),"")</f>
        <v>area, m2</v>
      </c>
      <c r="I201" s="100" t="str">
        <f ca="1">IF(ISBLANK(G201),"",IF(G201&lt;VLOOKUP(C201,fnEquipLibRange,3,FALSE),"&gt;&gt;&gt; Too Small &lt;&lt;&lt;",IF(G201&gt;VLOOKUP(C201,fnEquipLibRange,4,FALSE),"&gt;&gt;&gt; Too Large &lt;&lt;&lt;","Yes")))</f>
        <v>&gt;&gt;&gt; Too Small &lt;&lt;&lt;</v>
      </c>
      <c r="J201" s="100"/>
      <c r="K201" s="101">
        <f ca="1">IF(F201*G201=0,"",IFERROR(IF(F201*G201*$D$192/$D$189&lt;VLOOKUP(C201,fnEquipLibRange,3,FALSE),MAX(1,F201),MAX(ROUNDUP(F201*G201*$D$192/$D$189/VLOOKUP(C201,fnEquipLibRange,4,FALSE),0),F201)),""))</f>
        <v>1</v>
      </c>
      <c r="L201" s="102">
        <f ca="1">IF(F201*G201=0,"",IFERROR(IF(F201*G201*$D$192/$D$189&lt;VLOOKUP(C201,fnEquipLibRange,3,FALSE),VLOOKUP(C201,fnEquipLibRange,3,FALSE),F201*G201*$D$192/$D$189/MAX(ROUNDUP(F201*G201*$D$192/$D$189/VLOOKUP(C201,fnEquipLibRange,4,FALSE),0),F201)),""))</f>
        <v>10</v>
      </c>
      <c r="M201" s="102"/>
      <c r="N201" s="103">
        <f ca="1">IF($K201="","",IFERROR($K201*fnEquipCostCorr*fnEquipCostIndex*fnEquipConstMaterial,""))</f>
        <v>29332.350885480093</v>
      </c>
      <c r="O201" s="104">
        <f ca="1">IFERROR(fnEquipInstFactor*N201,"")</f>
        <v>47225.084925622956</v>
      </c>
      <c r="P201" s="105">
        <f ca="1">IFERROR(fnEquipLaborFactor*K201,"")</f>
        <v>0.05</v>
      </c>
      <c r="Q201" s="19"/>
      <c r="S201" s="94" t="str">
        <f t="shared" si="3"/>
        <v>Heat exchanger, U-tube shell and tube</v>
      </c>
      <c r="T201" s="11" t="str">
        <f ca="1">IFERROR(IF(INDEX(fnEquipLibRange,fnEquipRowNum,39)="","",INDEX(fnEquipLibRange,fnEquipRowNum,39)),"")</f>
        <v/>
      </c>
    </row>
    <row r="202" spans="2:21" hidden="1" outlineLevel="1">
      <c r="B202" s="16"/>
      <c r="C202" s="69" t="s">
        <v>672</v>
      </c>
      <c r="D202" s="70" t="s">
        <v>958</v>
      </c>
      <c r="E202" s="70" t="str">
        <f ca="1">IFERROR(VLOOKUP(C202,fnEquipLibRange,16,FALSE),"")</f>
        <v>Cast iron</v>
      </c>
      <c r="F202" s="70">
        <v>2</v>
      </c>
      <c r="G202" s="130">
        <v>85.8</v>
      </c>
      <c r="H202" s="106" t="str">
        <f ca="1">IFERROR(VLOOKUP(C202,fnEquipLibRange,2,FALSE),"")</f>
        <v>Consumed power, hp</v>
      </c>
      <c r="I202" s="100" t="str">
        <f ca="1">IF(ISBLANK(G202),"",IF(G202&lt;VLOOKUP(C202,fnEquipLibRange,3,FALSE),"&gt;&gt;&gt; Too Small &lt;&lt;&lt;",IF(G202&gt;VLOOKUP(C202,fnEquipLibRange,4,FALSE),"&gt;&gt;&gt; Too Large &lt;&lt;&lt;","Yes")))</f>
        <v>Yes</v>
      </c>
      <c r="J202" s="100"/>
      <c r="K202" s="101">
        <f ca="1">IF(F202*G202=0,"",IFERROR(IF(F202*G202*$D$192/$D$189&lt;VLOOKUP(C202,fnEquipLibRange,3,FALSE),MAX(1,F202),MAX(ROUNDUP(F202*G202*$D$192/$D$189/VLOOKUP(C202,fnEquipLibRange,4,FALSE),0),F202)),""))</f>
        <v>2</v>
      </c>
      <c r="L202" s="102">
        <f ca="1">IF(F202*G202=0,"",IFERROR(IF(F202*G202*$D$192/$D$189&lt;VLOOKUP(C202,fnEquipLibRange,3,FALSE),VLOOKUP(C202,fnEquipLibRange,3,FALSE),F202*G202*$D$192/$D$189/MAX(ROUNDUP(F202*G202*$D$192/$D$189/VLOOKUP(C202,fnEquipLibRange,4,FALSE),0),F202)),""))</f>
        <v>10</v>
      </c>
      <c r="M202" s="102"/>
      <c r="N202" s="103">
        <f ca="1">IF($K202="","",IFERROR($K202*fnEquipCostCorr*fnEquipCostIndex*fnEquipConstMaterial,""))</f>
        <v>38749.092003981226</v>
      </c>
      <c r="O202" s="104">
        <f ca="1">IFERROR(fnEquipInstFactor*N202,"")</f>
        <v>57736.147085932025</v>
      </c>
      <c r="P202" s="105">
        <f ca="1">IFERROR(fnEquipLaborFactor*K202,"")</f>
        <v>0.2</v>
      </c>
      <c r="Q202" s="19"/>
      <c r="S202" s="94" t="str">
        <f t="shared" si="3"/>
        <v>Compressor, rotary twin-screw, electric motor (preferred)</v>
      </c>
      <c r="T202" s="11" t="str">
        <f ca="1">IFERROR(IF(INDEX(fnEquipLibRange,fnEquipRowNum,39)="","",INDEX(fnEquipLibRange,fnEquipRowNum,39)),"")</f>
        <v>Includes drive and electric motor</v>
      </c>
    </row>
    <row r="203" spans="2:21" hidden="1" outlineLevel="1">
      <c r="B203" s="16"/>
      <c r="C203" s="69" t="s">
        <v>634</v>
      </c>
      <c r="D203" s="70" t="s">
        <v>959</v>
      </c>
      <c r="E203" s="70" t="str">
        <f ca="1">IFERROR(VLOOKUP(C203,fnEquipLibRange,16,FALSE),"")</f>
        <v>Carbon steel</v>
      </c>
      <c r="F203" s="70">
        <v>1</v>
      </c>
      <c r="G203" s="130">
        <v>16.899999999999999</v>
      </c>
      <c r="H203" s="106" t="str">
        <f ca="1">IFERROR(VLOOKUP(C203,fnEquipLibRange,2,FALSE),"")</f>
        <v>Actual cubic feet per minute (ACFM)</v>
      </c>
      <c r="I203" s="100" t="str">
        <f ca="1">IF(ISBLANK(G203),"",IF(G203&lt;VLOOKUP(C203,fnEquipLibRange,3,FALSE),"&gt;&gt;&gt; Too Small &lt;&lt;&lt;",IF(G203&gt;VLOOKUP(C203,fnEquipLibRange,4,FALSE),"&gt;&gt;&gt; Too Large &lt;&lt;&lt;","Yes")))</f>
        <v>&gt;&gt;&gt; Too Small &lt;&lt;&lt;</v>
      </c>
      <c r="J203" s="100"/>
      <c r="K203" s="101">
        <f ca="1">IF(F203*G203=0,"",IFERROR(IF(F203*G203*$D$192/$D$189&lt;VLOOKUP(C203,fnEquipLibRange,3,FALSE),MAX(1,F203),MAX(ROUNDUP(F203*G203*$D$192/$D$189/VLOOKUP(C203,fnEquipLibRange,4,FALSE),0),F203)),""))</f>
        <v>1</v>
      </c>
      <c r="L203" s="102">
        <f ca="1">IF(F203*G203=0,"",IFERROR(IF(F203*G203*$D$192/$D$189&lt;VLOOKUP(C203,fnEquipLibRange,3,FALSE),VLOOKUP(C203,fnEquipLibRange,3,FALSE),F203*G203*$D$192/$D$189/MAX(ROUNDUP(F203*G203*$D$192/$D$189/VLOOKUP(C203,fnEquipLibRange,4,FALSE),0),F203)),""))</f>
        <v>1000</v>
      </c>
      <c r="M203" s="102"/>
      <c r="N203" s="103">
        <f ca="1">IF($K203="","",IFERROR($K203*fnEquipCostCorr*fnEquipCostIndex*fnEquipConstMaterial,""))</f>
        <v>1434.2145541980394</v>
      </c>
      <c r="O203" s="104">
        <f ca="1">IFERROR(fnEquipInstFactor*N203,"")</f>
        <v>2309.0854322588434</v>
      </c>
      <c r="P203" s="105">
        <f ca="1">IFERROR(fnEquipLaborFactor*K203,"")</f>
        <v>0.05</v>
      </c>
      <c r="Q203" s="19"/>
      <c r="S203" s="94" t="str">
        <f t="shared" si="3"/>
        <v>Fan, centrifugal backward-curved, 0–4 in H2O head</v>
      </c>
      <c r="T203" s="11" t="str">
        <f ca="1">IFERROR(IF(INDEX(fnEquipLibRange,fnEquipRowNum,39)="","",INDEX(fnEquipLibRange,fnEquipRowNum,39)),"")</f>
        <v>Includes drive and electric motor; a "fan" applies to near-ambient suction pressures and less than 10% pressure increases</v>
      </c>
    </row>
    <row r="204" spans="2:21" hidden="1" outlineLevel="1">
      <c r="B204" s="16"/>
      <c r="C204" s="69" t="s">
        <v>760</v>
      </c>
      <c r="D204" s="70" t="s">
        <v>317</v>
      </c>
      <c r="E204" s="70" t="str">
        <f ca="1">IFERROR(VLOOKUP(C204,fnEquipLibRange,16,FALSE),"")</f>
        <v>Carbon steel</v>
      </c>
      <c r="F204" s="70">
        <v>1</v>
      </c>
      <c r="G204" s="130">
        <v>200</v>
      </c>
      <c r="H204" s="106" t="str">
        <f ca="1">IFERROR(VLOOKUP(C204,fnEquipLibRange,2,FALSE),"")</f>
        <v>Volume, gal</v>
      </c>
      <c r="I204" s="100" t="str">
        <f ca="1">IF(ISBLANK(G204),"",IF(G204&lt;VLOOKUP(C204,fnEquipLibRange,3,FALSE),"&gt;&gt;&gt; Too Small &lt;&lt;&lt;",IF(G204&gt;VLOOKUP(C204,fnEquipLibRange,4,FALSE),"&gt;&gt;&gt; Too Large &lt;&lt;&lt;","Yes")))</f>
        <v>&gt;&gt;&gt; Too Small &lt;&lt;&lt;</v>
      </c>
      <c r="J204" s="100"/>
      <c r="K204" s="101">
        <f ca="1">IF(F204*G204=0,"",IFERROR(IF(F204*G204*$D$192/$D$189&lt;VLOOKUP(C204,fnEquipLibRange,3,FALSE),MAX(1,F204),MAX(ROUNDUP(F204*G204*$D$192/$D$189/VLOOKUP(C204,fnEquipLibRange,4,FALSE),0),F204)),""))</f>
        <v>1</v>
      </c>
      <c r="L204" s="102">
        <f ca="1">IF(F204*G204=0,"",IFERROR(IF(F204*G204*$D$192/$D$189&lt;VLOOKUP(C204,fnEquipLibRange,3,FALSE),VLOOKUP(C204,fnEquipLibRange,3,FALSE),F204*G204*$D$192/$D$189/MAX(ROUNDUP(F204*G204*$D$192/$D$189/VLOOKUP(C204,fnEquipLibRange,4,FALSE),0),F204)),""))</f>
        <v>1000</v>
      </c>
      <c r="M204" s="102"/>
      <c r="N204" s="103">
        <f ca="1">IF($K204="","",IFERROR($K204*fnEquipCostCorr*fnEquipCostIndex*fnEquipConstMaterial,""))</f>
        <v>8758.3369764777308</v>
      </c>
      <c r="O204" s="104">
        <f ca="1">IFERROR(fnEquipInstFactor*N204,"")</f>
        <v>16465.673515778133</v>
      </c>
      <c r="P204" s="105">
        <f ca="1">IFERROR(fnEquipLaborFactor*K204,"")</f>
        <v>0</v>
      </c>
      <c r="Q204" s="19"/>
      <c r="S204" s="94" t="str">
        <f t="shared" si="3"/>
        <v>Tank, cone roof (Seider)</v>
      </c>
      <c r="T204" s="11" t="str">
        <f ca="1">IFERROR(IF(INDEX(fnEquipLibRange,fnEquipRowNum,39)="","",INDEX(fnEquipLibRange,fnEquipRowNum,39)),"")</f>
        <v>Carbon steel, pressure up to 3 psig</v>
      </c>
    </row>
    <row r="205" spans="2:21" hidden="1" outlineLevel="1">
      <c r="B205" s="16"/>
      <c r="C205" s="69" t="s">
        <v>760</v>
      </c>
      <c r="D205" s="70" t="s">
        <v>318</v>
      </c>
      <c r="E205" s="70" t="str">
        <f ca="1">IFERROR(VLOOKUP(C205,fnEquipLibRange,16,FALSE),"")</f>
        <v>Carbon steel</v>
      </c>
      <c r="F205" s="70">
        <v>1</v>
      </c>
      <c r="G205" s="130">
        <v>20000</v>
      </c>
      <c r="H205" s="106" t="str">
        <f ca="1">IFERROR(VLOOKUP(C205,fnEquipLibRange,2,FALSE),"")</f>
        <v>Volume, gal</v>
      </c>
      <c r="I205" s="100" t="str">
        <f ca="1">IF(ISBLANK(G205),"",IF(G205&lt;VLOOKUP(C205,fnEquipLibRange,3,FALSE),"&gt;&gt;&gt; Too Small &lt;&lt;&lt;",IF(G205&gt;VLOOKUP(C205,fnEquipLibRange,4,FALSE),"&gt;&gt;&gt; Too Large &lt;&lt;&lt;","Yes")))</f>
        <v>Yes</v>
      </c>
      <c r="J205" s="100"/>
      <c r="K205" s="101">
        <f ca="1">IF(F205*G205=0,"",IFERROR(IF(F205*G205*$D$192/$D$189&lt;VLOOKUP(C205,fnEquipLibRange,3,FALSE),MAX(1,F205),MAX(ROUNDUP(F205*G205*$D$192/$D$189/VLOOKUP(C205,fnEquipLibRange,4,FALSE),0),F205)),""))</f>
        <v>1</v>
      </c>
      <c r="L205" s="102">
        <f ca="1">IF(F205*G205=0,"",IFERROR(IF(F205*G205*$D$192/$D$189&lt;VLOOKUP(C205,fnEquipLibRange,3,FALSE),VLOOKUP(C205,fnEquipLibRange,3,FALSE),F205*G205*$D$192/$D$189/MAX(ROUNDUP(F205*G205*$D$192/$D$189/VLOOKUP(C205,fnEquipLibRange,4,FALSE),0),F205)),""))</f>
        <v>1000</v>
      </c>
      <c r="M205" s="102"/>
      <c r="N205" s="103">
        <f ca="1">IF($K205="","",IFERROR($K205*fnEquipCostCorr*fnEquipCostIndex*fnEquipConstMaterial,""))</f>
        <v>8758.3369764777308</v>
      </c>
      <c r="O205" s="104">
        <f ca="1">IFERROR(fnEquipInstFactor*N205,"")</f>
        <v>16465.673515778133</v>
      </c>
      <c r="P205" s="105">
        <f ca="1">IFERROR(fnEquipLaborFactor*K205,"")</f>
        <v>0</v>
      </c>
      <c r="Q205" s="19"/>
      <c r="S205" s="94" t="str">
        <f t="shared" si="3"/>
        <v>Tank, cone roof (Seider)</v>
      </c>
      <c r="T205" s="11" t="str">
        <f ca="1">IFERROR(IF(INDEX(fnEquipLibRange,fnEquipRowNum,39)="","",INDEX(fnEquipLibRange,fnEquipRowNum,39)),"")</f>
        <v>Carbon steel, pressure up to 3 psig</v>
      </c>
    </row>
    <row r="206" spans="2:21" hidden="1" outlineLevel="1">
      <c r="B206" s="16"/>
      <c r="C206" s="69" t="s">
        <v>760</v>
      </c>
      <c r="D206" s="70" t="s">
        <v>960</v>
      </c>
      <c r="E206" s="70" t="str">
        <f ca="1">IFERROR(VLOOKUP(C206,fnEquipLibRange,16,FALSE),"")</f>
        <v>Carbon steel</v>
      </c>
      <c r="F206" s="70">
        <v>1</v>
      </c>
      <c r="G206" s="130">
        <v>22000</v>
      </c>
      <c r="H206" s="106" t="str">
        <f ca="1">IFERROR(VLOOKUP(C206,fnEquipLibRange,2,FALSE),"")</f>
        <v>Volume, gal</v>
      </c>
      <c r="I206" s="100" t="str">
        <f ca="1">IF(ISBLANK(G206),"",IF(G206&lt;VLOOKUP(C206,fnEquipLibRange,3,FALSE),"&gt;&gt;&gt; Too Small &lt;&lt;&lt;",IF(G206&gt;VLOOKUP(C206,fnEquipLibRange,4,FALSE),"&gt;&gt;&gt; Too Large &lt;&lt;&lt;","Yes")))</f>
        <v>Yes</v>
      </c>
      <c r="J206" s="100"/>
      <c r="K206" s="101">
        <f ca="1">IF(F206*G206=0,"",IFERROR(IF(F206*G206*$D$192/$D$189&lt;VLOOKUP(C206,fnEquipLibRange,3,FALSE),MAX(1,F206),MAX(ROUNDUP(F206*G206*$D$192/$D$189/VLOOKUP(C206,fnEquipLibRange,4,FALSE),0),F206)),""))</f>
        <v>1</v>
      </c>
      <c r="L206" s="102">
        <f ca="1">IF(F206*G206=0,"",IFERROR(IF(F206*G206*$D$192/$D$189&lt;VLOOKUP(C206,fnEquipLibRange,3,FALSE),VLOOKUP(C206,fnEquipLibRange,3,FALSE),F206*G206*$D$192/$D$189/MAX(ROUNDUP(F206*G206*$D$192/$D$189/VLOOKUP(C206,fnEquipLibRange,4,FALSE),0),F206)),""))</f>
        <v>1000</v>
      </c>
      <c r="M206" s="102"/>
      <c r="N206" s="103">
        <f ca="1">IF($K206="","",IFERROR($K206*fnEquipCostCorr*fnEquipCostIndex*fnEquipConstMaterial,""))</f>
        <v>8758.3369764777308</v>
      </c>
      <c r="O206" s="104">
        <f ca="1">IFERROR(fnEquipInstFactor*N206,"")</f>
        <v>16465.673515778133</v>
      </c>
      <c r="P206" s="105">
        <f ca="1">IFERROR(fnEquipLaborFactor*K206,"")</f>
        <v>0</v>
      </c>
      <c r="Q206" s="19"/>
      <c r="S206" s="94" t="str">
        <f t="shared" si="3"/>
        <v>Tank, cone roof (Seider)</v>
      </c>
      <c r="T206" s="11" t="str">
        <f ca="1">IFERROR(IF(INDEX(fnEquipLibRange,fnEquipRowNum,39)="","",INDEX(fnEquipLibRange,fnEquipRowNum,39)),"")</f>
        <v>Carbon steel, pressure up to 3 psig</v>
      </c>
    </row>
    <row r="207" spans="2:21" hidden="1" outlineLevel="1">
      <c r="B207" s="16"/>
      <c r="C207" s="69"/>
      <c r="D207" s="70"/>
      <c r="E207" s="70" t="str">
        <f ca="1">IFERROR(VLOOKUP(C207,fnEquipLibRange,16,FALSE),"")</f>
        <v/>
      </c>
      <c r="F207" s="70"/>
      <c r="G207" s="130"/>
      <c r="H207" s="106" t="str">
        <f ca="1">IFERROR(VLOOKUP(C207,fnEquipLibRange,2,FALSE),"")</f>
        <v/>
      </c>
      <c r="I207" s="100" t="str">
        <f>IF(ISBLANK(G207),"",IF(G207&lt;VLOOKUP(C207,fnEquipLibRange,3,FALSE),"&gt;&gt;&gt; Too Small &lt;&lt;&lt;",IF(G207&gt;VLOOKUP(C207,fnEquipLibRange,4,FALSE),"&gt;&gt;&gt; Too Large &lt;&lt;&lt;","Yes")))</f>
        <v/>
      </c>
      <c r="J207" s="100"/>
      <c r="K207" s="101" t="str">
        <f>IF(F207*G207=0,"",IFERROR(IF(F207*G207*$D$192/$D$189&lt;VLOOKUP(C207,fnEquipLibRange,3,FALSE),MAX(1,F207),MAX(ROUNDUP(F207*G207*$D$192/$D$189/VLOOKUP(C207,fnEquipLibRange,4,FALSE),0),F207)),""))</f>
        <v/>
      </c>
      <c r="L207" s="102" t="str">
        <f>IF(F207*G207=0,"",IFERROR(IF(F207*G207*$D$192/$D$189&lt;VLOOKUP(C207,fnEquipLibRange,3,FALSE),VLOOKUP(C207,fnEquipLibRange,3,FALSE),F207*G207*$D$192/$D$189/MAX(ROUNDUP(F207*G207*$D$192/$D$189/VLOOKUP(C207,fnEquipLibRange,4,FALSE),0),F207)),""))</f>
        <v/>
      </c>
      <c r="M207" s="102"/>
      <c r="N207" s="103" t="str">
        <f>IF($K207="","",IFERROR($K207*fnEquipCostCorr*fnEquipCostIndex*fnEquipConstMaterial,""))</f>
        <v/>
      </c>
      <c r="O207" s="104" t="str">
        <f ca="1">IFERROR(fnEquipInstFactor*N207,"")</f>
        <v/>
      </c>
      <c r="P207" s="105" t="str">
        <f ca="1">IFERROR(fnEquipLaborFactor*K207,"")</f>
        <v/>
      </c>
      <c r="Q207" s="19"/>
      <c r="S207" s="94" t="str">
        <f t="shared" si="3"/>
        <v/>
      </c>
      <c r="T207" s="11" t="str">
        <f ca="1">IFERROR(IF(INDEX(fnEquipLibRange,fnEquipRowNum,39)="","",INDEX(fnEquipLibRange,fnEquipRowNum,39)),"")</f>
        <v/>
      </c>
    </row>
    <row r="208" spans="2:21" hidden="1" outlineLevel="1">
      <c r="B208" s="16"/>
      <c r="C208" s="69"/>
      <c r="D208" s="70"/>
      <c r="E208" s="70" t="str">
        <f ca="1">IFERROR(VLOOKUP(C208,fnEquipLibRange,16,FALSE),"")</f>
        <v/>
      </c>
      <c r="F208" s="70"/>
      <c r="G208" s="130"/>
      <c r="H208" s="106" t="str">
        <f ca="1">IFERROR(VLOOKUP(C208,fnEquipLibRange,2,FALSE),"")</f>
        <v/>
      </c>
      <c r="I208" s="100" t="str">
        <f>IF(ISBLANK(G208),"",IF(G208&lt;VLOOKUP(C208,fnEquipLibRange,3,FALSE),"&gt;&gt;&gt; Too Small &lt;&lt;&lt;",IF(G208&gt;VLOOKUP(C208,fnEquipLibRange,4,FALSE),"&gt;&gt;&gt; Too Large &lt;&lt;&lt;","Yes")))</f>
        <v/>
      </c>
      <c r="J208" s="100"/>
      <c r="K208" s="101" t="str">
        <f>IF(F208*G208=0,"",IFERROR(IF(F208*G208*$D$192/$D$189&lt;VLOOKUP(C208,fnEquipLibRange,3,FALSE),MAX(1,F208),MAX(ROUNDUP(F208*G208*$D$192/$D$189/VLOOKUP(C208,fnEquipLibRange,4,FALSE),0),F208)),""))</f>
        <v/>
      </c>
      <c r="L208" s="102" t="str">
        <f>IF(F208*G208=0,"",IFERROR(IF(F208*G208*$D$192/$D$189&lt;VLOOKUP(C208,fnEquipLibRange,3,FALSE),VLOOKUP(C208,fnEquipLibRange,3,FALSE),F208*G208*$D$192/$D$189/MAX(ROUNDUP(F208*G208*$D$192/$D$189/VLOOKUP(C208,fnEquipLibRange,4,FALSE),0),F208)),""))</f>
        <v/>
      </c>
      <c r="M208" s="102"/>
      <c r="N208" s="103" t="str">
        <f>IF($K208="","",IFERROR($K208*fnEquipCostCorr*fnEquipCostIndex*fnEquipConstMaterial,""))</f>
        <v/>
      </c>
      <c r="O208" s="104" t="str">
        <f ca="1">IFERROR(fnEquipInstFactor*N208,"")</f>
        <v/>
      </c>
      <c r="P208" s="105" t="str">
        <f ca="1">IFERROR(fnEquipLaborFactor*K208,"")</f>
        <v/>
      </c>
      <c r="Q208" s="19"/>
      <c r="S208" s="94" t="str">
        <f t="shared" si="3"/>
        <v/>
      </c>
      <c r="T208" s="11" t="str">
        <f ca="1">IFERROR(IF(INDEX(fnEquipLibRange,fnEquipRowNum,39)="","",INDEX(fnEquipLibRange,fnEquipRowNum,39)),"")</f>
        <v/>
      </c>
    </row>
    <row r="209" spans="1:20" hidden="1" outlineLevel="1">
      <c r="B209" s="16"/>
      <c r="C209" s="69"/>
      <c r="D209" s="70"/>
      <c r="E209" s="70" t="str">
        <f ca="1">IFERROR(VLOOKUP(C209,fnEquipLibRange,16,FALSE),"")</f>
        <v/>
      </c>
      <c r="F209" s="70"/>
      <c r="G209" s="130"/>
      <c r="H209" s="106" t="str">
        <f ca="1">IFERROR(VLOOKUP(C209,fnEquipLibRange,2,FALSE),"")</f>
        <v/>
      </c>
      <c r="I209" s="100" t="str">
        <f>IF(ISBLANK(G209),"",IF(G209&lt;VLOOKUP(C209,fnEquipLibRange,3,FALSE),"&gt;&gt;&gt; Too Small &lt;&lt;&lt;",IF(G209&gt;VLOOKUP(C209,fnEquipLibRange,4,FALSE),"&gt;&gt;&gt; Too Large &lt;&lt;&lt;","Yes")))</f>
        <v/>
      </c>
      <c r="J209" s="100"/>
      <c r="K209" s="101" t="str">
        <f>IF(F209*G209=0,"",IFERROR(IF(F209*G209*$D$192/$D$189&lt;VLOOKUP(C209,fnEquipLibRange,3,FALSE),MAX(1,F209),MAX(ROUNDUP(F209*G209*$D$192/$D$189/VLOOKUP(C209,fnEquipLibRange,4,FALSE),0),F209)),""))</f>
        <v/>
      </c>
      <c r="L209" s="102" t="str">
        <f>IF(F209*G209=0,"",IFERROR(IF(F209*G209*$D$192/$D$189&lt;VLOOKUP(C209,fnEquipLibRange,3,FALSE),VLOOKUP(C209,fnEquipLibRange,3,FALSE),F209*G209*$D$192/$D$189/MAX(ROUNDUP(F209*G209*$D$192/$D$189/VLOOKUP(C209,fnEquipLibRange,4,FALSE),0),F209)),""))</f>
        <v/>
      </c>
      <c r="M209" s="102"/>
      <c r="N209" s="103" t="str">
        <f>IF($K209="","",IFERROR($K209*fnEquipCostCorr*fnEquipCostIndex*fnEquipConstMaterial,""))</f>
        <v/>
      </c>
      <c r="O209" s="104" t="str">
        <f ca="1">IFERROR(fnEquipInstFactor*N209,"")</f>
        <v/>
      </c>
      <c r="P209" s="105" t="str">
        <f ca="1">IFERROR(fnEquipLaborFactor*K209,"")</f>
        <v/>
      </c>
      <c r="Q209" s="19"/>
      <c r="S209" s="94" t="str">
        <f t="shared" si="3"/>
        <v/>
      </c>
      <c r="T209" s="11" t="str">
        <f ca="1">IFERROR(IF(INDEX(fnEquipLibRange,fnEquipRowNum,39)="","",INDEX(fnEquipLibRange,fnEquipRowNum,39)),"")</f>
        <v/>
      </c>
    </row>
    <row r="210" spans="1:20" hidden="1" outlineLevel="1">
      <c r="B210" s="16"/>
      <c r="C210" s="69"/>
      <c r="D210" s="70"/>
      <c r="E210" s="70" t="str">
        <f ca="1">IFERROR(VLOOKUP(C210,fnEquipLibRange,16,FALSE),"")</f>
        <v/>
      </c>
      <c r="F210" s="70"/>
      <c r="G210" s="130"/>
      <c r="H210" s="106" t="str">
        <f ca="1">IFERROR(VLOOKUP(C210,fnEquipLibRange,2,FALSE),"")</f>
        <v/>
      </c>
      <c r="I210" s="100" t="str">
        <f>IF(ISBLANK(G210),"",IF(G210&lt;VLOOKUP(C210,fnEquipLibRange,3,FALSE),"&gt;&gt;&gt; Too Small &lt;&lt;&lt;",IF(G210&gt;VLOOKUP(C210,fnEquipLibRange,4,FALSE),"&gt;&gt;&gt; Too Large &lt;&lt;&lt;","Yes")))</f>
        <v/>
      </c>
      <c r="J210" s="100"/>
      <c r="K210" s="101" t="str">
        <f>IF(F210*G210=0,"",IFERROR(IF(F210*G210*$D$192/$D$189&lt;VLOOKUP(C210,fnEquipLibRange,3,FALSE),MAX(1,F210),MAX(ROUNDUP(F210*G210*$D$192/$D$189/VLOOKUP(C210,fnEquipLibRange,4,FALSE),0),F210)),""))</f>
        <v/>
      </c>
      <c r="L210" s="102" t="str">
        <f>IF(F210*G210=0,"",IFERROR(IF(F210*G210*$D$192/$D$189&lt;VLOOKUP(C210,fnEquipLibRange,3,FALSE),VLOOKUP(C210,fnEquipLibRange,3,FALSE),F210*G210*$D$192/$D$189/MAX(ROUNDUP(F210*G210*$D$192/$D$189/VLOOKUP(C210,fnEquipLibRange,4,FALSE),0),F210)),""))</f>
        <v/>
      </c>
      <c r="M210" s="102"/>
      <c r="N210" s="103" t="str">
        <f>IF($K210="","",IFERROR($K210*fnEquipCostCorr*fnEquipCostIndex*fnEquipConstMaterial,""))</f>
        <v/>
      </c>
      <c r="O210" s="104" t="str">
        <f ca="1">IFERROR(fnEquipInstFactor*N210,"")</f>
        <v/>
      </c>
      <c r="P210" s="105" t="str">
        <f ca="1">IFERROR(fnEquipLaborFactor*K210,"")</f>
        <v/>
      </c>
      <c r="Q210" s="19"/>
      <c r="S210" s="94" t="str">
        <f t="shared" si="3"/>
        <v/>
      </c>
      <c r="T210" s="11" t="str">
        <f ca="1">IFERROR(IF(INDEX(fnEquipLibRange,fnEquipRowNum,39)="","",INDEX(fnEquipLibRange,fnEquipRowNum,39)),"")</f>
        <v/>
      </c>
    </row>
    <row r="211" spans="1:20" hidden="1" outlineLevel="1">
      <c r="B211" s="16"/>
      <c r="C211" s="69"/>
      <c r="D211" s="70"/>
      <c r="E211" s="70" t="str">
        <f ca="1">IFERROR(VLOOKUP(C211,fnEquipLibRange,16,FALSE),"")</f>
        <v/>
      </c>
      <c r="F211" s="70"/>
      <c r="G211" s="130"/>
      <c r="H211" s="106" t="str">
        <f ca="1">IFERROR(VLOOKUP(C211,fnEquipLibRange,2,FALSE),"")</f>
        <v/>
      </c>
      <c r="I211" s="100" t="str">
        <f>IF(ISBLANK(G211),"",IF(G211&lt;VLOOKUP(C211,fnEquipLibRange,3,FALSE),"&gt;&gt;&gt; Too Small &lt;&lt;&lt;",IF(G211&gt;VLOOKUP(C211,fnEquipLibRange,4,FALSE),"&gt;&gt;&gt; Too Large &lt;&lt;&lt;","Yes")))</f>
        <v/>
      </c>
      <c r="J211" s="100"/>
      <c r="K211" s="101" t="str">
        <f>IF(F211*G211=0,"",IFERROR(IF(F211*G211*$D$192/$D$189&lt;VLOOKUP(C211,fnEquipLibRange,3,FALSE),MAX(1,F211),MAX(ROUNDUP(F211*G211*$D$192/$D$189/VLOOKUP(C211,fnEquipLibRange,4,FALSE),0),F211)),""))</f>
        <v/>
      </c>
      <c r="L211" s="102" t="str">
        <f>IF(F211*G211=0,"",IFERROR(IF(F211*G211*$D$192/$D$189&lt;VLOOKUP(C211,fnEquipLibRange,3,FALSE),VLOOKUP(C211,fnEquipLibRange,3,FALSE),F211*G211*$D$192/$D$189/MAX(ROUNDUP(F211*G211*$D$192/$D$189/VLOOKUP(C211,fnEquipLibRange,4,FALSE),0),F211)),""))</f>
        <v/>
      </c>
      <c r="M211" s="102"/>
      <c r="N211" s="103" t="str">
        <f>IF($K211="","",IFERROR($K211*fnEquipCostCorr*fnEquipCostIndex*fnEquipConstMaterial,""))</f>
        <v/>
      </c>
      <c r="O211" s="104" t="str">
        <f ca="1">IFERROR(fnEquipInstFactor*N211,"")</f>
        <v/>
      </c>
      <c r="P211" s="105" t="str">
        <f ca="1">IFERROR(fnEquipLaborFactor*K211,"")</f>
        <v/>
      </c>
      <c r="Q211" s="19"/>
      <c r="S211" s="94" t="str">
        <f t="shared" si="3"/>
        <v/>
      </c>
      <c r="T211" s="11" t="str">
        <f ca="1">IFERROR(IF(INDEX(fnEquipLibRange,fnEquipRowNum,39)="","",INDEX(fnEquipLibRange,fnEquipRowNum,39)),"")</f>
        <v/>
      </c>
    </row>
    <row r="212" spans="1:20" ht="16.5" hidden="1" outlineLevel="1" thickBot="1">
      <c r="B212" s="21"/>
      <c r="C212" s="22"/>
      <c r="D212" s="22"/>
      <c r="E212" s="22"/>
      <c r="F212" s="22"/>
      <c r="G212" s="22"/>
      <c r="H212" s="22"/>
      <c r="I212" s="22"/>
      <c r="J212" s="22"/>
      <c r="K212" s="22"/>
      <c r="L212" s="99"/>
      <c r="M212" s="99"/>
      <c r="N212" s="22"/>
      <c r="O212" s="22"/>
      <c r="P212" s="22"/>
      <c r="Q212" s="23"/>
    </row>
    <row r="213" spans="1:20" ht="32.1" hidden="1" customHeight="1" outlineLevel="1">
      <c r="B213" s="424" t="str">
        <f>"Equipment Cost Totals: "&amp;C181</f>
        <v>Equipment Cost Totals: Wet Impregnation - Metal on Metal Oxide</v>
      </c>
      <c r="C213" s="425"/>
      <c r="D213" s="425"/>
      <c r="E213" s="426"/>
    </row>
    <row r="214" spans="1:20" hidden="1" outlineLevel="1">
      <c r="B214" s="16"/>
      <c r="C214" s="17" t="str">
        <f>"Equipment Cost Totals for "&amp;C181</f>
        <v>Equipment Cost Totals for Wet Impregnation - Metal on Metal Oxide</v>
      </c>
      <c r="D214" s="18"/>
      <c r="E214" s="19"/>
    </row>
    <row r="215" spans="1:20" hidden="1" outlineLevel="1">
      <c r="B215" s="16"/>
      <c r="C215" s="18"/>
      <c r="D215" s="162" t="s">
        <v>308</v>
      </c>
      <c r="E215" s="295">
        <f ca="1">SUM(N197:N211)</f>
        <v>227730.32766154082</v>
      </c>
    </row>
    <row r="216" spans="1:20" hidden="1" outlineLevel="1">
      <c r="B216" s="16"/>
      <c r="C216" s="18"/>
      <c r="D216" s="162" t="s">
        <v>354</v>
      </c>
      <c r="E216" s="295">
        <f ca="1">SUM(O197:O211)</f>
        <v>379814.59671225073</v>
      </c>
    </row>
    <row r="217" spans="1:20" hidden="1" outlineLevel="1">
      <c r="B217" s="16"/>
      <c r="C217" s="18"/>
      <c r="D217" s="162" t="s">
        <v>995</v>
      </c>
      <c r="E217" s="296">
        <f ca="1">SUM(P197:P211)</f>
        <v>1</v>
      </c>
    </row>
    <row r="218" spans="1:20" ht="16.5" hidden="1" outlineLevel="1" thickBot="1">
      <c r="B218" s="21"/>
      <c r="C218" s="22"/>
      <c r="D218" s="22"/>
      <c r="E218" s="23"/>
    </row>
    <row r="219" spans="1:20" ht="16.5" collapsed="1" thickBot="1">
      <c r="A219" s="300" t="str">
        <f>"&lt;– show/hide "&amp;B178</f>
        <v>&lt;– show/hide Process Template: Wet Impregnation - Metal on Metal Oxide</v>
      </c>
    </row>
    <row r="220" spans="1:20" ht="21" thickBot="1">
      <c r="B220" s="341" t="str">
        <f>"Process Template: "&amp;C223</f>
        <v>Process Template: Zeolite for FCC</v>
      </c>
      <c r="C220" s="342"/>
      <c r="D220" s="342"/>
      <c r="E220" s="342"/>
      <c r="F220" s="342"/>
      <c r="G220" s="343"/>
      <c r="I220" s="198"/>
    </row>
    <row r="221" spans="1:20" hidden="1" outlineLevel="1">
      <c r="B221" s="13"/>
      <c r="C221" s="14"/>
      <c r="D221" s="14"/>
      <c r="E221" s="14"/>
      <c r="F221" s="14"/>
      <c r="G221" s="15"/>
      <c r="I221" s="198"/>
    </row>
    <row r="222" spans="1:20" hidden="1" outlineLevel="1">
      <c r="B222" s="16"/>
      <c r="C222" s="17" t="s">
        <v>1048</v>
      </c>
      <c r="D222" s="18"/>
      <c r="E222" s="18"/>
      <c r="F222" s="18"/>
      <c r="G222" s="19"/>
      <c r="I222" s="198"/>
    </row>
    <row r="223" spans="1:20" hidden="1" outlineLevel="1">
      <c r="B223" s="16"/>
      <c r="C223" s="18" t="s">
        <v>992</v>
      </c>
      <c r="D223" s="18"/>
      <c r="E223" s="18"/>
      <c r="F223" s="18"/>
      <c r="G223" s="19"/>
      <c r="I223" s="198"/>
    </row>
    <row r="224" spans="1:20" ht="16.5" hidden="1" outlineLevel="1" thickBot="1">
      <c r="B224" s="16"/>
      <c r="C224" s="18"/>
      <c r="D224" s="18"/>
      <c r="E224" s="18"/>
      <c r="F224" s="18"/>
      <c r="G224" s="19"/>
      <c r="I224" s="198"/>
    </row>
    <row r="225" spans="2:21" ht="32.1" hidden="1" customHeight="1" outlineLevel="1">
      <c r="B225" s="424" t="str">
        <f>"Scaling Inputs: "&amp;C223</f>
        <v>Scaling Inputs: Zeolite for FCC</v>
      </c>
      <c r="C225" s="425"/>
      <c r="D225" s="425"/>
      <c r="E225" s="425"/>
      <c r="F225" s="425"/>
      <c r="G225" s="426"/>
      <c r="I225" s="198"/>
    </row>
    <row r="226" spans="2:21" hidden="1" outlineLevel="1">
      <c r="B226" s="16"/>
      <c r="C226" s="17" t="s">
        <v>1738</v>
      </c>
      <c r="D226" s="18"/>
      <c r="E226" s="18"/>
      <c r="F226" s="18"/>
      <c r="G226" s="19"/>
      <c r="I226" s="198"/>
    </row>
    <row r="227" spans="2:21" hidden="1" outlineLevel="1">
      <c r="B227" s="16"/>
      <c r="C227" s="137" t="s">
        <v>1835</v>
      </c>
      <c r="D227" s="176">
        <v>100000000</v>
      </c>
      <c r="E227" s="48" t="str">
        <f>IF(COUNTBLANK(D228:D230)&gt;0,"select units below",D228&amp;" "&amp;D229&amp;"/"&amp;D230)</f>
        <v>lb catalyst/year</v>
      </c>
      <c r="F227" s="42" t="s">
        <v>160</v>
      </c>
      <c r="G227" s="19"/>
      <c r="I227" s="198"/>
    </row>
    <row r="228" spans="2:21" hidden="1" outlineLevel="1">
      <c r="B228" s="16"/>
      <c r="C228" s="137"/>
      <c r="D228" s="176" t="s">
        <v>20</v>
      </c>
      <c r="E228" s="48" t="s">
        <v>912</v>
      </c>
      <c r="F228" s="48"/>
      <c r="G228" s="19"/>
      <c r="I228" s="198"/>
    </row>
    <row r="229" spans="2:21" hidden="1" outlineLevel="1">
      <c r="B229" s="16"/>
      <c r="C229" s="137"/>
      <c r="D229" s="176" t="s">
        <v>915</v>
      </c>
      <c r="E229" s="48" t="s">
        <v>914</v>
      </c>
      <c r="F229" s="42" t="s">
        <v>160</v>
      </c>
      <c r="G229" s="19"/>
      <c r="I229" s="198"/>
    </row>
    <row r="230" spans="2:21" hidden="1" outlineLevel="1">
      <c r="B230" s="16"/>
      <c r="C230" s="137"/>
      <c r="D230" s="176" t="s">
        <v>1815</v>
      </c>
      <c r="E230" s="48" t="s">
        <v>913</v>
      </c>
      <c r="F230" s="42" t="s">
        <v>160</v>
      </c>
      <c r="G230" s="19"/>
      <c r="I230" s="198"/>
    </row>
    <row r="231" spans="2:21" hidden="1" outlineLevel="1">
      <c r="B231" s="16"/>
      <c r="C231" s="137" t="s">
        <v>1836</v>
      </c>
      <c r="D231" s="49">
        <f>IFERROR(D227*VLOOKUP(D228,UnitConv[],5,FALSE)/VLOOKUP(OutMassUnit,UnitConv[],5,FALSE)*IF(D229="active phase",100/APWeightPercent,1)/CHOOSE(MATCH(D230,{"hour","day","week","month","year"},0),1,24,24*7,7884/12,7884),"-----")</f>
        <v>5753.3278792491119</v>
      </c>
      <c r="E231" s="48" t="str">
        <f>OutMassUnit&amp;" catalyst/hour"</f>
        <v>kg catalyst/hour</v>
      </c>
      <c r="F231" s="42" t="s">
        <v>160</v>
      </c>
      <c r="G231" s="19"/>
      <c r="I231" s="198"/>
    </row>
    <row r="232" spans="2:21" hidden="1" outlineLevel="1">
      <c r="B232" s="16"/>
      <c r="C232" s="134"/>
      <c r="D232" s="98"/>
      <c r="E232" s="48"/>
      <c r="F232" s="48"/>
      <c r="G232" s="19"/>
      <c r="I232" s="198"/>
    </row>
    <row r="233" spans="2:21" hidden="1" outlineLevel="1">
      <c r="B233" s="16"/>
      <c r="C233" s="17" t="s">
        <v>1823</v>
      </c>
      <c r="D233" s="18"/>
      <c r="E233" s="18"/>
      <c r="F233" s="18"/>
      <c r="G233" s="19"/>
      <c r="I233" s="198"/>
    </row>
    <row r="234" spans="2:21" hidden="1" outlineLevel="1">
      <c r="B234" s="16"/>
      <c r="C234" s="137" t="s">
        <v>1834</v>
      </c>
      <c r="D234" s="49">
        <f>IF(DesignProductionRate=0,"-----",DesignProductionRate)</f>
        <v>1.2683916793505834</v>
      </c>
      <c r="E234" s="48" t="str">
        <f>OutMassUnit&amp;" catalyst/hour"</f>
        <v>kg catalyst/hour</v>
      </c>
      <c r="F234" s="42" t="s">
        <v>160</v>
      </c>
      <c r="G234" s="19"/>
      <c r="I234" s="198"/>
    </row>
    <row r="235" spans="2:21" ht="16.5" hidden="1" outlineLevel="1" thickBot="1">
      <c r="B235" s="16"/>
      <c r="C235" s="18"/>
      <c r="D235" s="291"/>
      <c r="E235" s="18"/>
      <c r="F235" s="18"/>
      <c r="G235" s="19"/>
    </row>
    <row r="236" spans="2:21" s="294" customFormat="1" ht="32.1" hidden="1" customHeight="1" outlineLevel="1">
      <c r="B236" s="424" t="str">
        <f>"Equipment List: "&amp;C223</f>
        <v>Equipment List: Zeolite for FCC</v>
      </c>
      <c r="C236" s="425"/>
      <c r="D236" s="425"/>
      <c r="E236" s="425"/>
      <c r="F236" s="425"/>
      <c r="G236" s="425"/>
      <c r="H236" s="292"/>
      <c r="I236" s="292"/>
      <c r="J236" s="292"/>
      <c r="K236" s="292"/>
      <c r="L236" s="292"/>
      <c r="M236" s="292"/>
      <c r="N236" s="292"/>
      <c r="O236" s="292"/>
      <c r="P236" s="292"/>
      <c r="Q236" s="293"/>
    </row>
    <row r="237" spans="2:21" ht="18.75" hidden="1" outlineLevel="1">
      <c r="B237" s="16"/>
      <c r="C237" s="428" t="s">
        <v>1837</v>
      </c>
      <c r="D237" s="428"/>
      <c r="E237" s="428"/>
      <c r="F237" s="428"/>
      <c r="G237" s="428"/>
      <c r="H237" s="428"/>
      <c r="I237" s="428"/>
      <c r="J237" s="73"/>
      <c r="K237" s="428" t="s">
        <v>1821</v>
      </c>
      <c r="L237" s="428"/>
      <c r="M237" s="73"/>
      <c r="N237" s="428" t="s">
        <v>1822</v>
      </c>
      <c r="O237" s="428"/>
      <c r="P237" s="428"/>
      <c r="Q237" s="19"/>
      <c r="S237" s="427" t="s">
        <v>997</v>
      </c>
      <c r="T237" s="427"/>
      <c r="U237" s="294"/>
    </row>
    <row r="238" spans="2:21" hidden="1" outlineLevel="1">
      <c r="B238" s="16"/>
      <c r="C238" s="64" t="s">
        <v>304</v>
      </c>
      <c r="D238" s="64" t="s">
        <v>310</v>
      </c>
      <c r="E238" s="64" t="s">
        <v>311</v>
      </c>
      <c r="F238" s="64" t="s">
        <v>307</v>
      </c>
      <c r="G238" s="64" t="s">
        <v>312</v>
      </c>
      <c r="H238" s="64" t="s">
        <v>305</v>
      </c>
      <c r="I238" s="64" t="s">
        <v>306</v>
      </c>
      <c r="J238" s="64"/>
      <c r="K238" s="64" t="s">
        <v>1073</v>
      </c>
      <c r="L238" s="64" t="s">
        <v>1074</v>
      </c>
      <c r="M238" s="64"/>
      <c r="N238" s="64" t="s">
        <v>308</v>
      </c>
      <c r="O238" s="64" t="s">
        <v>354</v>
      </c>
      <c r="P238" s="64" t="s">
        <v>309</v>
      </c>
      <c r="Q238" s="19"/>
      <c r="S238" s="297" t="s">
        <v>304</v>
      </c>
      <c r="T238" s="297" t="s">
        <v>205</v>
      </c>
      <c r="U238" s="294"/>
    </row>
    <row r="239" spans="2:21" hidden="1" outlineLevel="1">
      <c r="B239" s="16"/>
      <c r="C239" s="69" t="s">
        <v>276</v>
      </c>
      <c r="D239" s="70"/>
      <c r="E239" s="70" t="str">
        <f ca="1">IFERROR(VLOOKUP(C239,fnEquipLibRange,16,FALSE),"")</f>
        <v>Carbon steel</v>
      </c>
      <c r="F239" s="70">
        <v>2</v>
      </c>
      <c r="G239" s="130">
        <v>11.36</v>
      </c>
      <c r="H239" s="106" t="str">
        <f ca="1">IFERROR(VLOOKUP(C239,fnEquipLibRange,2,FALSE),"")</f>
        <v>volume, m3</v>
      </c>
      <c r="I239" s="100" t="str">
        <f ca="1">IF(ISBLANK(G239),"",IF(G239&lt;VLOOKUP(C239,fnEquipLibRange,3,FALSE),"&gt;&gt;&gt; Too Small &lt;&lt;&lt;",IF(G239&gt;VLOOKUP(C239,fnEquipLibRange,4,FALSE),"&gt;&gt;&gt; Too Large &lt;&lt;&lt;","Yes")))</f>
        <v>Yes</v>
      </c>
      <c r="J239" s="100"/>
      <c r="K239" s="101">
        <f ca="1">IF(F239*G239=0,"",IFERROR(IF(F239*G239*$D$234/$D$231&lt;VLOOKUP(C239,fnEquipLibRange,3,FALSE),MAX(1,F239),MAX(ROUNDUP(F239*G239*$D$234/$D$231/VLOOKUP(C239,fnEquipLibRange,4,FALSE),0),F239)),""))</f>
        <v>2</v>
      </c>
      <c r="L239" s="102">
        <f ca="1">IF(F239*G239=0,"",IFERROR(IF(F239*G239*$D$234/$D$231&lt;VLOOKUP(C239,fnEquipLibRange,3,FALSE),VLOOKUP(C239,fnEquipLibRange,3,FALSE),F239*G239*$D$234/$D$231/MAX(ROUNDUP(F239*G239*$D$234/$D$231/VLOOKUP(C239,fnEquipLibRange,4,FALSE),0),F239)),""))</f>
        <v>0.5</v>
      </c>
      <c r="M239" s="102"/>
      <c r="N239" s="103">
        <f ca="1">IF($K239="","",IFERROR($K239*fnEquipCostCorr*fnEquipCostIndex*fnEquipConstMaterial,""))</f>
        <v>125369.4901833387</v>
      </c>
      <c r="O239" s="104">
        <f ca="1">IFERROR(fnEquipInstFactor*N239,"")</f>
        <v>213128.13331167577</v>
      </c>
      <c r="P239" s="105">
        <f ca="1">IFERROR(fnEquipLaborFactor*K239,"")</f>
        <v>0.6</v>
      </c>
      <c r="Q239" s="19"/>
      <c r="S239" s="94" t="str">
        <f>IF(ISBLANK(C239),"",C239)</f>
        <v>Reactor, jacketed, agitated</v>
      </c>
      <c r="T239" s="11" t="str">
        <f ca="1">IFERROR(IF(INDEX(fnEquipLibRange,fnEquipRowNum,39)="","",INDEX(fnEquipLibRange,fnEquipRowNum,39)),"")</f>
        <v/>
      </c>
      <c r="U239" s="294"/>
    </row>
    <row r="240" spans="2:21" hidden="1" outlineLevel="1">
      <c r="B240" s="16"/>
      <c r="C240" s="69" t="s">
        <v>276</v>
      </c>
      <c r="D240" s="70"/>
      <c r="E240" s="70" t="str">
        <f ca="1">IFERROR(VLOOKUP(C240,fnEquipLibRange,16,FALSE),"")</f>
        <v>Carbon steel</v>
      </c>
      <c r="F240" s="70">
        <v>2</v>
      </c>
      <c r="G240" s="130">
        <v>75.709999999999994</v>
      </c>
      <c r="H240" s="106" t="str">
        <f ca="1">IFERROR(VLOOKUP(C240,fnEquipLibRange,2,FALSE),"")</f>
        <v>volume, m3</v>
      </c>
      <c r="I240" s="100" t="str">
        <f ca="1">IF(ISBLANK(G240),"",IF(G240&lt;VLOOKUP(C240,fnEquipLibRange,3,FALSE),"&gt;&gt;&gt; Too Small &lt;&lt;&lt;",IF(G240&gt;VLOOKUP(C240,fnEquipLibRange,4,FALSE),"&gt;&gt;&gt; Too Large &lt;&lt;&lt;","Yes")))</f>
        <v>Yes</v>
      </c>
      <c r="J240" s="100"/>
      <c r="K240" s="101">
        <f ca="1">IF(F240*G240=0,"",IFERROR(IF(F240*G240*$D$234/$D$231&lt;VLOOKUP(C240,fnEquipLibRange,3,FALSE),MAX(1,F240),MAX(ROUNDUP(F240*G240*$D$234/$D$231/VLOOKUP(C240,fnEquipLibRange,4,FALSE),0),F240)),""))</f>
        <v>2</v>
      </c>
      <c r="L240" s="102">
        <f ca="1">IF(F240*G240=0,"",IFERROR(IF(F240*G240*$D$234/$D$231&lt;VLOOKUP(C240,fnEquipLibRange,3,FALSE),VLOOKUP(C240,fnEquipLibRange,3,FALSE),F240*G240*$D$234/$D$231/MAX(ROUNDUP(F240*G240*$D$234/$D$231/VLOOKUP(C240,fnEquipLibRange,4,FALSE),0),F240)),""))</f>
        <v>0.5</v>
      </c>
      <c r="M240" s="102"/>
      <c r="N240" s="103">
        <f ca="1">IF($K240="","",IFERROR($K240*fnEquipCostCorr*fnEquipCostIndex*fnEquipConstMaterial,""))</f>
        <v>125369.4901833387</v>
      </c>
      <c r="O240" s="104">
        <f ca="1">IFERROR(fnEquipInstFactor*N240,"")</f>
        <v>213128.13331167577</v>
      </c>
      <c r="P240" s="105">
        <f ca="1">IFERROR(fnEquipLaborFactor*K240,"")</f>
        <v>0.6</v>
      </c>
      <c r="Q240" s="19"/>
      <c r="S240" s="94" t="str">
        <f t="shared" ref="S240:S278" si="4">IF(ISBLANK(C240),"",C240)</f>
        <v>Reactor, jacketed, agitated</v>
      </c>
      <c r="T240" s="11" t="str">
        <f ca="1">IFERROR(IF(INDEX(fnEquipLibRange,fnEquipRowNum,39)="","",INDEX(fnEquipLibRange,fnEquipRowNum,39)),"")</f>
        <v/>
      </c>
    </row>
    <row r="241" spans="2:20" hidden="1" outlineLevel="1">
      <c r="B241" s="16"/>
      <c r="C241" s="69" t="s">
        <v>454</v>
      </c>
      <c r="D241" s="70"/>
      <c r="E241" s="70" t="str">
        <f ca="1">IFERROR(VLOOKUP(C241,fnEquipLibRange,16,FALSE),"")</f>
        <v>Carbon steel</v>
      </c>
      <c r="F241" s="70">
        <v>3</v>
      </c>
      <c r="G241" s="130">
        <v>75.709999999999994</v>
      </c>
      <c r="H241" s="106" t="str">
        <f ca="1">IFERROR(VLOOKUP(C241,fnEquipLibRange,2,FALSE),"")</f>
        <v>Volume, ft3</v>
      </c>
      <c r="I241" s="100" t="str">
        <f ca="1">IF(ISBLANK(G241),"",IF(G241&lt;VLOOKUP(C241,fnEquipLibRange,3,FALSE),"&gt;&gt;&gt; Too Small &lt;&lt;&lt;",IF(G241&gt;VLOOKUP(C241,fnEquipLibRange,4,FALSE),"&gt;&gt;&gt; Too Large &lt;&lt;&lt;","Yes")))</f>
        <v>Yes</v>
      </c>
      <c r="J241" s="100"/>
      <c r="K241" s="101">
        <f ca="1">IF(F241*G241=0,"",IFERROR(IF(F241*G241*$D$234/$D$231&lt;VLOOKUP(C241,fnEquipLibRange,3,FALSE),MAX(1,F241),MAX(ROUNDUP(F241*G241*$D$234/$D$231/VLOOKUP(C241,fnEquipLibRange,4,FALSE),0),F241)),""))</f>
        <v>3</v>
      </c>
      <c r="L241" s="102">
        <f ca="1">IF(F241*G241=0,"",IFERROR(IF(F241*G241*$D$234/$D$231&lt;VLOOKUP(C241,fnEquipLibRange,3,FALSE),VLOOKUP(C241,fnEquipLibRange,3,FALSE),F241*G241*$D$234/$D$231/MAX(ROUNDUP(F241*G241*$D$234/$D$231/VLOOKUP(C241,fnEquipLibRange,4,FALSE),0),F241)),""))</f>
        <v>50</v>
      </c>
      <c r="M241" s="102"/>
      <c r="N241" s="103">
        <f ca="1">IF($K241="","",IFERROR($K241*fnEquipCostCorr*fnEquipCostIndex*fnEquipConstMaterial,""))</f>
        <v>330503.05773584597</v>
      </c>
      <c r="O241" s="104">
        <f ca="1">IFERROR(fnEquipInstFactor*N241,"")</f>
        <v>594905.50392452278</v>
      </c>
      <c r="P241" s="105">
        <f ca="1">IFERROR(fnEquipLaborFactor*K241,"")</f>
        <v>0.48</v>
      </c>
      <c r="Q241" s="19"/>
      <c r="S241" s="94" t="str">
        <f t="shared" si="4"/>
        <v>Crystallizer, batch evaporative</v>
      </c>
      <c r="T241" s="11" t="str">
        <f ca="1">IFERROR(IF(INDEX(fnEquipLibRange,fnEquipRowNum,39)="","",INDEX(fnEquipLibRange,fnEquipRowNum,39)),"")</f>
        <v>Stainless steel</v>
      </c>
    </row>
    <row r="242" spans="2:20" hidden="1" outlineLevel="1">
      <c r="B242" s="16"/>
      <c r="C242" s="69" t="s">
        <v>546</v>
      </c>
      <c r="D242" s="70"/>
      <c r="E242" s="70" t="s">
        <v>1709</v>
      </c>
      <c r="F242" s="70">
        <v>2</v>
      </c>
      <c r="G242" s="130">
        <v>100</v>
      </c>
      <c r="H242" s="106" t="str">
        <f ca="1">IFERROR(VLOOKUP(C242,fnEquipLibRange,2,FALSE),"")</f>
        <v>Filtering area, ft2</v>
      </c>
      <c r="I242" s="100" t="str">
        <f ca="1">IF(ISBLANK(G242),"",IF(G242&lt;VLOOKUP(C242,fnEquipLibRange,3,FALSE),"&gt;&gt;&gt; Too Small &lt;&lt;&lt;",IF(G242&gt;VLOOKUP(C242,fnEquipLibRange,4,FALSE),"&gt;&gt;&gt; Too Large &lt;&lt;&lt;","Yes")))</f>
        <v>Yes</v>
      </c>
      <c r="J242" s="100"/>
      <c r="K242" s="101">
        <f ca="1">IF(F242*G242=0,"",IFERROR(IF(F242*G242*$D$234/$D$231&lt;VLOOKUP(C242,fnEquipLibRange,3,FALSE),MAX(1,F242),MAX(ROUNDUP(F242*G242*$D$234/$D$231/VLOOKUP(C242,fnEquipLibRange,4,FALSE),0),F242)),""))</f>
        <v>2</v>
      </c>
      <c r="L242" s="102">
        <f ca="1">IF(F242*G242=0,"",IFERROR(IF(F242*G242*$D$234/$D$231&lt;VLOOKUP(C242,fnEquipLibRange,3,FALSE),VLOOKUP(C242,fnEquipLibRange,3,FALSE),F242*G242*$D$234/$D$231/MAX(ROUNDUP(F242*G242*$D$234/$D$231/VLOOKUP(C242,fnEquipLibRange,4,FALSE),0),F242)),""))</f>
        <v>10</v>
      </c>
      <c r="M242" s="102"/>
      <c r="N242" s="103">
        <f ca="1">IF($K242="","",IFERROR($K242*fnEquipCostCorr*fnEquipCostIndex*fnEquipConstMaterial,""))</f>
        <v>274231.10147427075</v>
      </c>
      <c r="O242" s="104">
        <f ca="1">IFERROR(fnEquipInstFactor*N242,"")</f>
        <v>463450.56149151752</v>
      </c>
      <c r="P242" s="105">
        <f ca="1">IFERROR(fnEquipLaborFactor*K242,"")</f>
        <v>0.4</v>
      </c>
      <c r="Q242" s="19"/>
      <c r="S242" s="94" t="str">
        <f t="shared" si="4"/>
        <v>Filter, rotary-drum vacuum</v>
      </c>
      <c r="T242" s="11" t="str">
        <f ca="1">IFERROR(IF(INDEX(fnEquipLibRange,fnEquipRowNum,39)="","",INDEX(fnEquipLibRange,fnEquipRowNum,39)),"")</f>
        <v/>
      </c>
    </row>
    <row r="243" spans="2:20" hidden="1" outlineLevel="1">
      <c r="B243" s="16"/>
      <c r="C243" s="69" t="s">
        <v>276</v>
      </c>
      <c r="D243" s="70"/>
      <c r="E243" s="70" t="str">
        <f ca="1">IFERROR(VLOOKUP(C243,fnEquipLibRange,16,FALSE),"")</f>
        <v>Carbon steel</v>
      </c>
      <c r="F243" s="70">
        <v>1</v>
      </c>
      <c r="G243" s="130">
        <v>5.68</v>
      </c>
      <c r="H243" s="106" t="str">
        <f ca="1">IFERROR(VLOOKUP(C243,fnEquipLibRange,2,FALSE),"")</f>
        <v>volume, m3</v>
      </c>
      <c r="I243" s="100" t="str">
        <f ca="1">IF(ISBLANK(G243),"",IF(G243&lt;VLOOKUP(C243,fnEquipLibRange,3,FALSE),"&gt;&gt;&gt; Too Small &lt;&lt;&lt;",IF(G243&gt;VLOOKUP(C243,fnEquipLibRange,4,FALSE),"&gt;&gt;&gt; Too Large &lt;&lt;&lt;","Yes")))</f>
        <v>Yes</v>
      </c>
      <c r="J243" s="100"/>
      <c r="K243" s="101">
        <f ca="1">IF(F243*G243=0,"",IFERROR(IF(F243*G243*$D$234/$D$231&lt;VLOOKUP(C243,fnEquipLibRange,3,FALSE),MAX(1,F243),MAX(ROUNDUP(F243*G243*$D$234/$D$231/VLOOKUP(C243,fnEquipLibRange,4,FALSE),0),F243)),""))</f>
        <v>1</v>
      </c>
      <c r="L243" s="102">
        <f ca="1">IF(F243*G243=0,"",IFERROR(IF(F243*G243*$D$234/$D$231&lt;VLOOKUP(C243,fnEquipLibRange,3,FALSE),VLOOKUP(C243,fnEquipLibRange,3,FALSE),F243*G243*$D$234/$D$231/MAX(ROUNDUP(F243*G243*$D$234/$D$231/VLOOKUP(C243,fnEquipLibRange,4,FALSE),0),F243)),""))</f>
        <v>0.5</v>
      </c>
      <c r="M243" s="102"/>
      <c r="N243" s="103">
        <f ca="1">IF($K243="","",IFERROR($K243*fnEquipCostCorr*fnEquipCostIndex*fnEquipConstMaterial,""))</f>
        <v>62684.745091669349</v>
      </c>
      <c r="O243" s="104">
        <f ca="1">IFERROR(fnEquipInstFactor*N243,"")</f>
        <v>106564.06665583789</v>
      </c>
      <c r="P243" s="105">
        <f ca="1">IFERROR(fnEquipLaborFactor*K243,"")</f>
        <v>0.3</v>
      </c>
      <c r="Q243" s="19"/>
      <c r="S243" s="94" t="str">
        <f t="shared" si="4"/>
        <v>Reactor, jacketed, agitated</v>
      </c>
      <c r="T243" s="11" t="str">
        <f ca="1">IFERROR(IF(INDEX(fnEquipLibRange,fnEquipRowNum,39)="","",INDEX(fnEquipLibRange,fnEquipRowNum,39)),"")</f>
        <v/>
      </c>
    </row>
    <row r="244" spans="2:20" hidden="1" outlineLevel="1">
      <c r="B244" s="16"/>
      <c r="C244" s="69" t="s">
        <v>276</v>
      </c>
      <c r="D244" s="70"/>
      <c r="E244" s="70" t="str">
        <f ca="1">IFERROR(VLOOKUP(C244,fnEquipLibRange,16,FALSE),"")</f>
        <v>Carbon steel</v>
      </c>
      <c r="F244" s="70">
        <v>1</v>
      </c>
      <c r="G244" s="130">
        <v>0.76</v>
      </c>
      <c r="H244" s="106" t="str">
        <f ca="1">IFERROR(VLOOKUP(C244,fnEquipLibRange,2,FALSE),"")</f>
        <v>volume, m3</v>
      </c>
      <c r="I244" s="100" t="str">
        <f ca="1">IF(ISBLANK(G244),"",IF(G244&lt;VLOOKUP(C244,fnEquipLibRange,3,FALSE),"&gt;&gt;&gt; Too Small &lt;&lt;&lt;",IF(G244&gt;VLOOKUP(C244,fnEquipLibRange,4,FALSE),"&gt;&gt;&gt; Too Large &lt;&lt;&lt;","Yes")))</f>
        <v>Yes</v>
      </c>
      <c r="J244" s="100"/>
      <c r="K244" s="101">
        <f ca="1">IF(F244*G244=0,"",IFERROR(IF(F244*G244*$D$234/$D$231&lt;VLOOKUP(C244,fnEquipLibRange,3,FALSE),MAX(1,F244),MAX(ROUNDUP(F244*G244*$D$234/$D$231/VLOOKUP(C244,fnEquipLibRange,4,FALSE),0),F244)),""))</f>
        <v>1</v>
      </c>
      <c r="L244" s="102">
        <f ca="1">IF(F244*G244=0,"",IFERROR(IF(F244*G244*$D$234/$D$231&lt;VLOOKUP(C244,fnEquipLibRange,3,FALSE),VLOOKUP(C244,fnEquipLibRange,3,FALSE),F244*G244*$D$234/$D$231/MAX(ROUNDUP(F244*G244*$D$234/$D$231/VLOOKUP(C244,fnEquipLibRange,4,FALSE),0),F244)),""))</f>
        <v>0.5</v>
      </c>
      <c r="M244" s="102"/>
      <c r="N244" s="103">
        <f ca="1">IF($K244="","",IFERROR($K244*fnEquipCostCorr*fnEquipCostIndex*fnEquipConstMaterial,""))</f>
        <v>62684.745091669349</v>
      </c>
      <c r="O244" s="104">
        <f ca="1">IFERROR(fnEquipInstFactor*N244,"")</f>
        <v>106564.06665583789</v>
      </c>
      <c r="P244" s="105">
        <f ca="1">IFERROR(fnEquipLaborFactor*K244,"")</f>
        <v>0.3</v>
      </c>
      <c r="Q244" s="19"/>
      <c r="S244" s="94" t="str">
        <f t="shared" si="4"/>
        <v>Reactor, jacketed, agitated</v>
      </c>
      <c r="T244" s="11" t="str">
        <f ca="1">IFERROR(IF(INDEX(fnEquipLibRange,fnEquipRowNum,39)="","",INDEX(fnEquipLibRange,fnEquipRowNum,39)),"")</f>
        <v/>
      </c>
    </row>
    <row r="245" spans="2:20" hidden="1" outlineLevel="1">
      <c r="B245" s="16"/>
      <c r="C245" s="69" t="s">
        <v>474</v>
      </c>
      <c r="D245" s="70"/>
      <c r="E245" s="70" t="str">
        <f ca="1">IFERROR(VLOOKUP(C245,fnEquipLibRange,16,FALSE),"")</f>
        <v>Carbon steel</v>
      </c>
      <c r="F245" s="70">
        <v>1</v>
      </c>
      <c r="G245" s="130">
        <v>600</v>
      </c>
      <c r="H245" s="106" t="str">
        <f ca="1">IFERROR(VLOOKUP(C245,fnEquipLibRange,2,FALSE),"")</f>
        <v>Heat transfer area, ft2</v>
      </c>
      <c r="I245" s="100" t="str">
        <f ca="1">IF(ISBLANK(G245),"",IF(G245&lt;VLOOKUP(C245,fnEquipLibRange,3,FALSE),"&gt;&gt;&gt; Too Small &lt;&lt;&lt;",IF(G245&gt;VLOOKUP(C245,fnEquipLibRange,4,FALSE),"&gt;&gt;&gt; Too Large &lt;&lt;&lt;","Yes")))</f>
        <v>Yes</v>
      </c>
      <c r="J245" s="100"/>
      <c r="K245" s="101">
        <f ca="1">IF(F245*G245=0,"",IFERROR(IF(F245*G245*$D$234/$D$231&lt;VLOOKUP(C245,fnEquipLibRange,3,FALSE),MAX(1,F245),MAX(ROUNDUP(F245*G245*$D$234/$D$231/VLOOKUP(C245,fnEquipLibRange,4,FALSE),0),F245)),""))</f>
        <v>1</v>
      </c>
      <c r="L245" s="102">
        <f ca="1">IF(F245*G245=0,"",IFERROR(IF(F245*G245*$D$234/$D$231&lt;VLOOKUP(C245,fnEquipLibRange,3,FALSE),VLOOKUP(C245,fnEquipLibRange,3,FALSE),F245*G245*$D$234/$D$231/MAX(ROUNDUP(F245*G245*$D$234/$D$231/VLOOKUP(C245,fnEquipLibRange,4,FALSE),0),F245)),""))</f>
        <v>150</v>
      </c>
      <c r="M245" s="102"/>
      <c r="N245" s="103">
        <f ca="1">IF($K245="","",IFERROR($K245*fnEquipCostCorr*fnEquipCostIndex*fnEquipConstMaterial,""))</f>
        <v>98192.695236789979</v>
      </c>
      <c r="O245" s="104">
        <f ca="1">IFERROR(fnEquipInstFactor*N245,"")</f>
        <v>205222.73304489104</v>
      </c>
      <c r="P245" s="105">
        <f ca="1">IFERROR(fnEquipLaborFactor*K245,"")</f>
        <v>0.25</v>
      </c>
      <c r="Q245" s="19"/>
      <c r="S245" s="94" t="str">
        <f t="shared" si="4"/>
        <v>Evaporator, forced circulation</v>
      </c>
      <c r="T245" s="11" t="str">
        <f ca="1">IFERROR(IF(INDEX(fnEquipLibRange,fnEquipRowNum,39)="","",INDEX(fnEquipLibRange,fnEquipRowNum,39)),"")</f>
        <v/>
      </c>
    </row>
    <row r="246" spans="2:20" hidden="1" outlineLevel="1">
      <c r="B246" s="16"/>
      <c r="C246" s="69" t="s">
        <v>276</v>
      </c>
      <c r="D246" s="70"/>
      <c r="E246" s="70" t="str">
        <f ca="1">IFERROR(VLOOKUP(C246,fnEquipLibRange,16,FALSE),"")</f>
        <v>Carbon steel</v>
      </c>
      <c r="F246" s="70">
        <v>1</v>
      </c>
      <c r="G246" s="130">
        <v>11.36</v>
      </c>
      <c r="H246" s="106" t="str">
        <f ca="1">IFERROR(VLOOKUP(C246,fnEquipLibRange,2,FALSE),"")</f>
        <v>volume, m3</v>
      </c>
      <c r="I246" s="100" t="str">
        <f ca="1">IF(ISBLANK(G246),"",IF(G246&lt;VLOOKUP(C246,fnEquipLibRange,3,FALSE),"&gt;&gt;&gt; Too Small &lt;&lt;&lt;",IF(G246&gt;VLOOKUP(C246,fnEquipLibRange,4,FALSE),"&gt;&gt;&gt; Too Large &lt;&lt;&lt;","Yes")))</f>
        <v>Yes</v>
      </c>
      <c r="J246" s="100"/>
      <c r="K246" s="101">
        <f ca="1">IF(F246*G246=0,"",IFERROR(IF(F246*G246*$D$234/$D$231&lt;VLOOKUP(C246,fnEquipLibRange,3,FALSE),MAX(1,F246),MAX(ROUNDUP(F246*G246*$D$234/$D$231/VLOOKUP(C246,fnEquipLibRange,4,FALSE),0),F246)),""))</f>
        <v>1</v>
      </c>
      <c r="L246" s="102">
        <f ca="1">IF(F246*G246=0,"",IFERROR(IF(F246*G246*$D$234/$D$231&lt;VLOOKUP(C246,fnEquipLibRange,3,FALSE),VLOOKUP(C246,fnEquipLibRange,3,FALSE),F246*G246*$D$234/$D$231/MAX(ROUNDUP(F246*G246*$D$234/$D$231/VLOOKUP(C246,fnEquipLibRange,4,FALSE),0),F246)),""))</f>
        <v>0.5</v>
      </c>
      <c r="M246" s="102"/>
      <c r="N246" s="103">
        <f ca="1">IF($K246="","",IFERROR($K246*fnEquipCostCorr*fnEquipCostIndex*fnEquipConstMaterial,""))</f>
        <v>62684.745091669349</v>
      </c>
      <c r="O246" s="104">
        <f ca="1">IFERROR(fnEquipInstFactor*N246,"")</f>
        <v>106564.06665583789</v>
      </c>
      <c r="P246" s="105">
        <f ca="1">IFERROR(fnEquipLaborFactor*K246,"")</f>
        <v>0.3</v>
      </c>
      <c r="Q246" s="19"/>
      <c r="S246" s="94" t="str">
        <f t="shared" si="4"/>
        <v>Reactor, jacketed, agitated</v>
      </c>
      <c r="T246" s="11" t="str">
        <f ca="1">IFERROR(IF(INDEX(fnEquipLibRange,fnEquipRowNum,39)="","",INDEX(fnEquipLibRange,fnEquipRowNum,39)),"")</f>
        <v/>
      </c>
    </row>
    <row r="247" spans="2:20" hidden="1" outlineLevel="1">
      <c r="B247" s="16"/>
      <c r="C247" s="69" t="s">
        <v>752</v>
      </c>
      <c r="D247" s="70"/>
      <c r="E247" s="70" t="s">
        <v>349</v>
      </c>
      <c r="F247" s="70">
        <v>1</v>
      </c>
      <c r="G247" s="130">
        <v>738.27427359360138</v>
      </c>
      <c r="H247" s="106" t="str">
        <f ca="1">IFERROR(VLOOKUP(C247,fnEquipLibRange,2,FALSE),"")</f>
        <v>Heat-transfer area, ft2</v>
      </c>
      <c r="I247" s="100" t="str">
        <f ca="1">IF(ISBLANK(G247),"",IF(G247&lt;VLOOKUP(C247,fnEquipLibRange,3,FALSE),"&gt;&gt;&gt; Too Small &lt;&lt;&lt;",IF(G247&gt;VLOOKUP(C247,fnEquipLibRange,4,FALSE),"&gt;&gt;&gt; Too Large &lt;&lt;&lt;","Yes")))</f>
        <v>Yes</v>
      </c>
      <c r="J247" s="100"/>
      <c r="K247" s="101">
        <f ca="1">IF(F247*G247=0,"",IFERROR(IF(F247*G247*$D$234/$D$231&lt;VLOOKUP(C247,fnEquipLibRange,3,FALSE),MAX(1,F247),MAX(ROUNDUP(F247*G247*$D$234/$D$231/VLOOKUP(C247,fnEquipLibRange,4,FALSE),0),F247)),""))</f>
        <v>1</v>
      </c>
      <c r="L247" s="102">
        <f ca="1">IF(F247*G247=0,"",IFERROR(IF(F247*G247*$D$234/$D$231&lt;VLOOKUP(C247,fnEquipLibRange,3,FALSE),VLOOKUP(C247,fnEquipLibRange,3,FALSE),F247*G247*$D$234/$D$231/MAX(ROUNDUP(F247*G247*$D$234/$D$231/VLOOKUP(C247,fnEquipLibRange,4,FALSE),0),F247)),""))</f>
        <v>100</v>
      </c>
      <c r="M247" s="102"/>
      <c r="N247" s="103">
        <f ca="1">IF($K247="","",IFERROR($K247*fnEquipCostCorr*fnEquipCostIndex*fnEquipConstMaterial,""))</f>
        <v>57812.182454853799</v>
      </c>
      <c r="O247" s="104">
        <f ca="1">IFERROR(fnEquipInstFactor*N247,"")</f>
        <v>94811.979225960225</v>
      </c>
      <c r="P247" s="105">
        <f ca="1">IFERROR(fnEquipLaborFactor*K247,"")</f>
        <v>0.5</v>
      </c>
      <c r="Q247" s="19"/>
      <c r="S247" s="94" t="str">
        <f t="shared" si="4"/>
        <v>Dryer, indirect-heat steam-tube rotary (Seider)</v>
      </c>
      <c r="T247" s="11" t="str">
        <f ca="1">IFERROR(IF(INDEX(fnEquipLibRange,fnEquipRowNum,39)="","",INDEX(fnEquipLibRange,fnEquipRowNum,39)),"")</f>
        <v>Stainless steel</v>
      </c>
    </row>
    <row r="248" spans="2:20" hidden="1" outlineLevel="1">
      <c r="B248" s="16"/>
      <c r="C248" s="69" t="s">
        <v>276</v>
      </c>
      <c r="D248" s="70"/>
      <c r="E248" s="70" t="str">
        <f ca="1">IFERROR(VLOOKUP(C248,fnEquipLibRange,16,FALSE),"")</f>
        <v>Carbon steel</v>
      </c>
      <c r="F248" s="70">
        <v>1</v>
      </c>
      <c r="G248" s="130">
        <v>24.04</v>
      </c>
      <c r="H248" s="106" t="str">
        <f ca="1">IFERROR(VLOOKUP(C248,fnEquipLibRange,2,FALSE),"")</f>
        <v>volume, m3</v>
      </c>
      <c r="I248" s="100" t="str">
        <f ca="1">IF(ISBLANK(G248),"",IF(G248&lt;VLOOKUP(C248,fnEquipLibRange,3,FALSE),"&gt;&gt;&gt; Too Small &lt;&lt;&lt;",IF(G248&gt;VLOOKUP(C248,fnEquipLibRange,4,FALSE),"&gt;&gt;&gt; Too Large &lt;&lt;&lt;","Yes")))</f>
        <v>Yes</v>
      </c>
      <c r="J248" s="100"/>
      <c r="K248" s="101">
        <f ca="1">IF(F248*G248=0,"",IFERROR(IF(F248*G248*$D$234/$D$231&lt;VLOOKUP(C248,fnEquipLibRange,3,FALSE),MAX(1,F248),MAX(ROUNDUP(F248*G248*$D$234/$D$231/VLOOKUP(C248,fnEquipLibRange,4,FALSE),0),F248)),""))</f>
        <v>1</v>
      </c>
      <c r="L248" s="102">
        <f ca="1">IF(F248*G248=0,"",IFERROR(IF(F248*G248*$D$234/$D$231&lt;VLOOKUP(C248,fnEquipLibRange,3,FALSE),VLOOKUP(C248,fnEquipLibRange,3,FALSE),F248*G248*$D$234/$D$231/MAX(ROUNDUP(F248*G248*$D$234/$D$231/VLOOKUP(C248,fnEquipLibRange,4,FALSE),0),F248)),""))</f>
        <v>0.5</v>
      </c>
      <c r="M248" s="102"/>
      <c r="N248" s="103">
        <f ca="1">IF($K248="","",IFERROR($K248*fnEquipCostCorr*fnEquipCostIndex*fnEquipConstMaterial,""))</f>
        <v>62684.745091669349</v>
      </c>
      <c r="O248" s="104">
        <f ca="1">IFERROR(fnEquipInstFactor*N248,"")</f>
        <v>106564.06665583789</v>
      </c>
      <c r="P248" s="105">
        <f ca="1">IFERROR(fnEquipLaborFactor*K248,"")</f>
        <v>0.3</v>
      </c>
      <c r="Q248" s="19"/>
      <c r="S248" s="94" t="str">
        <f t="shared" si="4"/>
        <v>Reactor, jacketed, agitated</v>
      </c>
      <c r="T248" s="11" t="str">
        <f ca="1">IFERROR(IF(INDEX(fnEquipLibRange,fnEquipRowNum,39)="","",INDEX(fnEquipLibRange,fnEquipRowNum,39)),"")</f>
        <v/>
      </c>
    </row>
    <row r="249" spans="2:20" hidden="1" outlineLevel="1">
      <c r="B249" s="16"/>
      <c r="C249" s="69" t="s">
        <v>276</v>
      </c>
      <c r="D249" s="70"/>
      <c r="E249" s="70" t="str">
        <f ca="1">IFERROR(VLOOKUP(C249,fnEquipLibRange,16,FALSE),"")</f>
        <v>Carbon steel</v>
      </c>
      <c r="F249" s="70">
        <v>1</v>
      </c>
      <c r="G249" s="130">
        <v>28.39</v>
      </c>
      <c r="H249" s="106" t="str">
        <f ca="1">IFERROR(VLOOKUP(C249,fnEquipLibRange,2,FALSE),"")</f>
        <v>volume, m3</v>
      </c>
      <c r="I249" s="100" t="str">
        <f ca="1">IF(ISBLANK(G249),"",IF(G249&lt;VLOOKUP(C249,fnEquipLibRange,3,FALSE),"&gt;&gt;&gt; Too Small &lt;&lt;&lt;",IF(G249&gt;VLOOKUP(C249,fnEquipLibRange,4,FALSE),"&gt;&gt;&gt; Too Large &lt;&lt;&lt;","Yes")))</f>
        <v>Yes</v>
      </c>
      <c r="J249" s="100"/>
      <c r="K249" s="101">
        <f ca="1">IF(F249*G249=0,"",IFERROR(IF(F249*G249*$D$234/$D$231&lt;VLOOKUP(C249,fnEquipLibRange,3,FALSE),MAX(1,F249),MAX(ROUNDUP(F249*G249*$D$234/$D$231/VLOOKUP(C249,fnEquipLibRange,4,FALSE),0),F249)),""))</f>
        <v>1</v>
      </c>
      <c r="L249" s="102">
        <f ca="1">IF(F249*G249=0,"",IFERROR(IF(F249*G249*$D$234/$D$231&lt;VLOOKUP(C249,fnEquipLibRange,3,FALSE),VLOOKUP(C249,fnEquipLibRange,3,FALSE),F249*G249*$D$234/$D$231/MAX(ROUNDUP(F249*G249*$D$234/$D$231/VLOOKUP(C249,fnEquipLibRange,4,FALSE),0),F249)),""))</f>
        <v>0.5</v>
      </c>
      <c r="M249" s="102"/>
      <c r="N249" s="103">
        <f ca="1">IF($K249="","",IFERROR($K249*fnEquipCostCorr*fnEquipCostIndex*fnEquipConstMaterial,""))</f>
        <v>62684.745091669349</v>
      </c>
      <c r="O249" s="104">
        <f ca="1">IFERROR(fnEquipInstFactor*N249,"")</f>
        <v>106564.06665583789</v>
      </c>
      <c r="P249" s="105">
        <f ca="1">IFERROR(fnEquipLaborFactor*K249,"")</f>
        <v>0.3</v>
      </c>
      <c r="Q249" s="19"/>
      <c r="S249" s="94" t="str">
        <f t="shared" si="4"/>
        <v>Reactor, jacketed, agitated</v>
      </c>
      <c r="T249" s="11" t="str">
        <f ca="1">IFERROR(IF(INDEX(fnEquipLibRange,fnEquipRowNum,39)="","",INDEX(fnEquipLibRange,fnEquipRowNum,39)),"")</f>
        <v/>
      </c>
    </row>
    <row r="250" spans="2:20" hidden="1" outlineLevel="1">
      <c r="B250" s="16"/>
      <c r="C250" s="69" t="s">
        <v>546</v>
      </c>
      <c r="D250" s="70"/>
      <c r="E250" s="70" t="s">
        <v>1709</v>
      </c>
      <c r="F250" s="70">
        <v>1</v>
      </c>
      <c r="G250" s="130">
        <v>100</v>
      </c>
      <c r="H250" s="106" t="str">
        <f ca="1">IFERROR(VLOOKUP(C250,fnEquipLibRange,2,FALSE),"")</f>
        <v>Filtering area, ft2</v>
      </c>
      <c r="I250" s="100" t="str">
        <f ca="1">IF(ISBLANK(G250),"",IF(G250&lt;VLOOKUP(C250,fnEquipLibRange,3,FALSE),"&gt;&gt;&gt; Too Small &lt;&lt;&lt;",IF(G250&gt;VLOOKUP(C250,fnEquipLibRange,4,FALSE),"&gt;&gt;&gt; Too Large &lt;&lt;&lt;","Yes")))</f>
        <v>Yes</v>
      </c>
      <c r="J250" s="100"/>
      <c r="K250" s="101">
        <f ca="1">IF(F250*G250=0,"",IFERROR(IF(F250*G250*$D$234/$D$231&lt;VLOOKUP(C250,fnEquipLibRange,3,FALSE),MAX(1,F250),MAX(ROUNDUP(F250*G250*$D$234/$D$231/VLOOKUP(C250,fnEquipLibRange,4,FALSE),0),F250)),""))</f>
        <v>1</v>
      </c>
      <c r="L250" s="102">
        <f ca="1">IF(F250*G250=0,"",IFERROR(IF(F250*G250*$D$234/$D$231&lt;VLOOKUP(C250,fnEquipLibRange,3,FALSE),VLOOKUP(C250,fnEquipLibRange,3,FALSE),F250*G250*$D$234/$D$231/MAX(ROUNDUP(F250*G250*$D$234/$D$231/VLOOKUP(C250,fnEquipLibRange,4,FALSE),0),F250)),""))</f>
        <v>10</v>
      </c>
      <c r="M250" s="102"/>
      <c r="N250" s="103">
        <f ca="1">IF($K250="","",IFERROR($K250*fnEquipCostCorr*fnEquipCostIndex*fnEquipConstMaterial,""))</f>
        <v>137115.55073713537</v>
      </c>
      <c r="O250" s="104">
        <f ca="1">IFERROR(fnEquipInstFactor*N250,"")</f>
        <v>231725.28074575876</v>
      </c>
      <c r="P250" s="105">
        <f ca="1">IFERROR(fnEquipLaborFactor*K250,"")</f>
        <v>0.2</v>
      </c>
      <c r="Q250" s="19"/>
      <c r="S250" s="94" t="str">
        <f t="shared" si="4"/>
        <v>Filter, rotary-drum vacuum</v>
      </c>
      <c r="T250" s="11" t="str">
        <f ca="1">IFERROR(IF(INDEX(fnEquipLibRange,fnEquipRowNum,39)="","",INDEX(fnEquipLibRange,fnEquipRowNum,39)),"")</f>
        <v/>
      </c>
    </row>
    <row r="251" spans="2:20" hidden="1" outlineLevel="1">
      <c r="B251" s="16"/>
      <c r="C251" s="69" t="s">
        <v>511</v>
      </c>
      <c r="D251" s="70"/>
      <c r="E251" s="70" t="str">
        <f ca="1">IFERROR(VLOOKUP(C251,fnEquipLibRange,16,FALSE),"")</f>
        <v>Carbon steel</v>
      </c>
      <c r="F251" s="70">
        <v>3</v>
      </c>
      <c r="G251" s="130">
        <v>100</v>
      </c>
      <c r="H251" s="106" t="str">
        <f ca="1">IFERROR(VLOOKUP(C251,fnEquipLibRange,2,FALSE),"")</f>
        <v>Volume, ft3</v>
      </c>
      <c r="I251" s="100" t="str">
        <f ca="1">IF(ISBLANK(G251),"",IF(G251&lt;VLOOKUP(C251,fnEquipLibRange,3,FALSE),"&gt;&gt;&gt; Too Small &lt;&lt;&lt;",IF(G251&gt;VLOOKUP(C251,fnEquipLibRange,4,FALSE),"&gt;&gt;&gt; Too Large &lt;&lt;&lt;","Yes")))</f>
        <v>Yes</v>
      </c>
      <c r="J251" s="100"/>
      <c r="K251" s="101">
        <f ca="1">IF(F251*G251=0,"",IFERROR(IF(F251*G251*$D$234/$D$231&lt;VLOOKUP(C251,fnEquipLibRange,3,FALSE),MAX(1,F251),MAX(ROUNDUP(F251*G251*$D$234/$D$231/VLOOKUP(C251,fnEquipLibRange,4,FALSE),0),F251)),""))</f>
        <v>3</v>
      </c>
      <c r="L251" s="102">
        <f ca="1">IF(F251*G251=0,"",IFERROR(IF(F251*G251*$D$234/$D$231&lt;VLOOKUP(C251,fnEquipLibRange,3,FALSE),VLOOKUP(C251,fnEquipLibRange,3,FALSE),F251*G251*$D$234/$D$231/MAX(ROUNDUP(F251*G251*$D$234/$D$231/VLOOKUP(C251,fnEquipLibRange,4,FALSE),0),F251)),""))</f>
        <v>10</v>
      </c>
      <c r="M251" s="102"/>
      <c r="N251" s="103">
        <f ca="1">IF($K251="","",IFERROR($K251*fnEquipCostCorr*fnEquipCostIndex*fnEquipConstMaterial,""))</f>
        <v>165200.27478940756</v>
      </c>
      <c r="O251" s="104">
        <f ca="1">IFERROR(fnEquipInstFactor*N251,"")</f>
        <v>231280.38470517055</v>
      </c>
      <c r="P251" s="105">
        <f ca="1">IFERROR(fnEquipLaborFactor*K251,"")</f>
        <v>0.60000000000000009</v>
      </c>
      <c r="Q251" s="19"/>
      <c r="S251" s="94" t="str">
        <f t="shared" si="4"/>
        <v>Muller mixer</v>
      </c>
      <c r="T251" s="11" t="str">
        <f ca="1">IFERROR(IF(INDEX(fnEquipLibRange,fnEquipRowNum,39)="","",INDEX(fnEquipLibRange,fnEquipRowNum,39)),"")</f>
        <v/>
      </c>
    </row>
    <row r="252" spans="2:20" hidden="1" outlineLevel="1">
      <c r="B252" s="16"/>
      <c r="C252" s="69" t="s">
        <v>755</v>
      </c>
      <c r="D252" s="70"/>
      <c r="E252" s="70" t="s">
        <v>336</v>
      </c>
      <c r="F252" s="70">
        <v>3</v>
      </c>
      <c r="G252" s="130">
        <v>2881.8181818181815</v>
      </c>
      <c r="H252" s="106" t="str">
        <f ca="1">IFERROR(VLOOKUP(C252,fnEquipLibRange,2,FALSE),"")</f>
        <v>evap rate kg/h</v>
      </c>
      <c r="I252" s="100" t="str">
        <f ca="1">IF(ISBLANK(G252),"",IF(G252&lt;VLOOKUP(C252,fnEquipLibRange,3,FALSE),"&gt;&gt;&gt; Too Small &lt;&lt;&lt;",IF(G252&gt;VLOOKUP(C252,fnEquipLibRange,4,FALSE),"&gt;&gt;&gt; Too Large &lt;&lt;&lt;","Yes")))</f>
        <v>Yes</v>
      </c>
      <c r="J252" s="100"/>
      <c r="K252" s="101">
        <f ca="1">IF(F252*G252=0,"",IFERROR(IF(F252*G252*$D$234/$D$231&lt;VLOOKUP(C252,fnEquipLibRange,3,FALSE),MAX(1,F252),MAX(ROUNDUP(F252*G252*$D$234/$D$231/VLOOKUP(C252,fnEquipLibRange,4,FALSE),0),F252)),""))</f>
        <v>3</v>
      </c>
      <c r="L252" s="102">
        <f ca="1">IF(F252*G252=0,"",IFERROR(IF(F252*G252*$D$234/$D$231&lt;VLOOKUP(C252,fnEquipLibRange,3,FALSE),VLOOKUP(C252,fnEquipLibRange,3,FALSE),F252*G252*$D$234/$D$231/MAX(ROUNDUP(F252*G252*$D$234/$D$231/VLOOKUP(C252,fnEquipLibRange,4,FALSE),0),F252)),""))</f>
        <v>400</v>
      </c>
      <c r="M252" s="102"/>
      <c r="N252" s="103">
        <f ca="1">IF($K252="","",IFERROR($K252*fnEquipCostCorr*fnEquipCostIndex*fnEquipConstMaterial,""))</f>
        <v>2203557.4396485849</v>
      </c>
      <c r="O252" s="104">
        <f ca="1">IFERROR(fnEquipInstFactor*N252,"")</f>
        <v>3613834.2010236792</v>
      </c>
      <c r="P252" s="105">
        <f ca="1">IFERROR(fnEquipLaborFactor*K252,"")</f>
        <v>3</v>
      </c>
      <c r="Q252" s="19"/>
      <c r="S252" s="94" t="str">
        <f t="shared" si="4"/>
        <v>Dryer, spray (Sinnott)</v>
      </c>
      <c r="T252" s="11" t="str">
        <f ca="1">IFERROR(IF(INDEX(fnEquipLibRange,fnEquipRowNum,39)="","",INDEX(fnEquipLibRange,fnEquipRowNum,39)),"")</f>
        <v/>
      </c>
    </row>
    <row r="253" spans="2:20" hidden="1" outlineLevel="1">
      <c r="B253" s="16"/>
      <c r="C253" s="69" t="s">
        <v>276</v>
      </c>
      <c r="D253" s="70"/>
      <c r="E253" s="70" t="str">
        <f ca="1">IFERROR(VLOOKUP(C253,fnEquipLibRange,16,FALSE),"")</f>
        <v>Carbon steel</v>
      </c>
      <c r="F253" s="70">
        <v>1</v>
      </c>
      <c r="G253" s="130">
        <v>1.1399999999999999</v>
      </c>
      <c r="H253" s="106" t="str">
        <f ca="1">IFERROR(VLOOKUP(C253,fnEquipLibRange,2,FALSE),"")</f>
        <v>volume, m3</v>
      </c>
      <c r="I253" s="100" t="str">
        <f ca="1">IF(ISBLANK(G253),"",IF(G253&lt;VLOOKUP(C253,fnEquipLibRange,3,FALSE),"&gt;&gt;&gt; Too Small &lt;&lt;&lt;",IF(G253&gt;VLOOKUP(C253,fnEquipLibRange,4,FALSE),"&gt;&gt;&gt; Too Large &lt;&lt;&lt;","Yes")))</f>
        <v>Yes</v>
      </c>
      <c r="J253" s="100"/>
      <c r="K253" s="101">
        <f ca="1">IF(F253*G253=0,"",IFERROR(IF(F253*G253*$D$234/$D$231&lt;VLOOKUP(C253,fnEquipLibRange,3,FALSE),MAX(1,F253),MAX(ROUNDUP(F253*G253*$D$234/$D$231/VLOOKUP(C253,fnEquipLibRange,4,FALSE),0),F253)),""))</f>
        <v>1</v>
      </c>
      <c r="L253" s="102">
        <f ca="1">IF(F253*G253=0,"",IFERROR(IF(F253*G253*$D$234/$D$231&lt;VLOOKUP(C253,fnEquipLibRange,3,FALSE),VLOOKUP(C253,fnEquipLibRange,3,FALSE),F253*G253*$D$234/$D$231/MAX(ROUNDUP(F253*G253*$D$234/$D$231/VLOOKUP(C253,fnEquipLibRange,4,FALSE),0),F253)),""))</f>
        <v>0.5</v>
      </c>
      <c r="M253" s="102"/>
      <c r="N253" s="103">
        <f ca="1">IF($K253="","",IFERROR($K253*fnEquipCostCorr*fnEquipCostIndex*fnEquipConstMaterial,""))</f>
        <v>62684.745091669349</v>
      </c>
      <c r="O253" s="104">
        <f ca="1">IFERROR(fnEquipInstFactor*N253,"")</f>
        <v>106564.06665583789</v>
      </c>
      <c r="P253" s="105">
        <f ca="1">IFERROR(fnEquipLaborFactor*K253,"")</f>
        <v>0.3</v>
      </c>
      <c r="Q253" s="19"/>
      <c r="S253" s="94" t="str">
        <f t="shared" si="4"/>
        <v>Reactor, jacketed, agitated</v>
      </c>
      <c r="T253" s="11" t="str">
        <f ca="1">IFERROR(IF(INDEX(fnEquipLibRange,fnEquipRowNum,39)="","",INDEX(fnEquipLibRange,fnEquipRowNum,39)),"")</f>
        <v/>
      </c>
    </row>
    <row r="254" spans="2:20" hidden="1" outlineLevel="1">
      <c r="B254" s="16"/>
      <c r="C254" s="69" t="s">
        <v>276</v>
      </c>
      <c r="D254" s="70"/>
      <c r="E254" s="70" t="str">
        <f ca="1">IFERROR(VLOOKUP(C254,fnEquipLibRange,16,FALSE),"")</f>
        <v>Carbon steel</v>
      </c>
      <c r="F254" s="70">
        <v>1</v>
      </c>
      <c r="G254" s="130">
        <v>30.28</v>
      </c>
      <c r="H254" s="106" t="str">
        <f ca="1">IFERROR(VLOOKUP(C254,fnEquipLibRange,2,FALSE),"")</f>
        <v>volume, m3</v>
      </c>
      <c r="I254" s="100" t="str">
        <f ca="1">IF(ISBLANK(G254),"",IF(G254&lt;VLOOKUP(C254,fnEquipLibRange,3,FALSE),"&gt;&gt;&gt; Too Small &lt;&lt;&lt;",IF(G254&gt;VLOOKUP(C254,fnEquipLibRange,4,FALSE),"&gt;&gt;&gt; Too Large &lt;&lt;&lt;","Yes")))</f>
        <v>Yes</v>
      </c>
      <c r="J254" s="100"/>
      <c r="K254" s="101">
        <f ca="1">IF(F254*G254=0,"",IFERROR(IF(F254*G254*$D$234/$D$231&lt;VLOOKUP(C254,fnEquipLibRange,3,FALSE),MAX(1,F254),MAX(ROUNDUP(F254*G254*$D$234/$D$231/VLOOKUP(C254,fnEquipLibRange,4,FALSE),0),F254)),""))</f>
        <v>1</v>
      </c>
      <c r="L254" s="102">
        <f ca="1">IF(F254*G254=0,"",IFERROR(IF(F254*G254*$D$234/$D$231&lt;VLOOKUP(C254,fnEquipLibRange,3,FALSE),VLOOKUP(C254,fnEquipLibRange,3,FALSE),F254*G254*$D$234/$D$231/MAX(ROUNDUP(F254*G254*$D$234/$D$231/VLOOKUP(C254,fnEquipLibRange,4,FALSE),0),F254)),""))</f>
        <v>0.5</v>
      </c>
      <c r="M254" s="102"/>
      <c r="N254" s="103">
        <f ca="1">IF($K254="","",IFERROR($K254*fnEquipCostCorr*fnEquipCostIndex*fnEquipConstMaterial,""))</f>
        <v>62684.745091669349</v>
      </c>
      <c r="O254" s="104">
        <f ca="1">IFERROR(fnEquipInstFactor*N254,"")</f>
        <v>106564.06665583789</v>
      </c>
      <c r="P254" s="105">
        <f ca="1">IFERROR(fnEquipLaborFactor*K254,"")</f>
        <v>0.3</v>
      </c>
      <c r="Q254" s="19"/>
      <c r="S254" s="94" t="str">
        <f t="shared" si="4"/>
        <v>Reactor, jacketed, agitated</v>
      </c>
      <c r="T254" s="11" t="str">
        <f ca="1">IFERROR(IF(INDEX(fnEquipLibRange,fnEquipRowNum,39)="","",INDEX(fnEquipLibRange,fnEquipRowNum,39)),"")</f>
        <v/>
      </c>
    </row>
    <row r="255" spans="2:20" hidden="1" outlineLevel="1">
      <c r="B255" s="16"/>
      <c r="C255" s="69" t="s">
        <v>546</v>
      </c>
      <c r="D255" s="70"/>
      <c r="E255" s="70" t="str">
        <f ca="1">IFERROR(VLOOKUP(C255,fnEquipLibRange,16,FALSE),"")</f>
        <v>Carbon steel</v>
      </c>
      <c r="F255" s="70">
        <v>1</v>
      </c>
      <c r="G255" s="130">
        <v>255</v>
      </c>
      <c r="H255" s="106" t="str">
        <f ca="1">IFERROR(VLOOKUP(C255,fnEquipLibRange,2,FALSE),"")</f>
        <v>Filtering area, ft2</v>
      </c>
      <c r="I255" s="100" t="str">
        <f ca="1">IF(ISBLANK(G255),"",IF(G255&lt;VLOOKUP(C255,fnEquipLibRange,3,FALSE),"&gt;&gt;&gt; Too Small &lt;&lt;&lt;",IF(G255&gt;VLOOKUP(C255,fnEquipLibRange,4,FALSE),"&gt;&gt;&gt; Too Large &lt;&lt;&lt;","Yes")))</f>
        <v>Yes</v>
      </c>
      <c r="J255" s="100"/>
      <c r="K255" s="101">
        <f ca="1">IF(F255*G255=0,"",IFERROR(IF(F255*G255*$D$234/$D$231&lt;VLOOKUP(C255,fnEquipLibRange,3,FALSE),MAX(1,F255),MAX(ROUNDUP(F255*G255*$D$234/$D$231/VLOOKUP(C255,fnEquipLibRange,4,FALSE),0),F255)),""))</f>
        <v>1</v>
      </c>
      <c r="L255" s="102">
        <f ca="1">IF(F255*G255=0,"",IFERROR(IF(F255*G255*$D$234/$D$231&lt;VLOOKUP(C255,fnEquipLibRange,3,FALSE),VLOOKUP(C255,fnEquipLibRange,3,FALSE),F255*G255*$D$234/$D$231/MAX(ROUNDUP(F255*G255*$D$234/$D$231/VLOOKUP(C255,fnEquipLibRange,4,FALSE),0),F255)),""))</f>
        <v>10</v>
      </c>
      <c r="M255" s="102"/>
      <c r="N255" s="103">
        <f ca="1">IF($K255="","",IFERROR($K255*fnEquipCostCorr*fnEquipCostIndex*fnEquipConstMaterial,""))</f>
        <v>109692.44058970829</v>
      </c>
      <c r="O255" s="104">
        <f ca="1">IFERROR(fnEquipInstFactor*N255,"")</f>
        <v>185380.224596607</v>
      </c>
      <c r="P255" s="105">
        <f ca="1">IFERROR(fnEquipLaborFactor*K255,"")</f>
        <v>0.2</v>
      </c>
      <c r="Q255" s="19"/>
      <c r="S255" s="94" t="str">
        <f t="shared" si="4"/>
        <v>Filter, rotary-drum vacuum</v>
      </c>
      <c r="T255" s="11" t="str">
        <f ca="1">IFERROR(IF(INDEX(fnEquipLibRange,fnEquipRowNum,39)="","",INDEX(fnEquipLibRange,fnEquipRowNum,39)),"")</f>
        <v/>
      </c>
    </row>
    <row r="256" spans="2:20" hidden="1" outlineLevel="1">
      <c r="B256" s="16"/>
      <c r="C256" s="69" t="s">
        <v>276</v>
      </c>
      <c r="D256" s="70"/>
      <c r="E256" s="70" t="s">
        <v>1708</v>
      </c>
      <c r="F256" s="70">
        <v>1</v>
      </c>
      <c r="G256" s="130">
        <v>3.79</v>
      </c>
      <c r="H256" s="106" t="str">
        <f ca="1">IFERROR(VLOOKUP(C256,fnEquipLibRange,2,FALSE),"")</f>
        <v>volume, m3</v>
      </c>
      <c r="I256" s="100" t="str">
        <f ca="1">IF(ISBLANK(G256),"",IF(G256&lt;VLOOKUP(C256,fnEquipLibRange,3,FALSE),"&gt;&gt;&gt; Too Small &lt;&lt;&lt;",IF(G256&gt;VLOOKUP(C256,fnEquipLibRange,4,FALSE),"&gt;&gt;&gt; Too Large &lt;&lt;&lt;","Yes")))</f>
        <v>Yes</v>
      </c>
      <c r="J256" s="100"/>
      <c r="K256" s="101">
        <f ca="1">IF(F256*G256=0,"",IFERROR(IF(F256*G256*$D$234/$D$231&lt;VLOOKUP(C256,fnEquipLibRange,3,FALSE),MAX(1,F256),MAX(ROUNDUP(F256*G256*$D$234/$D$231/VLOOKUP(C256,fnEquipLibRange,4,FALSE),0),F256)),""))</f>
        <v>1</v>
      </c>
      <c r="L256" s="102">
        <f ca="1">IF(F256*G256=0,"",IFERROR(IF(F256*G256*$D$234/$D$231&lt;VLOOKUP(C256,fnEquipLibRange,3,FALSE),VLOOKUP(C256,fnEquipLibRange,3,FALSE),F256*G256*$D$234/$D$231/MAX(ROUNDUP(F256*G256*$D$234/$D$231/VLOOKUP(C256,fnEquipLibRange,4,FALSE),0),F256)),""))</f>
        <v>0.5</v>
      </c>
      <c r="M256" s="102"/>
      <c r="N256" s="103">
        <f ca="1">IF($K256="","",IFERROR($K256*fnEquipCostCorr*fnEquipCostIndex*fnEquipConstMaterial,""))</f>
        <v>81490.168619170159</v>
      </c>
      <c r="O256" s="104">
        <f ca="1">IFERROR(fnEquipInstFactor*N256,"")</f>
        <v>138533.28665258928</v>
      </c>
      <c r="P256" s="105">
        <f ca="1">IFERROR(fnEquipLaborFactor*K256,"")</f>
        <v>0.3</v>
      </c>
      <c r="Q256" s="19"/>
      <c r="S256" s="94" t="str">
        <f t="shared" si="4"/>
        <v>Reactor, jacketed, agitated</v>
      </c>
      <c r="T256" s="11" t="str">
        <f ca="1">IFERROR(IF(INDEX(fnEquipLibRange,fnEquipRowNum,39)="","",INDEX(fnEquipLibRange,fnEquipRowNum,39)),"")</f>
        <v/>
      </c>
    </row>
    <row r="257" spans="2:20" hidden="1" outlineLevel="1">
      <c r="B257" s="16"/>
      <c r="C257" s="69" t="s">
        <v>276</v>
      </c>
      <c r="D257" s="70"/>
      <c r="E257" s="70" t="s">
        <v>1708</v>
      </c>
      <c r="F257" s="70">
        <v>1</v>
      </c>
      <c r="G257" s="130">
        <v>30.28</v>
      </c>
      <c r="H257" s="106" t="str">
        <f ca="1">IFERROR(VLOOKUP(C257,fnEquipLibRange,2,FALSE),"")</f>
        <v>volume, m3</v>
      </c>
      <c r="I257" s="100" t="str">
        <f ca="1">IF(ISBLANK(G257),"",IF(G257&lt;VLOOKUP(C257,fnEquipLibRange,3,FALSE),"&gt;&gt;&gt; Too Small &lt;&lt;&lt;",IF(G257&gt;VLOOKUP(C257,fnEquipLibRange,4,FALSE),"&gt;&gt;&gt; Too Large &lt;&lt;&lt;","Yes")))</f>
        <v>Yes</v>
      </c>
      <c r="J257" s="100"/>
      <c r="K257" s="101">
        <f ca="1">IF(F257*G257=0,"",IFERROR(IF(F257*G257*$D$234/$D$231&lt;VLOOKUP(C257,fnEquipLibRange,3,FALSE),MAX(1,F257),MAX(ROUNDUP(F257*G257*$D$234/$D$231/VLOOKUP(C257,fnEquipLibRange,4,FALSE),0),F257)),""))</f>
        <v>1</v>
      </c>
      <c r="L257" s="102">
        <f ca="1">IF(F257*G257=0,"",IFERROR(IF(F257*G257*$D$234/$D$231&lt;VLOOKUP(C257,fnEquipLibRange,3,FALSE),VLOOKUP(C257,fnEquipLibRange,3,FALSE),F257*G257*$D$234/$D$231/MAX(ROUNDUP(F257*G257*$D$234/$D$231/VLOOKUP(C257,fnEquipLibRange,4,FALSE),0),F257)),""))</f>
        <v>0.5</v>
      </c>
      <c r="M257" s="102"/>
      <c r="N257" s="103">
        <f ca="1">IF($K257="","",IFERROR($K257*fnEquipCostCorr*fnEquipCostIndex*fnEquipConstMaterial,""))</f>
        <v>81490.168619170159</v>
      </c>
      <c r="O257" s="104">
        <f ca="1">IFERROR(fnEquipInstFactor*N257,"")</f>
        <v>138533.28665258928</v>
      </c>
      <c r="P257" s="105">
        <f ca="1">IFERROR(fnEquipLaborFactor*K257,"")</f>
        <v>0.3</v>
      </c>
      <c r="Q257" s="19"/>
      <c r="S257" s="94" t="str">
        <f t="shared" si="4"/>
        <v>Reactor, jacketed, agitated</v>
      </c>
      <c r="T257" s="11" t="str">
        <f ca="1">IFERROR(IF(INDEX(fnEquipLibRange,fnEquipRowNum,39)="","",INDEX(fnEquipLibRange,fnEquipRowNum,39)),"")</f>
        <v/>
      </c>
    </row>
    <row r="258" spans="2:20" hidden="1" outlineLevel="1">
      <c r="B258" s="16"/>
      <c r="C258" s="69" t="s">
        <v>546</v>
      </c>
      <c r="D258" s="70"/>
      <c r="E258" s="70" t="s">
        <v>1709</v>
      </c>
      <c r="F258" s="70">
        <v>1</v>
      </c>
      <c r="G258" s="130">
        <v>255</v>
      </c>
      <c r="H258" s="106" t="str">
        <f ca="1">IFERROR(VLOOKUP(C258,fnEquipLibRange,2,FALSE),"")</f>
        <v>Filtering area, ft2</v>
      </c>
      <c r="I258" s="100" t="str">
        <f ca="1">IF(ISBLANK(G258),"",IF(G258&lt;VLOOKUP(C258,fnEquipLibRange,3,FALSE),"&gt;&gt;&gt; Too Small &lt;&lt;&lt;",IF(G258&gt;VLOOKUP(C258,fnEquipLibRange,4,FALSE),"&gt;&gt;&gt; Too Large &lt;&lt;&lt;","Yes")))</f>
        <v>Yes</v>
      </c>
      <c r="J258" s="100"/>
      <c r="K258" s="101">
        <f ca="1">IF(F258*G258=0,"",IFERROR(IF(F258*G258*$D$234/$D$231&lt;VLOOKUP(C258,fnEquipLibRange,3,FALSE),MAX(1,F258),MAX(ROUNDUP(F258*G258*$D$234/$D$231/VLOOKUP(C258,fnEquipLibRange,4,FALSE),0),F258)),""))</f>
        <v>1</v>
      </c>
      <c r="L258" s="102">
        <f ca="1">IF(F258*G258=0,"",IFERROR(IF(F258*G258*$D$234/$D$231&lt;VLOOKUP(C258,fnEquipLibRange,3,FALSE),VLOOKUP(C258,fnEquipLibRange,3,FALSE),F258*G258*$D$234/$D$231/MAX(ROUNDUP(F258*G258*$D$234/$D$231/VLOOKUP(C258,fnEquipLibRange,4,FALSE),0),F258)),""))</f>
        <v>10</v>
      </c>
      <c r="M258" s="102"/>
      <c r="N258" s="103">
        <f ca="1">IF($K258="","",IFERROR($K258*fnEquipCostCorr*fnEquipCostIndex*fnEquipConstMaterial,""))</f>
        <v>137115.55073713537</v>
      </c>
      <c r="O258" s="104">
        <f ca="1">IFERROR(fnEquipInstFactor*N258,"")</f>
        <v>231725.28074575876</v>
      </c>
      <c r="P258" s="105">
        <f ca="1">IFERROR(fnEquipLaborFactor*K258,"")</f>
        <v>0.2</v>
      </c>
      <c r="Q258" s="19"/>
      <c r="S258" s="94" t="str">
        <f t="shared" si="4"/>
        <v>Filter, rotary-drum vacuum</v>
      </c>
      <c r="T258" s="11" t="str">
        <f ca="1">IFERROR(IF(INDEX(fnEquipLibRange,fnEquipRowNum,39)="","",INDEX(fnEquipLibRange,fnEquipRowNum,39)),"")</f>
        <v/>
      </c>
    </row>
    <row r="259" spans="2:20" hidden="1" outlineLevel="1">
      <c r="B259" s="16"/>
      <c r="C259" s="69" t="s">
        <v>1104</v>
      </c>
      <c r="D259" s="70"/>
      <c r="E259" s="70" t="str">
        <f ca="1">IFERROR(VLOOKUP(C259,fnEquipLibRange,16,FALSE),"")</f>
        <v>Carbon steel</v>
      </c>
      <c r="F259" s="70">
        <v>2</v>
      </c>
      <c r="G259" s="130">
        <v>1161.7100371747213</v>
      </c>
      <c r="H259" s="106" t="str">
        <f ca="1">IFERROR(VLOOKUP(C259,fnEquipLibRange,2,FALSE),"")</f>
        <v>Free tube surface area, m2</v>
      </c>
      <c r="I259" s="100" t="str">
        <f ca="1">IF(ISBLANK(G259),"",IF(G259&lt;VLOOKUP(C259,fnEquipLibRange,3,FALSE),"&gt;&gt;&gt; Too Small &lt;&lt;&lt;",IF(G259&gt;VLOOKUP(C259,fnEquipLibRange,4,FALSE),"&gt;&gt;&gt; Too Large &lt;&lt;&lt;","Yes")))</f>
        <v>Yes</v>
      </c>
      <c r="J259" s="100"/>
      <c r="K259" s="101">
        <f ca="1">IF(F259*G259=0,"",IFERROR(IF(F259*G259*$D$234/$D$231&lt;VLOOKUP(C259,fnEquipLibRange,3,FALSE),MAX(1,F259),MAX(ROUNDUP(F259*G259*$D$234/$D$231/VLOOKUP(C259,fnEquipLibRange,4,FALSE),0),F259)),""))</f>
        <v>2</v>
      </c>
      <c r="L259" s="102">
        <f ca="1">IF(F259*G259=0,"",IFERROR(IF(F259*G259*$D$234/$D$231&lt;VLOOKUP(C259,fnEquipLibRange,3,FALSE),VLOOKUP(C259,fnEquipLibRange,3,FALSE),F259*G259*$D$234/$D$231/MAX(ROUNDUP(F259*G259*$D$234/$D$231/VLOOKUP(C259,fnEquipLibRange,4,FALSE),0),F259)),""))</f>
        <v>350</v>
      </c>
      <c r="M259" s="102"/>
      <c r="N259" s="103">
        <f ca="1">IF($K259="","",IFERROR($K259*fnEquipCostCorr*fnEquipCostIndex*fnEquipConstMaterial,""))</f>
        <v>1466209.5575058749</v>
      </c>
      <c r="O259" s="104">
        <f ca="1">IFERROR(fnEquipInstFactor*N259,"")</f>
        <v>2404583.6743096346</v>
      </c>
      <c r="P259" s="105">
        <f ca="1">IFERROR(fnEquipLaborFactor*K259,"")</f>
        <v>1</v>
      </c>
      <c r="Q259" s="19"/>
      <c r="S259" s="94" t="str">
        <f t="shared" si="4"/>
        <v>Dryer, steam-tube 2.4 m diameter, 350-1200 m2  (Perry's)</v>
      </c>
      <c r="T259" s="11" t="str">
        <f ca="1">IFERROR(IF(INDEX(fnEquipLibRange,fnEquipRowNum,39)="","",INDEX(fnEquipLibRange,fnEquipRowNum,39)),"")</f>
        <v>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v>
      </c>
    </row>
    <row r="260" spans="2:20" hidden="1" outlineLevel="1">
      <c r="B260" s="16"/>
      <c r="C260" s="69" t="s">
        <v>283</v>
      </c>
      <c r="D260" s="70"/>
      <c r="E260" s="70" t="str">
        <f ca="1">IFERROR(VLOOKUP(C260,fnEquipLibRange,16,FALSE),"")</f>
        <v>Carbon steel</v>
      </c>
      <c r="F260" s="70">
        <v>2</v>
      </c>
      <c r="G260" s="130">
        <v>1577</v>
      </c>
      <c r="H260" s="106" t="str">
        <f ca="1">IFERROR(VLOOKUP(C260,fnEquipLibRange,2,FALSE),"")</f>
        <v>flow, L/s</v>
      </c>
      <c r="I260" s="100" t="str">
        <f ca="1">IF(ISBLANK(G260),"",IF(G260&lt;VLOOKUP(C260,fnEquipLibRange,3,FALSE),"&gt;&gt;&gt; Too Small &lt;&lt;&lt;",IF(G260&gt;VLOOKUP(C260,fnEquipLibRange,4,FALSE),"&gt;&gt;&gt; Too Large &lt;&lt;&lt;","Yes")))</f>
        <v>Yes</v>
      </c>
      <c r="J260" s="100"/>
      <c r="K260" s="101">
        <f ca="1">IF(F260*G260=0,"",IFERROR(IF(F260*G260*$D$234/$D$231&lt;VLOOKUP(C260,fnEquipLibRange,3,FALSE),MAX(1,F260),MAX(ROUNDUP(F260*G260*$D$234/$D$231/VLOOKUP(C260,fnEquipLibRange,4,FALSE),0),F260)),""))</f>
        <v>2</v>
      </c>
      <c r="L260" s="102">
        <f ca="1">IF(F260*G260=0,"",IFERROR(IF(F260*G260*$D$234/$D$231&lt;VLOOKUP(C260,fnEquipLibRange,3,FALSE),VLOOKUP(C260,fnEquipLibRange,3,FALSE),F260*G260*$D$234/$D$231/MAX(ROUNDUP(F260*G260*$D$234/$D$231/VLOOKUP(C260,fnEquipLibRange,4,FALSE),0),F260)),""))</f>
        <v>100</v>
      </c>
      <c r="M260" s="102"/>
      <c r="N260" s="103">
        <f ca="1">IF($K260="","",IFERROR($K260*fnEquipCostCorr*fnEquipCostIndex*fnEquipConstMaterial,""))</f>
        <v>538027.54372579535</v>
      </c>
      <c r="O260" s="104">
        <f ca="1">IFERROR(fnEquipInstFactor*N260,"")</f>
        <v>645633.05247095437</v>
      </c>
      <c r="P260" s="105">
        <f ca="1">IFERROR(fnEquipLaborFactor*K260,"")</f>
        <v>1.2</v>
      </c>
      <c r="Q260" s="19"/>
      <c r="S260" s="94" t="str">
        <f t="shared" si="4"/>
        <v>Cooling tower w/ pumps, field assembled</v>
      </c>
      <c r="T260" s="11" t="str">
        <f ca="1">IFERROR(IF(INDEX(fnEquipLibRange,fnEquipRowNum,39)="","",INDEX(fnEquipLibRange,fnEquipRowNum,39)),"")</f>
        <v/>
      </c>
    </row>
    <row r="261" spans="2:20" hidden="1" outlineLevel="1">
      <c r="B261" s="16"/>
      <c r="C261" s="69" t="s">
        <v>272</v>
      </c>
      <c r="D261" s="70" t="s">
        <v>1814</v>
      </c>
      <c r="E261" s="70" t="str">
        <f ca="1">IFERROR(VLOOKUP(C261,fnEquipLibRange,16,FALSE),"")</f>
        <v>Carbon steel</v>
      </c>
      <c r="F261" s="70">
        <v>40</v>
      </c>
      <c r="G261" s="130">
        <v>20</v>
      </c>
      <c r="H261" s="106" t="str">
        <f ca="1">IFERROR(VLOOKUP(C261,fnEquipLibRange,2,FALSE),"")</f>
        <v>flow, L/s</v>
      </c>
      <c r="I261" s="100" t="str">
        <f ca="1">IF(ISBLANK(G261),"",IF(G261&lt;VLOOKUP(C261,fnEquipLibRange,3,FALSE),"&gt;&gt;&gt; Too Small &lt;&lt;&lt;",IF(G261&gt;VLOOKUP(C261,fnEquipLibRange,4,FALSE),"&gt;&gt;&gt; Too Large &lt;&lt;&lt;","Yes")))</f>
        <v>Yes</v>
      </c>
      <c r="J261" s="100"/>
      <c r="K261" s="101">
        <f ca="1">IF(F261*G261=0,"",IFERROR(IF(F261*G261*$D$234/$D$231&lt;VLOOKUP(C261,fnEquipLibRange,3,FALSE),MAX(1,F261),MAX(ROUNDUP(F261*G261*$D$234/$D$231/VLOOKUP(C261,fnEquipLibRange,4,FALSE),0),F261)),""))</f>
        <v>40</v>
      </c>
      <c r="L261" s="102">
        <f ca="1">IF(F261*G261=0,"",IFERROR(IF(F261*G261*$D$234/$D$231&lt;VLOOKUP(C261,fnEquipLibRange,3,FALSE),VLOOKUP(C261,fnEquipLibRange,3,FALSE),F261*G261*$D$234/$D$231/MAX(ROUNDUP(F261*G261*$D$234/$D$231/VLOOKUP(C261,fnEquipLibRange,4,FALSE),0),F261)),""))</f>
        <v>0.2</v>
      </c>
      <c r="M261" s="102"/>
      <c r="N261" s="103">
        <f ca="1">IF($K261="","",IFERROR($K261*fnEquipCostCorr*fnEquipCostIndex*fnEquipConstMaterial,""))</f>
        <v>327576.80404658266</v>
      </c>
      <c r="O261" s="104">
        <f ca="1">IFERROR(fnEquipInstFactor*N261,"")</f>
        <v>425849.84526055749</v>
      </c>
      <c r="P261" s="105">
        <f ca="1">IFERROR(fnEquipLaborFactor*K261,"")</f>
        <v>0</v>
      </c>
      <c r="Q261" s="19"/>
      <c r="S261" s="94" t="str">
        <f t="shared" si="4"/>
        <v>Pump, single stage centrifugal</v>
      </c>
      <c r="T261" s="11" t="str">
        <f ca="1">IFERROR(IF(INDEX(fnEquipLibRange,fnEquipRowNum,39)="","",INDEX(fnEquipLibRange,fnEquipRowNum,39)),"")</f>
        <v/>
      </c>
    </row>
    <row r="262" spans="2:20" hidden="1" outlineLevel="1">
      <c r="B262" s="16"/>
      <c r="C262" s="69" t="s">
        <v>640</v>
      </c>
      <c r="D262" s="70" t="s">
        <v>1814</v>
      </c>
      <c r="E262" s="70" t="str">
        <f ca="1">IFERROR(VLOOKUP(C262,fnEquipLibRange,16,FALSE),"")</f>
        <v>Aluminum</v>
      </c>
      <c r="F262" s="70">
        <v>20</v>
      </c>
      <c r="G262" s="130">
        <v>400</v>
      </c>
      <c r="H262" s="106" t="str">
        <f ca="1">IFERROR(VLOOKUP(C262,fnEquipLibRange,2,FALSE),"")</f>
        <v>Brake horsepower</v>
      </c>
      <c r="I262" s="100" t="str">
        <f ca="1">IF(ISBLANK(G262),"",IF(G262&lt;VLOOKUP(C262,fnEquipLibRange,3,FALSE),"&gt;&gt;&gt; Too Small &lt;&lt;&lt;",IF(G262&gt;VLOOKUP(C262,fnEquipLibRange,4,FALSE),"&gt;&gt;&gt; Too Large &lt;&lt;&lt;","Yes")))</f>
        <v>Yes</v>
      </c>
      <c r="J262" s="100"/>
      <c r="K262" s="101">
        <f ca="1">IF(F262*G262=0,"",IFERROR(IF(F262*G262*$D$234/$D$231&lt;VLOOKUP(C262,fnEquipLibRange,3,FALSE),MAX(1,F262),MAX(ROUNDUP(F262*G262*$D$234/$D$231/VLOOKUP(C262,fnEquipLibRange,4,FALSE),0),F262)),""))</f>
        <v>20</v>
      </c>
      <c r="L262" s="102">
        <f ca="1">IF(F262*G262=0,"",IFERROR(IF(F262*G262*$D$234/$D$231&lt;VLOOKUP(C262,fnEquipLibRange,3,FALSE),VLOOKUP(C262,fnEquipLibRange,3,FALSE),F262*G262*$D$234/$D$231/MAX(ROUNDUP(F262*G262*$D$234/$D$231/VLOOKUP(C262,fnEquipLibRange,4,FALSE),0),F262)),""))</f>
        <v>5</v>
      </c>
      <c r="M262" s="102"/>
      <c r="N262" s="103">
        <f ca="1">IF($K262="","",IFERROR($K262*fnEquipCostCorr*fnEquipCostIndex*fnEquipConstMaterial,""))</f>
        <v>45679.990645520309</v>
      </c>
      <c r="O262" s="104">
        <f ca="1">IFERROR(fnEquipInstFactor*N262,"")</f>
        <v>68063.186061825254</v>
      </c>
      <c r="P262" s="105">
        <f ca="1">IFERROR(fnEquipLaborFactor*K262,"")</f>
        <v>2</v>
      </c>
      <c r="Q262" s="19"/>
      <c r="S262" s="94" t="str">
        <f t="shared" si="4"/>
        <v>Blower, centrifugal (turbo)</v>
      </c>
      <c r="T262" s="11" t="str">
        <f ca="1">IFERROR(IF(INDEX(fnEquipLibRange,fnEquipRowNum,39)="","",INDEX(fnEquipLibRange,fnEquipRowNum,39)),"")</f>
        <v>Includes drive and electric motor; cast iron housing; a "blower" may operate at any suction pressure and applies to compression ratios of up to 2</v>
      </c>
    </row>
    <row r="263" spans="2:20" hidden="1" outlineLevel="1">
      <c r="B263" s="16"/>
      <c r="C263" s="69" t="s">
        <v>760</v>
      </c>
      <c r="D263" s="70" t="s">
        <v>1814</v>
      </c>
      <c r="E263" s="70" t="str">
        <f ca="1">IFERROR(VLOOKUP(C263,fnEquipLibRange,16,FALSE),"")</f>
        <v>Carbon steel</v>
      </c>
      <c r="F263" s="70">
        <v>10</v>
      </c>
      <c r="G263" s="130">
        <v>3000</v>
      </c>
      <c r="H263" s="106" t="str">
        <f ca="1">IFERROR(VLOOKUP(C263,fnEquipLibRange,2,FALSE),"")</f>
        <v>Volume, gal</v>
      </c>
      <c r="I263" s="100" t="str">
        <f ca="1">IF(ISBLANK(G263),"",IF(G263&lt;VLOOKUP(C263,fnEquipLibRange,3,FALSE),"&gt;&gt;&gt; Too Small &lt;&lt;&lt;",IF(G263&gt;VLOOKUP(C263,fnEquipLibRange,4,FALSE),"&gt;&gt;&gt; Too Large &lt;&lt;&lt;","Yes")))</f>
        <v>Yes</v>
      </c>
      <c r="J263" s="100"/>
      <c r="K263" s="101">
        <f ca="1">IF(F263*G263=0,"",IFERROR(IF(F263*G263*$D$234/$D$231&lt;VLOOKUP(C263,fnEquipLibRange,3,FALSE),MAX(1,F263),MAX(ROUNDUP(F263*G263*$D$234/$D$231/VLOOKUP(C263,fnEquipLibRange,4,FALSE),0),F263)),""))</f>
        <v>10</v>
      </c>
      <c r="L263" s="102">
        <f ca="1">IF(F263*G263=0,"",IFERROR(IF(F263*G263*$D$234/$D$231&lt;VLOOKUP(C263,fnEquipLibRange,3,FALSE),VLOOKUP(C263,fnEquipLibRange,3,FALSE),F263*G263*$D$234/$D$231/MAX(ROUNDUP(F263*G263*$D$234/$D$231/VLOOKUP(C263,fnEquipLibRange,4,FALSE),0),F263)),""))</f>
        <v>1000</v>
      </c>
      <c r="M263" s="102"/>
      <c r="N263" s="103">
        <f ca="1">IF($K263="","",IFERROR($K263*fnEquipCostCorr*fnEquipCostIndex*fnEquipConstMaterial,""))</f>
        <v>87583.369764777308</v>
      </c>
      <c r="O263" s="104">
        <f ca="1">IFERROR(fnEquipInstFactor*N263,"")</f>
        <v>164656.73515778134</v>
      </c>
      <c r="P263" s="105">
        <f ca="1">IFERROR(fnEquipLaborFactor*K263,"")</f>
        <v>0</v>
      </c>
      <c r="Q263" s="19"/>
      <c r="S263" s="94" t="str">
        <f t="shared" si="4"/>
        <v>Tank, cone roof (Seider)</v>
      </c>
      <c r="T263" s="11" t="str">
        <f ca="1">IFERROR(IF(INDEX(fnEquipLibRange,fnEquipRowNum,39)="","",INDEX(fnEquipLibRange,fnEquipRowNum,39)),"")</f>
        <v>Carbon steel, pressure up to 3 psig</v>
      </c>
    </row>
    <row r="264" spans="2:20" hidden="1" outlineLevel="1">
      <c r="B264" s="16"/>
      <c r="C264" s="69" t="s">
        <v>760</v>
      </c>
      <c r="D264" s="70" t="s">
        <v>1814</v>
      </c>
      <c r="E264" s="70" t="str">
        <f ca="1">IFERROR(VLOOKUP(C264,fnEquipLibRange,16,FALSE),"")</f>
        <v>Carbon steel</v>
      </c>
      <c r="F264" s="70">
        <v>15</v>
      </c>
      <c r="G264" s="130">
        <v>150000</v>
      </c>
      <c r="H264" s="106" t="str">
        <f ca="1">IFERROR(VLOOKUP(C264,fnEquipLibRange,2,FALSE),"")</f>
        <v>Volume, gal</v>
      </c>
      <c r="I264" s="100" t="str">
        <f ca="1">IF(ISBLANK(G264),"",IF(G264&lt;VLOOKUP(C264,fnEquipLibRange,3,FALSE),"&gt;&gt;&gt; Too Small &lt;&lt;&lt;",IF(G264&gt;VLOOKUP(C264,fnEquipLibRange,4,FALSE),"&gt;&gt;&gt; Too Large &lt;&lt;&lt;","Yes")))</f>
        <v>Yes</v>
      </c>
      <c r="J264" s="100"/>
      <c r="K264" s="101">
        <f ca="1">IF(F264*G264=0,"",IFERROR(IF(F264*G264*$D$234/$D$231&lt;VLOOKUP(C264,fnEquipLibRange,3,FALSE),MAX(1,F264),MAX(ROUNDUP(F264*G264*$D$234/$D$231/VLOOKUP(C264,fnEquipLibRange,4,FALSE),0),F264)),""))</f>
        <v>15</v>
      </c>
      <c r="L264" s="102">
        <f ca="1">IF(F264*G264=0,"",IFERROR(IF(F264*G264*$D$234/$D$231&lt;VLOOKUP(C264,fnEquipLibRange,3,FALSE),VLOOKUP(C264,fnEquipLibRange,3,FALSE),F264*G264*$D$234/$D$231/MAX(ROUNDUP(F264*G264*$D$234/$D$231/VLOOKUP(C264,fnEquipLibRange,4,FALSE),0),F264)),""))</f>
        <v>1000</v>
      </c>
      <c r="M264" s="102"/>
      <c r="N264" s="103">
        <f ca="1">IF($K264="","",IFERROR($K264*fnEquipCostCorr*fnEquipCostIndex*fnEquipConstMaterial,""))</f>
        <v>131375.05464716593</v>
      </c>
      <c r="O264" s="104">
        <f ca="1">IFERROR(fnEquipInstFactor*N264,"")</f>
        <v>246985.10273667195</v>
      </c>
      <c r="P264" s="105">
        <f ca="1">IFERROR(fnEquipLaborFactor*K264,"")</f>
        <v>0</v>
      </c>
      <c r="Q264" s="19"/>
      <c r="S264" s="94" t="str">
        <f t="shared" si="4"/>
        <v>Tank, cone roof (Seider)</v>
      </c>
      <c r="T264" s="11" t="str">
        <f ca="1">IFERROR(IF(INDEX(fnEquipLibRange,fnEquipRowNum,39)="","",INDEX(fnEquipLibRange,fnEquipRowNum,39)),"")</f>
        <v>Carbon steel, pressure up to 3 psig</v>
      </c>
    </row>
    <row r="265" spans="2:20" hidden="1" outlineLevel="1">
      <c r="B265" s="16"/>
      <c r="C265" s="69"/>
      <c r="D265" s="70"/>
      <c r="E265" s="70" t="str">
        <f ca="1">IFERROR(VLOOKUP(C265,fnEquipLibRange,16,FALSE),"")</f>
        <v/>
      </c>
      <c r="F265" s="70"/>
      <c r="G265" s="130"/>
      <c r="H265" s="106" t="str">
        <f ca="1">IFERROR(VLOOKUP(C265,fnEquipLibRange,2,FALSE),"")</f>
        <v/>
      </c>
      <c r="I265" s="100" t="str">
        <f>IF(ISBLANK(G265),"",IF(G265&lt;VLOOKUP(C265,fnEquipLibRange,3,FALSE),"&gt;&gt;&gt; Too Small &lt;&lt;&lt;",IF(G265&gt;VLOOKUP(C265,fnEquipLibRange,4,FALSE),"&gt;&gt;&gt; Too Large &lt;&lt;&lt;","Yes")))</f>
        <v/>
      </c>
      <c r="J265" s="100"/>
      <c r="K265" s="101" t="str">
        <f>IF(F265*G265=0,"",IFERROR(IF(F265*G265*$D$234/$D$231&lt;VLOOKUP(C265,fnEquipLibRange,3,FALSE),MAX(1,F265),MAX(ROUNDUP(F265*G265*$D$234/$D$231/VLOOKUP(C265,fnEquipLibRange,4,FALSE),0),F265)),""))</f>
        <v/>
      </c>
      <c r="L265" s="102" t="str">
        <f>IF(F265*G265=0,"",IFERROR(IF(F265*G265*$D$234/$D$231&lt;VLOOKUP(C265,fnEquipLibRange,3,FALSE),VLOOKUP(C265,fnEquipLibRange,3,FALSE),F265*G265*$D$234/$D$231/MAX(ROUNDUP(F265*G265*$D$234/$D$231/VLOOKUP(C265,fnEquipLibRange,4,FALSE),0),F265)),""))</f>
        <v/>
      </c>
      <c r="M265" s="102"/>
      <c r="N265" s="103" t="str">
        <f>IF($K265="","",IFERROR($K265*fnEquipCostCorr*fnEquipCostIndex*fnEquipConstMaterial,""))</f>
        <v/>
      </c>
      <c r="O265" s="104" t="str">
        <f ca="1">IFERROR(fnEquipInstFactor*N265,"")</f>
        <v/>
      </c>
      <c r="P265" s="105" t="str">
        <f ca="1">IFERROR(fnEquipLaborFactor*K265,"")</f>
        <v/>
      </c>
      <c r="Q265" s="19"/>
      <c r="S265" s="94" t="str">
        <f t="shared" si="4"/>
        <v/>
      </c>
      <c r="T265" s="11" t="str">
        <f ca="1">IFERROR(IF(INDEX(fnEquipLibRange,fnEquipRowNum,39)="","",INDEX(fnEquipLibRange,fnEquipRowNum,39)),"")</f>
        <v/>
      </c>
    </row>
    <row r="266" spans="2:20" hidden="1" outlineLevel="1">
      <c r="B266" s="16"/>
      <c r="C266" s="69"/>
      <c r="D266" s="70"/>
      <c r="E266" s="70" t="str">
        <f ca="1">IFERROR(VLOOKUP(C266,fnEquipLibRange,16,FALSE),"")</f>
        <v/>
      </c>
      <c r="F266" s="70"/>
      <c r="G266" s="130"/>
      <c r="H266" s="106" t="str">
        <f ca="1">IFERROR(VLOOKUP(C266,fnEquipLibRange,2,FALSE),"")</f>
        <v/>
      </c>
      <c r="I266" s="100" t="str">
        <f>IF(ISBLANK(G266),"",IF(G266&lt;VLOOKUP(C266,fnEquipLibRange,3,FALSE),"&gt;&gt;&gt; Too Small &lt;&lt;&lt;",IF(G266&gt;VLOOKUP(C266,fnEquipLibRange,4,FALSE),"&gt;&gt;&gt; Too Large &lt;&lt;&lt;","Yes")))</f>
        <v/>
      </c>
      <c r="J266" s="100"/>
      <c r="K266" s="101" t="str">
        <f>IF(F266*G266=0,"",IFERROR(IF(F266*G266*$D$234/$D$231&lt;VLOOKUP(C266,fnEquipLibRange,3,FALSE),MAX(1,F266),MAX(ROUNDUP(F266*G266*$D$234/$D$231/VLOOKUP(C266,fnEquipLibRange,4,FALSE),0),F266)),""))</f>
        <v/>
      </c>
      <c r="L266" s="102" t="str">
        <f>IF(F266*G266=0,"",IFERROR(IF(F266*G266*$D$234/$D$231&lt;VLOOKUP(C266,fnEquipLibRange,3,FALSE),VLOOKUP(C266,fnEquipLibRange,3,FALSE),F266*G266*$D$234/$D$231/MAX(ROUNDUP(F266*G266*$D$234/$D$231/VLOOKUP(C266,fnEquipLibRange,4,FALSE),0),F266)),""))</f>
        <v/>
      </c>
      <c r="M266" s="102"/>
      <c r="N266" s="103" t="str">
        <f>IF($K266="","",IFERROR($K266*fnEquipCostCorr*fnEquipCostIndex*fnEquipConstMaterial,""))</f>
        <v/>
      </c>
      <c r="O266" s="104" t="str">
        <f ca="1">IFERROR(fnEquipInstFactor*N266,"")</f>
        <v/>
      </c>
      <c r="P266" s="105" t="str">
        <f ca="1">IFERROR(fnEquipLaborFactor*K266,"")</f>
        <v/>
      </c>
      <c r="Q266" s="19"/>
      <c r="S266" s="94" t="str">
        <f t="shared" si="4"/>
        <v/>
      </c>
      <c r="T266" s="11" t="str">
        <f ca="1">IFERROR(IF(INDEX(fnEquipLibRange,fnEquipRowNum,39)="","",INDEX(fnEquipLibRange,fnEquipRowNum,39)),"")</f>
        <v/>
      </c>
    </row>
    <row r="267" spans="2:20" hidden="1" outlineLevel="1">
      <c r="B267" s="16"/>
      <c r="C267" s="69"/>
      <c r="D267" s="70"/>
      <c r="E267" s="70" t="str">
        <f ca="1">IFERROR(VLOOKUP(C267,fnEquipLibRange,16,FALSE),"")</f>
        <v/>
      </c>
      <c r="F267" s="70"/>
      <c r="G267" s="130"/>
      <c r="H267" s="106" t="str">
        <f ca="1">IFERROR(VLOOKUP(C267,fnEquipLibRange,2,FALSE),"")</f>
        <v/>
      </c>
      <c r="I267" s="100" t="str">
        <f>IF(ISBLANK(G267),"",IF(G267&lt;VLOOKUP(C267,fnEquipLibRange,3,FALSE),"&gt;&gt;&gt; Too Small &lt;&lt;&lt;",IF(G267&gt;VLOOKUP(C267,fnEquipLibRange,4,FALSE),"&gt;&gt;&gt; Too Large &lt;&lt;&lt;","Yes")))</f>
        <v/>
      </c>
      <c r="J267" s="100"/>
      <c r="K267" s="101" t="str">
        <f>IF(F267*G267=0,"",IFERROR(IF(F267*G267*$D$234/$D$231&lt;VLOOKUP(C267,fnEquipLibRange,3,FALSE),MAX(1,F267),MAX(ROUNDUP(F267*G267*$D$234/$D$231/VLOOKUP(C267,fnEquipLibRange,4,FALSE),0),F267)),""))</f>
        <v/>
      </c>
      <c r="L267" s="102" t="str">
        <f>IF(F267*G267=0,"",IFERROR(IF(F267*G267*$D$234/$D$231&lt;VLOOKUP(C267,fnEquipLibRange,3,FALSE),VLOOKUP(C267,fnEquipLibRange,3,FALSE),F267*G267*$D$234/$D$231/MAX(ROUNDUP(F267*G267*$D$234/$D$231/VLOOKUP(C267,fnEquipLibRange,4,FALSE),0),F267)),""))</f>
        <v/>
      </c>
      <c r="M267" s="102"/>
      <c r="N267" s="103" t="str">
        <f>IF($K267="","",IFERROR($K267*fnEquipCostCorr*fnEquipCostIndex*fnEquipConstMaterial,""))</f>
        <v/>
      </c>
      <c r="O267" s="104" t="str">
        <f ca="1">IFERROR(fnEquipInstFactor*N267,"")</f>
        <v/>
      </c>
      <c r="P267" s="105" t="str">
        <f ca="1">IFERROR(fnEquipLaborFactor*K267,"")</f>
        <v/>
      </c>
      <c r="Q267" s="19"/>
      <c r="S267" s="94" t="str">
        <f t="shared" si="4"/>
        <v/>
      </c>
      <c r="T267" s="11" t="str">
        <f ca="1">IFERROR(IF(INDEX(fnEquipLibRange,fnEquipRowNum,39)="","",INDEX(fnEquipLibRange,fnEquipRowNum,39)),"")</f>
        <v/>
      </c>
    </row>
    <row r="268" spans="2:20" hidden="1" outlineLevel="1">
      <c r="B268" s="16"/>
      <c r="C268" s="69"/>
      <c r="D268" s="70"/>
      <c r="E268" s="70" t="str">
        <f ca="1">IFERROR(VLOOKUP(C268,fnEquipLibRange,16,FALSE),"")</f>
        <v/>
      </c>
      <c r="F268" s="70"/>
      <c r="G268" s="130"/>
      <c r="H268" s="106" t="str">
        <f ca="1">IFERROR(VLOOKUP(C268,fnEquipLibRange,2,FALSE),"")</f>
        <v/>
      </c>
      <c r="I268" s="100" t="str">
        <f>IF(ISBLANK(G268),"",IF(G268&lt;VLOOKUP(C268,fnEquipLibRange,3,FALSE),"&gt;&gt;&gt; Too Small &lt;&lt;&lt;",IF(G268&gt;VLOOKUP(C268,fnEquipLibRange,4,FALSE),"&gt;&gt;&gt; Too Large &lt;&lt;&lt;","Yes")))</f>
        <v/>
      </c>
      <c r="J268" s="100"/>
      <c r="K268" s="101" t="str">
        <f>IF(F268*G268=0,"",IFERROR(IF(F268*G268*$D$234/$D$231&lt;VLOOKUP(C268,fnEquipLibRange,3,FALSE),MAX(1,F268),MAX(ROUNDUP(F268*G268*$D$234/$D$231/VLOOKUP(C268,fnEquipLibRange,4,FALSE),0),F268)),""))</f>
        <v/>
      </c>
      <c r="L268" s="102" t="str">
        <f>IF(F268*G268=0,"",IFERROR(IF(F268*G268*$D$234/$D$231&lt;VLOOKUP(C268,fnEquipLibRange,3,FALSE),VLOOKUP(C268,fnEquipLibRange,3,FALSE),F268*G268*$D$234/$D$231/MAX(ROUNDUP(F268*G268*$D$234/$D$231/VLOOKUP(C268,fnEquipLibRange,4,FALSE),0),F268)),""))</f>
        <v/>
      </c>
      <c r="M268" s="102"/>
      <c r="N268" s="103" t="str">
        <f>IF($K268="","",IFERROR($K268*fnEquipCostCorr*fnEquipCostIndex*fnEquipConstMaterial,""))</f>
        <v/>
      </c>
      <c r="O268" s="104" t="str">
        <f ca="1">IFERROR(fnEquipInstFactor*N268,"")</f>
        <v/>
      </c>
      <c r="P268" s="105" t="str">
        <f ca="1">IFERROR(fnEquipLaborFactor*K268,"")</f>
        <v/>
      </c>
      <c r="Q268" s="19"/>
      <c r="S268" s="94" t="str">
        <f t="shared" si="4"/>
        <v/>
      </c>
      <c r="T268" s="11" t="str">
        <f ca="1">IFERROR(IF(INDEX(fnEquipLibRange,fnEquipRowNum,39)="","",INDEX(fnEquipLibRange,fnEquipRowNum,39)),"")</f>
        <v/>
      </c>
    </row>
    <row r="269" spans="2:20" hidden="1" outlineLevel="1">
      <c r="B269" s="16"/>
      <c r="C269" s="69"/>
      <c r="D269" s="70"/>
      <c r="E269" s="70" t="str">
        <f ca="1">IFERROR(VLOOKUP(C269,fnEquipLibRange,16,FALSE),"")</f>
        <v/>
      </c>
      <c r="F269" s="70"/>
      <c r="G269" s="130"/>
      <c r="H269" s="106" t="str">
        <f ca="1">IFERROR(VLOOKUP(C269,fnEquipLibRange,2,FALSE),"")</f>
        <v/>
      </c>
      <c r="I269" s="100" t="str">
        <f>IF(ISBLANK(G269),"",IF(G269&lt;VLOOKUP(C269,fnEquipLibRange,3,FALSE),"&gt;&gt;&gt; Too Small &lt;&lt;&lt;",IF(G269&gt;VLOOKUP(C269,fnEquipLibRange,4,FALSE),"&gt;&gt;&gt; Too Large &lt;&lt;&lt;","Yes")))</f>
        <v/>
      </c>
      <c r="J269" s="100"/>
      <c r="K269" s="101" t="str">
        <f>IF(F269*G269=0,"",IFERROR(IF(F269*G269*$D$234/$D$231&lt;VLOOKUP(C269,fnEquipLibRange,3,FALSE),MAX(1,F269),MAX(ROUNDUP(F269*G269*$D$234/$D$231/VLOOKUP(C269,fnEquipLibRange,4,FALSE),0),F269)),""))</f>
        <v/>
      </c>
      <c r="L269" s="102" t="str">
        <f>IF(F269*G269=0,"",IFERROR(IF(F269*G269*$D$234/$D$231&lt;VLOOKUP(C269,fnEquipLibRange,3,FALSE),VLOOKUP(C269,fnEquipLibRange,3,FALSE),F269*G269*$D$234/$D$231/MAX(ROUNDUP(F269*G269*$D$234/$D$231/VLOOKUP(C269,fnEquipLibRange,4,FALSE),0),F269)),""))</f>
        <v/>
      </c>
      <c r="M269" s="102"/>
      <c r="N269" s="103" t="str">
        <f>IF($K269="","",IFERROR($K269*fnEquipCostCorr*fnEquipCostIndex*fnEquipConstMaterial,""))</f>
        <v/>
      </c>
      <c r="O269" s="104" t="str">
        <f ca="1">IFERROR(fnEquipInstFactor*N269,"")</f>
        <v/>
      </c>
      <c r="P269" s="105" t="str">
        <f ca="1">IFERROR(fnEquipLaborFactor*K269,"")</f>
        <v/>
      </c>
      <c r="Q269" s="19"/>
      <c r="S269" s="94" t="str">
        <f t="shared" si="4"/>
        <v/>
      </c>
      <c r="T269" s="11" t="str">
        <f ca="1">IFERROR(IF(INDEX(fnEquipLibRange,fnEquipRowNum,39)="","",INDEX(fnEquipLibRange,fnEquipRowNum,39)),"")</f>
        <v/>
      </c>
    </row>
    <row r="270" spans="2:20" hidden="1" outlineLevel="1">
      <c r="B270" s="16"/>
      <c r="C270" s="69"/>
      <c r="D270" s="70"/>
      <c r="E270" s="70" t="str">
        <f ca="1">IFERROR(VLOOKUP(C270,fnEquipLibRange,16,FALSE),"")</f>
        <v/>
      </c>
      <c r="F270" s="70"/>
      <c r="G270" s="130"/>
      <c r="H270" s="106" t="str">
        <f ca="1">IFERROR(VLOOKUP(C270,fnEquipLibRange,2,FALSE),"")</f>
        <v/>
      </c>
      <c r="I270" s="100" t="str">
        <f>IF(ISBLANK(G270),"",IF(G270&lt;VLOOKUP(C270,fnEquipLibRange,3,FALSE),"&gt;&gt;&gt; Too Small &lt;&lt;&lt;",IF(G270&gt;VLOOKUP(C270,fnEquipLibRange,4,FALSE),"&gt;&gt;&gt; Too Large &lt;&lt;&lt;","Yes")))</f>
        <v/>
      </c>
      <c r="J270" s="100"/>
      <c r="K270" s="101" t="str">
        <f>IF(F270*G270=0,"",IFERROR(IF(F270*G270*$D$234/$D$231&lt;VLOOKUP(C270,fnEquipLibRange,3,FALSE),MAX(1,F270),MAX(ROUNDUP(F270*G270*$D$234/$D$231/VLOOKUP(C270,fnEquipLibRange,4,FALSE),0),F270)),""))</f>
        <v/>
      </c>
      <c r="L270" s="102" t="str">
        <f>IF(F270*G270=0,"",IFERROR(IF(F270*G270*$D$234/$D$231&lt;VLOOKUP(C270,fnEquipLibRange,3,FALSE),VLOOKUP(C270,fnEquipLibRange,3,FALSE),F270*G270*$D$234/$D$231/MAX(ROUNDUP(F270*G270*$D$234/$D$231/VLOOKUP(C270,fnEquipLibRange,4,FALSE),0),F270)),""))</f>
        <v/>
      </c>
      <c r="M270" s="102"/>
      <c r="N270" s="103" t="str">
        <f>IF($K270="","",IFERROR($K270*fnEquipCostCorr*fnEquipCostIndex*fnEquipConstMaterial,""))</f>
        <v/>
      </c>
      <c r="O270" s="104" t="str">
        <f ca="1">IFERROR(fnEquipInstFactor*N270,"")</f>
        <v/>
      </c>
      <c r="P270" s="105" t="str">
        <f ca="1">IFERROR(fnEquipLaborFactor*K270,"")</f>
        <v/>
      </c>
      <c r="Q270" s="19"/>
      <c r="S270" s="94" t="str">
        <f t="shared" si="4"/>
        <v/>
      </c>
      <c r="T270" s="11" t="str">
        <f ca="1">IFERROR(IF(INDEX(fnEquipLibRange,fnEquipRowNum,39)="","",INDEX(fnEquipLibRange,fnEquipRowNum,39)),"")</f>
        <v/>
      </c>
    </row>
    <row r="271" spans="2:20" hidden="1" outlineLevel="1">
      <c r="B271" s="16"/>
      <c r="C271" s="69"/>
      <c r="D271" s="70"/>
      <c r="E271" s="70" t="str">
        <f ca="1">IFERROR(VLOOKUP(C271,fnEquipLibRange,16,FALSE),"")</f>
        <v/>
      </c>
      <c r="F271" s="70"/>
      <c r="G271" s="130"/>
      <c r="H271" s="106" t="str">
        <f ca="1">IFERROR(VLOOKUP(C271,fnEquipLibRange,2,FALSE),"")</f>
        <v/>
      </c>
      <c r="I271" s="100" t="str">
        <f>IF(ISBLANK(G271),"",IF(G271&lt;VLOOKUP(C271,fnEquipLibRange,3,FALSE),"&gt;&gt;&gt; Too Small &lt;&lt;&lt;",IF(G271&gt;VLOOKUP(C271,fnEquipLibRange,4,FALSE),"&gt;&gt;&gt; Too Large &lt;&lt;&lt;","Yes")))</f>
        <v/>
      </c>
      <c r="J271" s="100"/>
      <c r="K271" s="101" t="str">
        <f>IF(F271*G271=0,"",IFERROR(IF(F271*G271*$D$234/$D$231&lt;VLOOKUP(C271,fnEquipLibRange,3,FALSE),MAX(1,F271),MAX(ROUNDUP(F271*G271*$D$234/$D$231/VLOOKUP(C271,fnEquipLibRange,4,FALSE),0),F271)),""))</f>
        <v/>
      </c>
      <c r="L271" s="102" t="str">
        <f>IF(F271*G271=0,"",IFERROR(IF(F271*G271*$D$234/$D$231&lt;VLOOKUP(C271,fnEquipLibRange,3,FALSE),VLOOKUP(C271,fnEquipLibRange,3,FALSE),F271*G271*$D$234/$D$231/MAX(ROUNDUP(F271*G271*$D$234/$D$231/VLOOKUP(C271,fnEquipLibRange,4,FALSE),0),F271)),""))</f>
        <v/>
      </c>
      <c r="M271" s="102"/>
      <c r="N271" s="103" t="str">
        <f>IF($K271="","",IFERROR($K271*fnEquipCostCorr*fnEquipCostIndex*fnEquipConstMaterial,""))</f>
        <v/>
      </c>
      <c r="O271" s="104" t="str">
        <f ca="1">IFERROR(fnEquipInstFactor*N271,"")</f>
        <v/>
      </c>
      <c r="P271" s="105" t="str">
        <f ca="1">IFERROR(fnEquipLaborFactor*K271,"")</f>
        <v/>
      </c>
      <c r="Q271" s="19"/>
      <c r="S271" s="94" t="str">
        <f t="shared" si="4"/>
        <v/>
      </c>
      <c r="T271" s="11" t="str">
        <f ca="1">IFERROR(IF(INDEX(fnEquipLibRange,fnEquipRowNum,39)="","",INDEX(fnEquipLibRange,fnEquipRowNum,39)),"")</f>
        <v/>
      </c>
    </row>
    <row r="272" spans="2:20" hidden="1" outlineLevel="1">
      <c r="B272" s="16"/>
      <c r="C272" s="69"/>
      <c r="D272" s="70"/>
      <c r="E272" s="70" t="str">
        <f ca="1">IFERROR(VLOOKUP(C272,fnEquipLibRange,16,FALSE),"")</f>
        <v/>
      </c>
      <c r="F272" s="70"/>
      <c r="G272" s="130"/>
      <c r="H272" s="106" t="str">
        <f ca="1">IFERROR(VLOOKUP(C272,fnEquipLibRange,2,FALSE),"")</f>
        <v/>
      </c>
      <c r="I272" s="100" t="str">
        <f>IF(ISBLANK(G272),"",IF(G272&lt;VLOOKUP(C272,fnEquipLibRange,3,FALSE),"&gt;&gt;&gt; Too Small &lt;&lt;&lt;",IF(G272&gt;VLOOKUP(C272,fnEquipLibRange,4,FALSE),"&gt;&gt;&gt; Too Large &lt;&lt;&lt;","Yes")))</f>
        <v/>
      </c>
      <c r="J272" s="100"/>
      <c r="K272" s="101" t="str">
        <f>IF(F272*G272=0,"",IFERROR(IF(F272*G272*$D$234/$D$231&lt;VLOOKUP(C272,fnEquipLibRange,3,FALSE),MAX(1,F272),MAX(ROUNDUP(F272*G272*$D$234/$D$231/VLOOKUP(C272,fnEquipLibRange,4,FALSE),0),F272)),""))</f>
        <v/>
      </c>
      <c r="L272" s="102" t="str">
        <f>IF(F272*G272=0,"",IFERROR(IF(F272*G272*$D$234/$D$231&lt;VLOOKUP(C272,fnEquipLibRange,3,FALSE),VLOOKUP(C272,fnEquipLibRange,3,FALSE),F272*G272*$D$234/$D$231/MAX(ROUNDUP(F272*G272*$D$234/$D$231/VLOOKUP(C272,fnEquipLibRange,4,FALSE),0),F272)),""))</f>
        <v/>
      </c>
      <c r="M272" s="102"/>
      <c r="N272" s="103" t="str">
        <f>IF($K272="","",IFERROR($K272*fnEquipCostCorr*fnEquipCostIndex*fnEquipConstMaterial,""))</f>
        <v/>
      </c>
      <c r="O272" s="104" t="str">
        <f ca="1">IFERROR(fnEquipInstFactor*N272,"")</f>
        <v/>
      </c>
      <c r="P272" s="105" t="str">
        <f ca="1">IFERROR(fnEquipLaborFactor*K272,"")</f>
        <v/>
      </c>
      <c r="Q272" s="19"/>
      <c r="S272" s="94" t="str">
        <f t="shared" si="4"/>
        <v/>
      </c>
      <c r="T272" s="11" t="str">
        <f ca="1">IFERROR(IF(INDEX(fnEquipLibRange,fnEquipRowNum,39)="","",INDEX(fnEquipLibRange,fnEquipRowNum,39)),"")</f>
        <v/>
      </c>
    </row>
    <row r="273" spans="1:20" hidden="1" outlineLevel="1">
      <c r="B273" s="16"/>
      <c r="C273" s="69"/>
      <c r="D273" s="70"/>
      <c r="E273" s="70" t="str">
        <f ca="1">IFERROR(VLOOKUP(C273,fnEquipLibRange,16,FALSE),"")</f>
        <v/>
      </c>
      <c r="F273" s="70"/>
      <c r="G273" s="130"/>
      <c r="H273" s="106" t="str">
        <f ca="1">IFERROR(VLOOKUP(C273,fnEquipLibRange,2,FALSE),"")</f>
        <v/>
      </c>
      <c r="I273" s="100" t="str">
        <f>IF(ISBLANK(G273),"",IF(G273&lt;VLOOKUP(C273,fnEquipLibRange,3,FALSE),"&gt;&gt;&gt; Too Small &lt;&lt;&lt;",IF(G273&gt;VLOOKUP(C273,fnEquipLibRange,4,FALSE),"&gt;&gt;&gt; Too Large &lt;&lt;&lt;","Yes")))</f>
        <v/>
      </c>
      <c r="J273" s="100"/>
      <c r="K273" s="101" t="str">
        <f>IF(F273*G273=0,"",IFERROR(IF(F273*G273*$D$234/$D$231&lt;VLOOKUP(C273,fnEquipLibRange,3,FALSE),MAX(1,F273),MAX(ROUNDUP(F273*G273*$D$234/$D$231/VLOOKUP(C273,fnEquipLibRange,4,FALSE),0),F273)),""))</f>
        <v/>
      </c>
      <c r="L273" s="102" t="str">
        <f>IF(F273*G273=0,"",IFERROR(IF(F273*G273*$D$234/$D$231&lt;VLOOKUP(C273,fnEquipLibRange,3,FALSE),VLOOKUP(C273,fnEquipLibRange,3,FALSE),F273*G273*$D$234/$D$231/MAX(ROUNDUP(F273*G273*$D$234/$D$231/VLOOKUP(C273,fnEquipLibRange,4,FALSE),0),F273)),""))</f>
        <v/>
      </c>
      <c r="M273" s="102"/>
      <c r="N273" s="103" t="str">
        <f>IF($K273="","",IFERROR($K273*fnEquipCostCorr*fnEquipCostIndex*fnEquipConstMaterial,""))</f>
        <v/>
      </c>
      <c r="O273" s="104" t="str">
        <f ca="1">IFERROR(fnEquipInstFactor*N273,"")</f>
        <v/>
      </c>
      <c r="P273" s="105" t="str">
        <f ca="1">IFERROR(fnEquipLaborFactor*K273,"")</f>
        <v/>
      </c>
      <c r="Q273" s="19"/>
      <c r="S273" s="94" t="str">
        <f t="shared" si="4"/>
        <v/>
      </c>
      <c r="T273" s="11" t="str">
        <f ca="1">IFERROR(IF(INDEX(fnEquipLibRange,fnEquipRowNum,39)="","",INDEX(fnEquipLibRange,fnEquipRowNum,39)),"")</f>
        <v/>
      </c>
    </row>
    <row r="274" spans="1:20" hidden="1" outlineLevel="1">
      <c r="B274" s="16"/>
      <c r="C274" s="69"/>
      <c r="D274" s="70"/>
      <c r="E274" s="70" t="str">
        <f ca="1">IFERROR(VLOOKUP(C274,fnEquipLibRange,16,FALSE),"")</f>
        <v/>
      </c>
      <c r="F274" s="70"/>
      <c r="G274" s="130"/>
      <c r="H274" s="106" t="str">
        <f ca="1">IFERROR(VLOOKUP(C274,fnEquipLibRange,2,FALSE),"")</f>
        <v/>
      </c>
      <c r="I274" s="100" t="str">
        <f>IF(ISBLANK(G274),"",IF(G274&lt;VLOOKUP(C274,fnEquipLibRange,3,FALSE),"&gt;&gt;&gt; Too Small &lt;&lt;&lt;",IF(G274&gt;VLOOKUP(C274,fnEquipLibRange,4,FALSE),"&gt;&gt;&gt; Too Large &lt;&lt;&lt;","Yes")))</f>
        <v/>
      </c>
      <c r="J274" s="100"/>
      <c r="K274" s="101" t="str">
        <f>IF(F274*G274=0,"",IFERROR(IF(F274*G274*$D$234/$D$231&lt;VLOOKUP(C274,fnEquipLibRange,3,FALSE),MAX(1,F274),MAX(ROUNDUP(F274*G274*$D$234/$D$231/VLOOKUP(C274,fnEquipLibRange,4,FALSE),0),F274)),""))</f>
        <v/>
      </c>
      <c r="L274" s="102" t="str">
        <f>IF(F274*G274=0,"",IFERROR(IF(F274*G274*$D$234/$D$231&lt;VLOOKUP(C274,fnEquipLibRange,3,FALSE),VLOOKUP(C274,fnEquipLibRange,3,FALSE),F274*G274*$D$234/$D$231/MAX(ROUNDUP(F274*G274*$D$234/$D$231/VLOOKUP(C274,fnEquipLibRange,4,FALSE),0),F274)),""))</f>
        <v/>
      </c>
      <c r="M274" s="102"/>
      <c r="N274" s="103" t="str">
        <f>IF($K274="","",IFERROR($K274*fnEquipCostCorr*fnEquipCostIndex*fnEquipConstMaterial,""))</f>
        <v/>
      </c>
      <c r="O274" s="104" t="str">
        <f ca="1">IFERROR(fnEquipInstFactor*N274,"")</f>
        <v/>
      </c>
      <c r="P274" s="105" t="str">
        <f ca="1">IFERROR(fnEquipLaborFactor*K274,"")</f>
        <v/>
      </c>
      <c r="Q274" s="19"/>
      <c r="S274" s="94" t="str">
        <f t="shared" si="4"/>
        <v/>
      </c>
      <c r="T274" s="11" t="str">
        <f ca="1">IFERROR(IF(INDEX(fnEquipLibRange,fnEquipRowNum,39)="","",INDEX(fnEquipLibRange,fnEquipRowNum,39)),"")</f>
        <v/>
      </c>
    </row>
    <row r="275" spans="1:20" hidden="1" outlineLevel="1">
      <c r="B275" s="16"/>
      <c r="C275" s="69"/>
      <c r="D275" s="70"/>
      <c r="E275" s="70" t="str">
        <f ca="1">IFERROR(VLOOKUP(C275,fnEquipLibRange,16,FALSE),"")</f>
        <v/>
      </c>
      <c r="F275" s="70"/>
      <c r="G275" s="130"/>
      <c r="H275" s="106" t="str">
        <f ca="1">IFERROR(VLOOKUP(C275,fnEquipLibRange,2,FALSE),"")</f>
        <v/>
      </c>
      <c r="I275" s="100" t="str">
        <f>IF(ISBLANK(G275),"",IF(G275&lt;VLOOKUP(C275,fnEquipLibRange,3,FALSE),"&gt;&gt;&gt; Too Small &lt;&lt;&lt;",IF(G275&gt;VLOOKUP(C275,fnEquipLibRange,4,FALSE),"&gt;&gt;&gt; Too Large &lt;&lt;&lt;","Yes")))</f>
        <v/>
      </c>
      <c r="J275" s="100"/>
      <c r="K275" s="101" t="str">
        <f>IF(F275*G275=0,"",IFERROR(IF(F275*G275*$D$234/$D$231&lt;VLOOKUP(C275,fnEquipLibRange,3,FALSE),MAX(1,F275),MAX(ROUNDUP(F275*G275*$D$234/$D$231/VLOOKUP(C275,fnEquipLibRange,4,FALSE),0),F275)),""))</f>
        <v/>
      </c>
      <c r="L275" s="102" t="str">
        <f>IF(F275*G275=0,"",IFERROR(IF(F275*G275*$D$234/$D$231&lt;VLOOKUP(C275,fnEquipLibRange,3,FALSE),VLOOKUP(C275,fnEquipLibRange,3,FALSE),F275*G275*$D$234/$D$231/MAX(ROUNDUP(F275*G275*$D$234/$D$231/VLOOKUP(C275,fnEquipLibRange,4,FALSE),0),F275)),""))</f>
        <v/>
      </c>
      <c r="M275" s="102"/>
      <c r="N275" s="103" t="str">
        <f>IF($K275="","",IFERROR($K275*fnEquipCostCorr*fnEquipCostIndex*fnEquipConstMaterial,""))</f>
        <v/>
      </c>
      <c r="O275" s="104" t="str">
        <f ca="1">IFERROR(fnEquipInstFactor*N275,"")</f>
        <v/>
      </c>
      <c r="P275" s="105" t="str">
        <f ca="1">IFERROR(fnEquipLaborFactor*K275,"")</f>
        <v/>
      </c>
      <c r="Q275" s="19"/>
      <c r="S275" s="94" t="str">
        <f t="shared" si="4"/>
        <v/>
      </c>
      <c r="T275" s="11" t="str">
        <f ca="1">IFERROR(IF(INDEX(fnEquipLibRange,fnEquipRowNum,39)="","",INDEX(fnEquipLibRange,fnEquipRowNum,39)),"")</f>
        <v/>
      </c>
    </row>
    <row r="276" spans="1:20" hidden="1" outlineLevel="1">
      <c r="B276" s="16"/>
      <c r="C276" s="69"/>
      <c r="D276" s="70"/>
      <c r="E276" s="70" t="str">
        <f ca="1">IFERROR(VLOOKUP(C276,fnEquipLibRange,16,FALSE),"")</f>
        <v/>
      </c>
      <c r="F276" s="70"/>
      <c r="G276" s="130"/>
      <c r="H276" s="106" t="str">
        <f ca="1">IFERROR(VLOOKUP(C276,fnEquipLibRange,2,FALSE),"")</f>
        <v/>
      </c>
      <c r="I276" s="100" t="str">
        <f>IF(ISBLANK(G276),"",IF(G276&lt;VLOOKUP(C276,fnEquipLibRange,3,FALSE),"&gt;&gt;&gt; Too Small &lt;&lt;&lt;",IF(G276&gt;VLOOKUP(C276,fnEquipLibRange,4,FALSE),"&gt;&gt;&gt; Too Large &lt;&lt;&lt;","Yes")))</f>
        <v/>
      </c>
      <c r="J276" s="100"/>
      <c r="K276" s="101" t="str">
        <f>IF(F276*G276=0,"",IFERROR(IF(F276*G276*$D$234/$D$231&lt;VLOOKUP(C276,fnEquipLibRange,3,FALSE),MAX(1,F276),MAX(ROUNDUP(F276*G276*$D$234/$D$231/VLOOKUP(C276,fnEquipLibRange,4,FALSE),0),F276)),""))</f>
        <v/>
      </c>
      <c r="L276" s="102" t="str">
        <f>IF(F276*G276=0,"",IFERROR(IF(F276*G276*$D$234/$D$231&lt;VLOOKUP(C276,fnEquipLibRange,3,FALSE),VLOOKUP(C276,fnEquipLibRange,3,FALSE),F276*G276*$D$234/$D$231/MAX(ROUNDUP(F276*G276*$D$234/$D$231/VLOOKUP(C276,fnEquipLibRange,4,FALSE),0),F276)),""))</f>
        <v/>
      </c>
      <c r="M276" s="102"/>
      <c r="N276" s="103" t="str">
        <f>IF($K276="","",IFERROR($K276*fnEquipCostCorr*fnEquipCostIndex*fnEquipConstMaterial,""))</f>
        <v/>
      </c>
      <c r="O276" s="104" t="str">
        <f ca="1">IFERROR(fnEquipInstFactor*N276,"")</f>
        <v/>
      </c>
      <c r="P276" s="105" t="str">
        <f ca="1">IFERROR(fnEquipLaborFactor*K276,"")</f>
        <v/>
      </c>
      <c r="Q276" s="19"/>
      <c r="S276" s="94" t="str">
        <f t="shared" si="4"/>
        <v/>
      </c>
      <c r="T276" s="11" t="str">
        <f ca="1">IFERROR(IF(INDEX(fnEquipLibRange,fnEquipRowNum,39)="","",INDEX(fnEquipLibRange,fnEquipRowNum,39)),"")</f>
        <v/>
      </c>
    </row>
    <row r="277" spans="1:20" hidden="1" outlineLevel="1">
      <c r="B277" s="16"/>
      <c r="C277" s="69"/>
      <c r="D277" s="70"/>
      <c r="E277" s="70" t="str">
        <f ca="1">IFERROR(VLOOKUP(C277,fnEquipLibRange,16,FALSE),"")</f>
        <v/>
      </c>
      <c r="F277" s="70"/>
      <c r="G277" s="130"/>
      <c r="H277" s="106" t="str">
        <f ca="1">IFERROR(VLOOKUP(C277,fnEquipLibRange,2,FALSE),"")</f>
        <v/>
      </c>
      <c r="I277" s="100" t="str">
        <f>IF(ISBLANK(G277),"",IF(G277&lt;VLOOKUP(C277,fnEquipLibRange,3,FALSE),"&gt;&gt;&gt; Too Small &lt;&lt;&lt;",IF(G277&gt;VLOOKUP(C277,fnEquipLibRange,4,FALSE),"&gt;&gt;&gt; Too Large &lt;&lt;&lt;","Yes")))</f>
        <v/>
      </c>
      <c r="J277" s="100"/>
      <c r="K277" s="101" t="str">
        <f>IF(F277*G277=0,"",IFERROR(IF(F277*G277*$D$234/$D$231&lt;VLOOKUP(C277,fnEquipLibRange,3,FALSE),MAX(1,F277),MAX(ROUNDUP(F277*G277*$D$234/$D$231/VLOOKUP(C277,fnEquipLibRange,4,FALSE),0),F277)),""))</f>
        <v/>
      </c>
      <c r="L277" s="102" t="str">
        <f>IF(F277*G277=0,"",IFERROR(IF(F277*G277*$D$234/$D$231&lt;VLOOKUP(C277,fnEquipLibRange,3,FALSE),VLOOKUP(C277,fnEquipLibRange,3,FALSE),F277*G277*$D$234/$D$231/MAX(ROUNDUP(F277*G277*$D$234/$D$231/VLOOKUP(C277,fnEquipLibRange,4,FALSE),0),F277)),""))</f>
        <v/>
      </c>
      <c r="M277" s="102"/>
      <c r="N277" s="103" t="str">
        <f>IF($K277="","",IFERROR($K277*fnEquipCostCorr*fnEquipCostIndex*fnEquipConstMaterial,""))</f>
        <v/>
      </c>
      <c r="O277" s="104" t="str">
        <f ca="1">IFERROR(fnEquipInstFactor*N277,"")</f>
        <v/>
      </c>
      <c r="P277" s="105" t="str">
        <f ca="1">IFERROR(fnEquipLaborFactor*K277,"")</f>
        <v/>
      </c>
      <c r="Q277" s="19"/>
      <c r="S277" s="94" t="str">
        <f t="shared" si="4"/>
        <v/>
      </c>
      <c r="T277" s="11" t="str">
        <f ca="1">IFERROR(IF(INDEX(fnEquipLibRange,fnEquipRowNum,39)="","",INDEX(fnEquipLibRange,fnEquipRowNum,39)),"")</f>
        <v/>
      </c>
    </row>
    <row r="278" spans="1:20" hidden="1" outlineLevel="1">
      <c r="B278" s="16"/>
      <c r="C278" s="69"/>
      <c r="D278" s="70"/>
      <c r="E278" s="70" t="str">
        <f ca="1">IFERROR(VLOOKUP(C278,fnEquipLibRange,16,FALSE),"")</f>
        <v/>
      </c>
      <c r="F278" s="70"/>
      <c r="G278" s="130"/>
      <c r="H278" s="106" t="str">
        <f ca="1">IFERROR(VLOOKUP(C278,fnEquipLibRange,2,FALSE),"")</f>
        <v/>
      </c>
      <c r="I278" s="100" t="str">
        <f>IF(ISBLANK(G278),"",IF(G278&lt;VLOOKUP(C278,fnEquipLibRange,3,FALSE),"&gt;&gt;&gt; Too Small &lt;&lt;&lt;",IF(G278&gt;VLOOKUP(C278,fnEquipLibRange,4,FALSE),"&gt;&gt;&gt; Too Large &lt;&lt;&lt;","Yes")))</f>
        <v/>
      </c>
      <c r="J278" s="100"/>
      <c r="K278" s="101" t="str">
        <f>IF(F278*G278=0,"",IFERROR(IF(F278*G278*$D$234/$D$231&lt;VLOOKUP(C278,fnEquipLibRange,3,FALSE),MAX(1,F278),MAX(ROUNDUP(F278*G278*$D$234/$D$231/VLOOKUP(C278,fnEquipLibRange,4,FALSE),0),F278)),""))</f>
        <v/>
      </c>
      <c r="L278" s="102" t="str">
        <f>IF(F278*G278=0,"",IFERROR(IF(F278*G278*$D$234/$D$231&lt;VLOOKUP(C278,fnEquipLibRange,3,FALSE),VLOOKUP(C278,fnEquipLibRange,3,FALSE),F278*G278*$D$234/$D$231/MAX(ROUNDUP(F278*G278*$D$234/$D$231/VLOOKUP(C278,fnEquipLibRange,4,FALSE),0),F278)),""))</f>
        <v/>
      </c>
      <c r="M278" s="102"/>
      <c r="N278" s="103" t="str">
        <f>IF($K278="","",IFERROR($K278*fnEquipCostCorr*fnEquipCostIndex*fnEquipConstMaterial,""))</f>
        <v/>
      </c>
      <c r="O278" s="104" t="str">
        <f ca="1">IFERROR(fnEquipInstFactor*N278,"")</f>
        <v/>
      </c>
      <c r="P278" s="105" t="str">
        <f ca="1">IFERROR(fnEquipLaborFactor*K278,"")</f>
        <v/>
      </c>
      <c r="Q278" s="19"/>
      <c r="S278" s="94" t="str">
        <f t="shared" si="4"/>
        <v/>
      </c>
      <c r="T278" s="11" t="str">
        <f ca="1">IFERROR(IF(INDEX(fnEquipLibRange,fnEquipRowNum,39)="","",INDEX(fnEquipLibRange,fnEquipRowNum,39)),"")</f>
        <v/>
      </c>
    </row>
    <row r="279" spans="1:20" ht="16.5" hidden="1" outlineLevel="1" thickBot="1">
      <c r="B279" s="21"/>
      <c r="C279" s="22"/>
      <c r="D279" s="22"/>
      <c r="E279" s="22"/>
      <c r="F279" s="22"/>
      <c r="G279" s="22"/>
      <c r="H279" s="22"/>
      <c r="I279" s="22"/>
      <c r="J279" s="22"/>
      <c r="K279" s="22"/>
      <c r="L279" s="99"/>
      <c r="M279" s="99"/>
      <c r="N279" s="22"/>
      <c r="O279" s="22"/>
      <c r="P279" s="22"/>
      <c r="Q279" s="23"/>
    </row>
    <row r="280" spans="1:20" ht="32.1" hidden="1" customHeight="1" outlineLevel="1">
      <c r="B280" s="424" t="str">
        <f>"Equipment Cost Totals: "&amp;C223</f>
        <v>Equipment Cost Totals: Zeolite for FCC</v>
      </c>
      <c r="C280" s="425"/>
      <c r="D280" s="425"/>
      <c r="E280" s="426"/>
    </row>
    <row r="281" spans="1:20" hidden="1" outlineLevel="1">
      <c r="B281" s="16"/>
      <c r="C281" s="17" t="str">
        <f>"Equipment Cost Totals for "&amp;C223</f>
        <v>Equipment Cost Totals for Zeolite for FCC</v>
      </c>
      <c r="D281" s="18"/>
      <c r="E281" s="19"/>
    </row>
    <row r="282" spans="1:20" hidden="1" outlineLevel="1">
      <c r="B282" s="16"/>
      <c r="C282" s="18"/>
      <c r="D282" s="162" t="s">
        <v>308</v>
      </c>
      <c r="E282" s="295">
        <f ca="1">SUM(N239:N278)</f>
        <v>6962385.1469861511</v>
      </c>
    </row>
    <row r="283" spans="1:20" hidden="1" outlineLevel="1">
      <c r="B283" s="16"/>
      <c r="C283" s="18"/>
      <c r="D283" s="162" t="s">
        <v>354</v>
      </c>
      <c r="E283" s="295">
        <f ca="1">SUM(O239:O278)</f>
        <v>11257379.052020686</v>
      </c>
    </row>
    <row r="284" spans="1:20" hidden="1" outlineLevel="1">
      <c r="B284" s="16"/>
      <c r="C284" s="18"/>
      <c r="D284" s="162" t="s">
        <v>995</v>
      </c>
      <c r="E284" s="296">
        <f ca="1">SUM(P239:P278)</f>
        <v>13.93</v>
      </c>
    </row>
    <row r="285" spans="1:20" ht="16.5" hidden="1" outlineLevel="1" thickBot="1">
      <c r="B285" s="21"/>
      <c r="C285" s="22"/>
      <c r="D285" s="22"/>
      <c r="E285" s="23"/>
    </row>
    <row r="286" spans="1:20" collapsed="1">
      <c r="A286" s="300" t="str">
        <f>"&lt;– show/hide "&amp;B220</f>
        <v>&lt;– show/hide Process Template: Zeolite for FCC</v>
      </c>
    </row>
  </sheetData>
  <mergeCells count="37">
    <mergeCell ref="S148:T148"/>
    <mergeCell ref="B22:G22"/>
    <mergeCell ref="B33:G33"/>
    <mergeCell ref="K148:L148"/>
    <mergeCell ref="K195:L195"/>
    <mergeCell ref="N195:P195"/>
    <mergeCell ref="S195:T195"/>
    <mergeCell ref="N101:P101"/>
    <mergeCell ref="S101:T101"/>
    <mergeCell ref="B124:E124"/>
    <mergeCell ref="S34:T34"/>
    <mergeCell ref="B89:G89"/>
    <mergeCell ref="K101:L101"/>
    <mergeCell ref="N34:P34"/>
    <mergeCell ref="K34:L34"/>
    <mergeCell ref="C34:I34"/>
    <mergeCell ref="N148:P148"/>
    <mergeCell ref="B213:E213"/>
    <mergeCell ref="B14:G14"/>
    <mergeCell ref="B100:G100"/>
    <mergeCell ref="B77:E77"/>
    <mergeCell ref="C101:I101"/>
    <mergeCell ref="B3:E3"/>
    <mergeCell ref="B194:G194"/>
    <mergeCell ref="C195:I195"/>
    <mergeCell ref="B136:G136"/>
    <mergeCell ref="B171:E171"/>
    <mergeCell ref="B183:G183"/>
    <mergeCell ref="B147:G147"/>
    <mergeCell ref="C148:I148"/>
    <mergeCell ref="B236:G236"/>
    <mergeCell ref="B225:G225"/>
    <mergeCell ref="B280:E280"/>
    <mergeCell ref="S237:T237"/>
    <mergeCell ref="N237:P237"/>
    <mergeCell ref="K237:L237"/>
    <mergeCell ref="C237:I237"/>
  </mergeCells>
  <conditionalFormatting sqref="C36:G75">
    <cfRule type="containsBlanks" dxfId="145" priority="25">
      <formula>LEN(TRIM(C36))=0</formula>
    </cfRule>
  </conditionalFormatting>
  <conditionalFormatting sqref="C6 D24:D27">
    <cfRule type="containsBlanks" dxfId="144" priority="24">
      <formula>LEN(TRIM(C6))=0</formula>
    </cfRule>
  </conditionalFormatting>
  <conditionalFormatting sqref="C103:G122">
    <cfRule type="containsBlanks" dxfId="143" priority="12">
      <formula>LEN(TRIM(C103))=0</formula>
    </cfRule>
  </conditionalFormatting>
  <conditionalFormatting sqref="D91:D94">
    <cfRule type="containsBlanks" dxfId="142" priority="11">
      <formula>LEN(TRIM(D91))=0</formula>
    </cfRule>
  </conditionalFormatting>
  <conditionalFormatting sqref="C150:G169">
    <cfRule type="containsBlanks" dxfId="141" priority="8">
      <formula>LEN(TRIM(C150))=0</formula>
    </cfRule>
  </conditionalFormatting>
  <conditionalFormatting sqref="D138:D141">
    <cfRule type="containsBlanks" dxfId="140" priority="7">
      <formula>LEN(TRIM(D138))=0</formula>
    </cfRule>
  </conditionalFormatting>
  <conditionalFormatting sqref="C197:G211">
    <cfRule type="containsBlanks" dxfId="139" priority="6">
      <formula>LEN(TRIM(C197))=0</formula>
    </cfRule>
  </conditionalFormatting>
  <conditionalFormatting sqref="D185:D188">
    <cfRule type="containsBlanks" dxfId="138" priority="5">
      <formula>LEN(TRIM(D185))=0</formula>
    </cfRule>
  </conditionalFormatting>
  <conditionalFormatting sqref="C239:G260 C265:G278 C261:C264 E261:G264">
    <cfRule type="containsBlanks" dxfId="137" priority="4">
      <formula>LEN(TRIM(C239))=0</formula>
    </cfRule>
  </conditionalFormatting>
  <conditionalFormatting sqref="D227:D230">
    <cfRule type="containsBlanks" dxfId="136" priority="3">
      <formula>LEN(TRIM(D227))=0</formula>
    </cfRule>
  </conditionalFormatting>
  <conditionalFormatting sqref="D261:D264">
    <cfRule type="containsBlanks" dxfId="135" priority="2">
      <formula>LEN(TRIM(D261))=0</formula>
    </cfRule>
  </conditionalFormatting>
  <conditionalFormatting sqref="C20">
    <cfRule type="containsBlanks" dxfId="134" priority="1">
      <formula>LEN(TRIM(C20))=0</formula>
    </cfRule>
  </conditionalFormatting>
  <dataValidations count="6">
    <dataValidation type="list" allowBlank="1" showInputMessage="1" showErrorMessage="1" sqref="D25 D92 D139 D186 D228" xr:uid="{513B459E-F6B5-0346-ACB5-D6EF68002DC9}">
      <formula1>MassUnits</formula1>
    </dataValidation>
    <dataValidation type="list" allowBlank="1" showInputMessage="1" showErrorMessage="1" sqref="D27 D94 D141 D188 D230" xr:uid="{ACDA9A45-ADBD-E74F-ACA8-CE7D4494B4E8}">
      <formula1>"hour,day,week,month,year"</formula1>
    </dataValidation>
    <dataValidation type="list" allowBlank="1" showInputMessage="1" showErrorMessage="1" sqref="D26 D93 D140 D187 D229" xr:uid="{869CEAD0-BFA2-184A-8A3E-0DD3B01E9238}">
      <formula1>"catalyst,active phase"</formula1>
    </dataValidation>
    <dataValidation type="list" allowBlank="1" showInputMessage="1" showErrorMessage="1" sqref="E239:E278 E36:E75 E150:E169 E197:E211 E103:E122" xr:uid="{00000000-0002-0000-0400-000000000000}">
      <formula1>INDIRECT("'Equip. Library'!R"&amp;fnEquipRowNum&amp;"C17:R"&amp;fnEquipRowNum&amp;"C"&amp;(16+COUNTA(INDIRECT("'Equip. Library'!Q"&amp;fnEquipRowNum&amp;":Z"&amp;fnEquipRowNum))),FALSE)</formula1>
    </dataValidation>
    <dataValidation type="list" allowBlank="1" showInputMessage="1" showErrorMessage="1" sqref="C36:C75 C239:C278 C150:C169 C197:C211 C103:C122" xr:uid="{00000000-0002-0000-0400-000001000000}">
      <formula1>fnEquipNames</formula1>
    </dataValidation>
    <dataValidation type="list" allowBlank="1" showInputMessage="1" showErrorMessage="1" sqref="C6" xr:uid="{03E328BD-AF00-074B-BBDA-9E63AD4D58C9}">
      <formula1>fnEquipTemplates</formula1>
    </dataValidation>
  </dataValidations>
  <pageMargins left="0.75" right="0.75" top="1" bottom="1" header="0.5" footer="0.5"/>
  <pageSetup orientation="portrait" horizontalDpi="4294967292" verticalDpi="4294967292"/>
  <ignoredErrors>
    <ignoredError sqref="A1:XFD4 A15:XFD22 A6:B6 D6:G6 A131:XFD136 A265:XFD290 A239:B264 D239:E241 H239:XFD264 D243:E246 D242 D248:E249 D247 D251:E251 D250 D253:E255 D252 D259:E260 D256:D258 E261:E264 A231:B232 A227:B230 E227:E230 A35:XFD90 A34:B34 D34:J34 L34:M34 A102:XFD110 A101:B101 J101 A149:XFD183 A148:B148 J148 A196:XFD196 A195:B195 J195 A238:XFD238 A237:B237 J237 M101 M148 M195 M237 O34:XFD34 Q101:XFD101 Q148:XFD148 Q195:XFD195 Q237:XFD237 A32:XFD33 A30:B30 D30:XFD30 A99:XFD100 A97:B97 D97:E97 A146:XFD147 A144:B144 D144:E144 A193:XFD194 A191:B191 D191:E191 A235:XFD236 A233:B233 D233:E233 A292:XFD1048576 A291:B291 L291:XFD291 A119:XFD130 A114:B118 H114:XFD118 A113:B113 H113:XFD113 A92:B94 A91:B91 D91:E91 A96:E96 A95:B95 D95:E95 A98:B98 D98:E98 A29:B29 A24:B28 D25:XFD27 D92:E94 A143:B143 A138:B142 D138:E142 A23:B23 D23:XFD23 A31:B31 D31:XFD31 D29:XFD29 A137:B137 D137:XFD137 A145:B145 D145:E145 D143:E143 A184:B190 D184:XFD184 A192:B192 D192:E192 D231:E232 A226:B226 D226:XFD226 A234:B234 D234:E234 G97:XFD97 G91:XFD91 G96:XFD96 G95:XFD95 G98:XFD98 G92:XFD94 G144:XFD144 G138:XFD142 G145:XFD145 G143:XFD143 G191:XFD191 D185:E190 G185:XFD190 G192:XFD192 G227:XFD230 G233:XFD233 G231:XFD232 G234:XFD234 A111:F112 H111:XFD112 A207:XFD225 A197:F201 H197:XFD206 A203:F206 A202:E202 D28:E28 G28:XFD28 D24:E24 G24:XFD24 I6:XFD6 A7:G7 I7:XFD7 A8:G8 I8:XFD8 A9:G9 I9:XFD9 A10:G10 I10:XFD10 A11:G11 I11:XFD11 A12:G12 I12:XFD12 A13:G13 I13:XFD13 A14:G14 I14:XFD14 A5:B5 D5:XFD5" emptyCellReference="1"/>
  </ignoredErrors>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V103"/>
  <sheetViews>
    <sheetView zoomScaleNormal="100" workbookViewId="0">
      <pane ySplit="1" topLeftCell="A2" activePane="bottomLeft" state="frozenSplit"/>
      <selection pane="bottomLeft" activeCell="D33" sqref="D33"/>
    </sheetView>
  </sheetViews>
  <sheetFormatPr defaultColWidth="10.875" defaultRowHeight="15.75" outlineLevelCol="1"/>
  <cols>
    <col min="1" max="2" width="2.5" style="11" customWidth="1"/>
    <col min="3" max="3" width="14.125" style="11" bestFit="1" customWidth="1"/>
    <col min="4" max="4" width="28.875" style="11" customWidth="1"/>
    <col min="5" max="6" width="10.875" style="11" hidden="1" customWidth="1" outlineLevel="1"/>
    <col min="7" max="7" width="10.875" style="11" collapsed="1"/>
    <col min="8" max="8" width="2.5" style="11" customWidth="1"/>
    <col min="9" max="9" width="11.375" style="11" bestFit="1" customWidth="1"/>
    <col min="10" max="11" width="10.875" style="11" hidden="1" customWidth="1" outlineLevel="1"/>
    <col min="12" max="12" width="10.875" style="11" customWidth="1" collapsed="1"/>
    <col min="13" max="13" width="16.5" style="11" bestFit="1" customWidth="1"/>
    <col min="14" max="14" width="11.875" style="11" bestFit="1" customWidth="1"/>
    <col min="15" max="15" width="2.5" style="11" customWidth="1"/>
    <col min="16" max="16" width="4.875" style="11" customWidth="1"/>
    <col min="17" max="17" width="2.5" style="11" customWidth="1"/>
    <col min="18" max="16384" width="10.875" style="11"/>
  </cols>
  <sheetData>
    <row r="1" spans="2:22" s="110" customFormat="1" ht="24" customHeight="1">
      <c r="B1" s="107" t="str">
        <f>"CatCost v"&amp;Version&amp;": "&amp;EstimateName</f>
        <v>CatCost v1.0.4: Test1</v>
      </c>
      <c r="H1" s="108" t="s">
        <v>44</v>
      </c>
      <c r="V1" s="111"/>
    </row>
    <row r="2" spans="2:22" ht="16.5" thickBot="1"/>
    <row r="3" spans="2:22" ht="21" thickBot="1">
      <c r="B3" s="414" t="s">
        <v>1049</v>
      </c>
      <c r="C3" s="415"/>
      <c r="D3" s="415"/>
      <c r="E3" s="415"/>
      <c r="F3" s="415"/>
      <c r="G3" s="415"/>
      <c r="H3" s="416"/>
    </row>
    <row r="4" spans="2:22">
      <c r="B4" s="13"/>
      <c r="C4" s="14"/>
      <c r="D4" s="14"/>
      <c r="E4" s="14"/>
      <c r="F4" s="14"/>
      <c r="G4" s="14"/>
      <c r="H4" s="14"/>
      <c r="I4" s="14"/>
      <c r="J4" s="14"/>
      <c r="K4" s="14"/>
      <c r="L4" s="14"/>
      <c r="M4" s="14"/>
      <c r="N4" s="14"/>
      <c r="O4" s="14"/>
      <c r="P4" s="14"/>
      <c r="Q4" s="15"/>
    </row>
    <row r="5" spans="2:22">
      <c r="B5" s="16"/>
      <c r="C5" s="17" t="s">
        <v>988</v>
      </c>
      <c r="D5" s="18"/>
      <c r="E5" s="18"/>
      <c r="F5" s="18"/>
      <c r="G5" s="18"/>
      <c r="H5" s="18"/>
      <c r="I5" s="18"/>
      <c r="J5" s="18"/>
      <c r="K5" s="18"/>
      <c r="L5" s="18"/>
      <c r="M5" s="18"/>
      <c r="N5" s="18"/>
      <c r="O5" s="18"/>
      <c r="P5" s="18"/>
      <c r="Q5" s="19"/>
    </row>
    <row r="6" spans="2:22">
      <c r="B6" s="16"/>
      <c r="C6" s="422" t="str">
        <f>IF('3b Equip'!C6="","",'3b Equip'!C6)</f>
        <v>Nanoparticles - Flow Synthesis</v>
      </c>
      <c r="D6" s="433"/>
      <c r="E6" s="18"/>
      <c r="F6" s="18"/>
      <c r="G6" s="18"/>
      <c r="H6" s="18"/>
      <c r="I6" s="18"/>
      <c r="J6" s="18"/>
      <c r="K6" s="18"/>
      <c r="L6" s="18"/>
      <c r="M6" s="18"/>
      <c r="N6" s="18"/>
      <c r="O6" s="18"/>
      <c r="P6" s="18"/>
      <c r="Q6" s="19"/>
    </row>
    <row r="7" spans="2:22">
      <c r="B7" s="16"/>
      <c r="C7" s="290" t="s">
        <v>989</v>
      </c>
      <c r="D7" s="18"/>
      <c r="E7" s="18"/>
      <c r="F7" s="18"/>
      <c r="G7" s="18"/>
      <c r="H7" s="18"/>
      <c r="I7" s="18"/>
      <c r="J7" s="18"/>
      <c r="K7" s="18"/>
      <c r="L7" s="18"/>
      <c r="M7" s="18"/>
      <c r="N7" s="18"/>
      <c r="O7" s="18"/>
      <c r="P7" s="18"/>
      <c r="Q7" s="19"/>
    </row>
    <row r="8" spans="2:22">
      <c r="B8" s="16"/>
      <c r="C8" s="18"/>
      <c r="D8" s="18"/>
      <c r="E8" s="18"/>
      <c r="F8" s="18"/>
      <c r="G8" s="18"/>
      <c r="H8" s="18"/>
      <c r="I8" s="18"/>
      <c r="J8" s="18"/>
      <c r="K8" s="18"/>
      <c r="L8" s="18"/>
      <c r="M8" s="18"/>
      <c r="N8" s="18"/>
      <c r="O8" s="18"/>
      <c r="P8" s="18"/>
      <c r="Q8" s="19"/>
    </row>
    <row r="9" spans="2:22">
      <c r="B9" s="16"/>
      <c r="C9" s="17" t="s">
        <v>990</v>
      </c>
      <c r="D9" s="18"/>
      <c r="E9" s="18"/>
      <c r="F9" s="18"/>
      <c r="G9" s="18"/>
      <c r="H9" s="18"/>
      <c r="I9" s="18"/>
      <c r="J9" s="18"/>
      <c r="K9" s="18"/>
      <c r="L9" s="18"/>
      <c r="M9" s="18"/>
      <c r="N9" s="18"/>
      <c r="O9" s="18"/>
      <c r="P9" s="18"/>
      <c r="Q9" s="19"/>
    </row>
    <row r="10" spans="2:22">
      <c r="B10" s="16"/>
      <c r="C10" s="18"/>
      <c r="D10" s="18"/>
      <c r="E10" s="18"/>
      <c r="F10" s="18"/>
      <c r="G10" s="18"/>
      <c r="H10" s="18"/>
      <c r="I10" s="18"/>
      <c r="J10" s="18"/>
      <c r="K10" s="18"/>
      <c r="L10" s="18"/>
      <c r="M10" s="18"/>
      <c r="N10" s="18"/>
      <c r="O10" s="18"/>
      <c r="P10" s="18"/>
      <c r="Q10" s="19"/>
    </row>
    <row r="11" spans="2:22">
      <c r="B11" s="16"/>
      <c r="C11" s="113" t="s">
        <v>376</v>
      </c>
      <c r="D11" s="121" t="str">
        <f>"Consumption per "&amp;OutMassUnit&amp;" catalyst"</f>
        <v>Consumption per kg catalyst</v>
      </c>
      <c r="E11" s="65" t="s">
        <v>40</v>
      </c>
      <c r="F11" s="65" t="s">
        <v>41</v>
      </c>
      <c r="G11" s="121" t="s">
        <v>173</v>
      </c>
      <c r="H11" s="121"/>
      <c r="I11" s="121" t="s">
        <v>417</v>
      </c>
      <c r="J11" s="65" t="s">
        <v>40</v>
      </c>
      <c r="K11" s="65" t="s">
        <v>41</v>
      </c>
      <c r="L11" s="196" t="s">
        <v>173</v>
      </c>
      <c r="M11" s="64" t="str">
        <f>"Cost ("&amp;CurrencySymbol&amp;"/"&amp;OutMassUnit&amp;" catalyst)"</f>
        <v>Cost ($/kg catalyst)</v>
      </c>
      <c r="N11" s="64" t="str">
        <f>"Cost ("&amp;CurrencySymbol&amp;"/year)"</f>
        <v>Cost ($/year)</v>
      </c>
      <c r="O11" s="64"/>
      <c r="P11" s="64"/>
      <c r="Q11" s="19"/>
    </row>
    <row r="12" spans="2:22">
      <c r="B12" s="16"/>
      <c r="C12" s="115" t="s">
        <v>377</v>
      </c>
      <c r="D12" s="18">
        <f ca="1">IFERROR(IF(ISBLANK(OFFSET(INDEX($C$21:$C$991,MATCH($C$6,$C$21:$C$991,0)),ROW()-4,COLUMN()-3)),"",OFFSET(INDEX($C$21:$C$991,MATCH($C$6,$C$21:$C$991,0)),ROW()-4,COLUMN()-3)/OFFSET(INDEX($C$21:$C$991,MATCH($C$6,$C$21:$C$991,0)),5,1)),"")</f>
        <v>0</v>
      </c>
      <c r="E12" s="18" t="str">
        <f t="shared" ref="E12:F12" ca="1" si="0">IFERROR(IF(ISBLANK(OFFSET(INDEX($C$21:$C$991,MATCH($C$6,$C$21:$C$991,0)),ROW()-4,COLUMN()-3)),"",OFFSET(INDEX($C$21:$C$991,MATCH($C$6,$C$21:$C$991,0)),ROW()-4,COLUMN()-3)/OFFSET(INDEX($C$21:$C$991,MATCH($C$6,$C$21:$C$991,0)),5,1)),"")</f>
        <v/>
      </c>
      <c r="F12" s="18" t="str">
        <f t="shared" ca="1" si="0"/>
        <v/>
      </c>
      <c r="G12" s="115" t="s">
        <v>400</v>
      </c>
      <c r="H12" s="115"/>
      <c r="I12" s="119">
        <v>0.14000000000000001</v>
      </c>
      <c r="J12" s="72"/>
      <c r="K12" s="72"/>
      <c r="L12" s="106" t="str">
        <f t="shared" ref="L12:L17" si="1">CurrencySymbol&amp;"/"&amp;G12</f>
        <v>$/kgal</v>
      </c>
      <c r="M12" s="195">
        <f ca="1">IFERROR(D12*I12,0)</f>
        <v>0</v>
      </c>
      <c r="N12" s="116">
        <f t="shared" ref="N12:N17" ca="1" si="2">IFERROR(M12*ActualProduction,"")</f>
        <v>0</v>
      </c>
      <c r="O12" s="116"/>
      <c r="P12" s="42" t="s">
        <v>160</v>
      </c>
      <c r="Q12" s="19"/>
    </row>
    <row r="13" spans="2:22">
      <c r="B13" s="16"/>
      <c r="C13" s="115" t="s">
        <v>378</v>
      </c>
      <c r="D13" s="18">
        <f t="shared" ref="D13:F17" ca="1" si="3">IFERROR(IF(ISBLANK(OFFSET(INDEX($C$21:$C$991,MATCH($C$6,$C$21:$C$991,0)),ROW()-4,COLUMN()-3)),"",OFFSET(INDEX($C$21:$C$991,MATCH($C$6,$C$21:$C$991,0)),ROW()-4,COLUMN()-3)/OFFSET(INDEX($C$21:$C$991,MATCH($C$6,$C$21:$C$991,0)),5,1)),"")</f>
        <v>0</v>
      </c>
      <c r="E13" s="18" t="str">
        <f t="shared" ca="1" si="3"/>
        <v/>
      </c>
      <c r="F13" s="18" t="str">
        <f t="shared" ca="1" si="3"/>
        <v/>
      </c>
      <c r="G13" s="115" t="s">
        <v>400</v>
      </c>
      <c r="H13" s="115"/>
      <c r="I13" s="119">
        <v>1.3</v>
      </c>
      <c r="J13" s="72"/>
      <c r="K13" s="72"/>
      <c r="L13" s="106" t="str">
        <f t="shared" si="1"/>
        <v>$/kgal</v>
      </c>
      <c r="M13" s="195">
        <f t="shared" ref="M13:M17" ca="1" si="4">IFERROR(D13*I13,0)</f>
        <v>0</v>
      </c>
      <c r="N13" s="116">
        <f t="shared" ca="1" si="2"/>
        <v>0</v>
      </c>
      <c r="O13" s="116"/>
      <c r="P13" s="116"/>
      <c r="Q13" s="19"/>
    </row>
    <row r="14" spans="2:22">
      <c r="B14" s="16"/>
      <c r="C14" s="115" t="s">
        <v>379</v>
      </c>
      <c r="D14" s="18">
        <f t="shared" ca="1" si="3"/>
        <v>0</v>
      </c>
      <c r="E14" s="18" t="str">
        <f t="shared" ca="1" si="3"/>
        <v/>
      </c>
      <c r="F14" s="18" t="str">
        <f t="shared" ca="1" si="3"/>
        <v/>
      </c>
      <c r="G14" s="115" t="s">
        <v>401</v>
      </c>
      <c r="H14" s="115"/>
      <c r="I14" s="119">
        <v>5</v>
      </c>
      <c r="J14" s="72"/>
      <c r="K14" s="72"/>
      <c r="L14" s="106" t="str">
        <f t="shared" si="1"/>
        <v>$/ton</v>
      </c>
      <c r="M14" s="195">
        <f t="shared" ca="1" si="4"/>
        <v>0</v>
      </c>
      <c r="N14" s="116">
        <f t="shared" ca="1" si="2"/>
        <v>0</v>
      </c>
      <c r="O14" s="116"/>
      <c r="P14" s="116"/>
      <c r="Q14" s="19"/>
    </row>
    <row r="15" spans="2:22">
      <c r="B15" s="16"/>
      <c r="C15" s="115" t="s">
        <v>380</v>
      </c>
      <c r="D15" s="18">
        <f t="shared" ca="1" si="3"/>
        <v>0</v>
      </c>
      <c r="E15" s="18" t="str">
        <f t="shared" ca="1" si="3"/>
        <v/>
      </c>
      <c r="F15" s="18" t="str">
        <f t="shared" ca="1" si="3"/>
        <v/>
      </c>
      <c r="G15" s="115" t="s">
        <v>401</v>
      </c>
      <c r="H15" s="115"/>
      <c r="I15" s="119">
        <v>5.7</v>
      </c>
      <c r="J15" s="72"/>
      <c r="K15" s="72"/>
      <c r="L15" s="106" t="str">
        <f t="shared" si="1"/>
        <v>$/ton</v>
      </c>
      <c r="M15" s="195">
        <f t="shared" ca="1" si="4"/>
        <v>0</v>
      </c>
      <c r="N15" s="116">
        <f t="shared" ca="1" si="2"/>
        <v>0</v>
      </c>
      <c r="O15" s="116"/>
      <c r="P15" s="116"/>
      <c r="Q15" s="19"/>
    </row>
    <row r="16" spans="2:22">
      <c r="B16" s="16"/>
      <c r="C16" s="115" t="s">
        <v>381</v>
      </c>
      <c r="D16" s="18">
        <f t="shared" ca="1" si="3"/>
        <v>0.52914638157894733</v>
      </c>
      <c r="E16" s="18" t="str">
        <f t="shared" ca="1" si="3"/>
        <v/>
      </c>
      <c r="F16" s="18" t="str">
        <f t="shared" ca="1" si="3"/>
        <v/>
      </c>
      <c r="G16" s="115" t="s">
        <v>402</v>
      </c>
      <c r="H16" s="115"/>
      <c r="I16" s="119">
        <v>5.5E-2</v>
      </c>
      <c r="J16" s="72"/>
      <c r="K16" s="72"/>
      <c r="L16" s="106" t="str">
        <f t="shared" si="1"/>
        <v>$/kWh</v>
      </c>
      <c r="M16" s="195">
        <f t="shared" ca="1" si="4"/>
        <v>2.9103050986842103E-2</v>
      </c>
      <c r="N16" s="116">
        <f t="shared" ca="1" si="2"/>
        <v>291.03050986842101</v>
      </c>
      <c r="O16" s="116"/>
      <c r="P16" s="116"/>
      <c r="Q16" s="19"/>
    </row>
    <row r="17" spans="2:17">
      <c r="B17" s="16"/>
      <c r="C17" s="115" t="s">
        <v>1824</v>
      </c>
      <c r="D17" s="18">
        <f t="shared" ca="1" si="3"/>
        <v>0</v>
      </c>
      <c r="E17" s="18" t="str">
        <f t="shared" ca="1" si="3"/>
        <v/>
      </c>
      <c r="F17" s="18" t="str">
        <f t="shared" ca="1" si="3"/>
        <v/>
      </c>
      <c r="G17" s="115" t="s">
        <v>403</v>
      </c>
      <c r="H17" s="115"/>
      <c r="I17" s="119">
        <v>3</v>
      </c>
      <c r="J17" s="72"/>
      <c r="K17" s="72"/>
      <c r="L17" s="106" t="str">
        <f t="shared" si="1"/>
        <v>$/MMBtu</v>
      </c>
      <c r="M17" s="195">
        <f t="shared" ca="1" si="4"/>
        <v>0</v>
      </c>
      <c r="N17" s="116">
        <f t="shared" ca="1" si="2"/>
        <v>0</v>
      </c>
      <c r="O17" s="116"/>
      <c r="P17" s="116"/>
      <c r="Q17" s="19"/>
    </row>
    <row r="18" spans="2:17">
      <c r="B18" s="16"/>
      <c r="C18" s="18"/>
      <c r="D18" s="18"/>
      <c r="E18" s="18"/>
      <c r="F18" s="18"/>
      <c r="G18" s="18"/>
      <c r="H18" s="18"/>
      <c r="I18" s="18"/>
      <c r="J18" s="18"/>
      <c r="K18" s="18"/>
      <c r="L18" s="18"/>
      <c r="M18" s="18"/>
      <c r="N18" s="18"/>
      <c r="O18" s="18"/>
      <c r="P18" s="18"/>
      <c r="Q18" s="19"/>
    </row>
    <row r="19" spans="2:17">
      <c r="B19" s="16"/>
      <c r="C19" s="42" t="s">
        <v>160</v>
      </c>
      <c r="D19" s="18"/>
      <c r="E19" s="18"/>
      <c r="F19" s="18"/>
      <c r="G19" s="18"/>
      <c r="H19" s="18"/>
      <c r="I19" s="18"/>
      <c r="J19" s="18"/>
      <c r="K19" s="18"/>
      <c r="L19" s="18"/>
      <c r="M19" s="20" t="str">
        <f>"Cost ("&amp;CurrencySymbol&amp;"/"&amp;OutMassUnit&amp;" catalyst)"</f>
        <v>Cost ($/kg catalyst)</v>
      </c>
      <c r="N19" s="20" t="str">
        <f>"Cost ("&amp;CurrencySymbol&amp;"/year)"</f>
        <v>Cost ($/year)</v>
      </c>
      <c r="O19" s="20"/>
      <c r="P19" s="20"/>
      <c r="Q19" s="19"/>
    </row>
    <row r="20" spans="2:17">
      <c r="B20" s="16"/>
      <c r="C20" s="18"/>
      <c r="D20" s="18"/>
      <c r="E20" s="18"/>
      <c r="F20" s="18"/>
      <c r="G20" s="18"/>
      <c r="H20" s="18"/>
      <c r="I20" s="20" t="s">
        <v>355</v>
      </c>
      <c r="J20" s="18"/>
      <c r="K20" s="18"/>
      <c r="L20" s="18"/>
      <c r="M20" s="117">
        <f ca="1">SUM(M12:M17)</f>
        <v>2.9103050986842103E-2</v>
      </c>
      <c r="N20" s="116">
        <f ca="1">M20*ActualProduction</f>
        <v>291.03050986842101</v>
      </c>
      <c r="O20" s="116"/>
      <c r="P20" s="116"/>
      <c r="Q20" s="19"/>
    </row>
    <row r="21" spans="2:17" ht="16.5" thickBot="1">
      <c r="B21" s="21"/>
      <c r="C21" s="22"/>
      <c r="D21" s="22"/>
      <c r="E21" s="22"/>
      <c r="F21" s="22"/>
      <c r="G21" s="22"/>
      <c r="H21" s="22"/>
      <c r="I21" s="22"/>
      <c r="J21" s="22"/>
      <c r="K21" s="22"/>
      <c r="L21" s="22"/>
      <c r="M21" s="22"/>
      <c r="N21" s="22"/>
      <c r="O21" s="22"/>
      <c r="P21" s="22"/>
      <c r="Q21" s="23"/>
    </row>
    <row r="22" spans="2:17" ht="16.5" thickBot="1"/>
    <row r="23" spans="2:17" ht="21" thickBot="1">
      <c r="B23" s="430" t="s">
        <v>991</v>
      </c>
      <c r="C23" s="431"/>
      <c r="D23" s="432"/>
    </row>
    <row r="24" spans="2:17">
      <c r="B24" s="13"/>
      <c r="C24" s="14"/>
      <c r="D24" s="14"/>
      <c r="E24" s="14"/>
      <c r="F24" s="14"/>
      <c r="G24" s="14"/>
      <c r="H24" s="14"/>
      <c r="I24" s="15"/>
    </row>
    <row r="25" spans="2:17">
      <c r="B25" s="16"/>
      <c r="C25" s="385" t="str">
        <f>'3b Equip'!C20</f>
        <v>Custom Process</v>
      </c>
      <c r="D25" s="18"/>
      <c r="E25" s="18"/>
      <c r="F25" s="18"/>
      <c r="G25" s="18"/>
      <c r="H25" s="18"/>
      <c r="I25" s="19"/>
    </row>
    <row r="26" spans="2:17">
      <c r="B26" s="16"/>
      <c r="C26" s="17"/>
      <c r="D26" s="18"/>
      <c r="E26" s="18"/>
      <c r="F26" s="18"/>
      <c r="G26" s="18"/>
      <c r="H26" s="18"/>
      <c r="I26" s="19"/>
    </row>
    <row r="27" spans="2:17">
      <c r="B27" s="16"/>
      <c r="C27" s="20" t="s">
        <v>1820</v>
      </c>
      <c r="D27" s="18"/>
      <c r="E27" s="18"/>
      <c r="F27" s="18"/>
      <c r="G27" s="18"/>
      <c r="H27" s="18"/>
      <c r="I27" s="19"/>
    </row>
    <row r="28" spans="2:17">
      <c r="B28" s="16"/>
      <c r="C28" s="33" t="s">
        <v>1817</v>
      </c>
      <c r="D28" s="43" t="s">
        <v>71</v>
      </c>
      <c r="E28" s="18"/>
      <c r="F28" s="18"/>
      <c r="G28" s="18"/>
      <c r="H28" s="42" t="s">
        <v>160</v>
      </c>
      <c r="I28" s="19"/>
    </row>
    <row r="29" spans="2:17">
      <c r="B29" s="16"/>
      <c r="C29" s="33" t="s">
        <v>1819</v>
      </c>
      <c r="D29" s="176" t="s">
        <v>915</v>
      </c>
      <c r="E29" s="18"/>
      <c r="F29" s="18"/>
      <c r="G29" s="18"/>
      <c r="H29" s="42" t="s">
        <v>160</v>
      </c>
      <c r="I29" s="19"/>
    </row>
    <row r="30" spans="2:17">
      <c r="B30" s="16"/>
      <c r="C30" s="18" t="s">
        <v>1818</v>
      </c>
      <c r="D30" s="51">
        <f>IFERROR(1*VLOOKUP(D28,UnitConv[],5,FALSE)/VLOOKUP(OutMassUnit,UnitConv[],5,FALSE)*IF(D29="active phase",100/APWeightPercent,1),"-----")</f>
        <v>1</v>
      </c>
      <c r="E30" s="18"/>
      <c r="F30" s="18"/>
      <c r="G30" s="48" t="str">
        <f>IF(OutMassUnit="","",OutMassUnit&amp;" catalyst")</f>
        <v>kg catalyst</v>
      </c>
      <c r="H30" s="18"/>
      <c r="I30" s="19"/>
    </row>
    <row r="31" spans="2:17">
      <c r="B31" s="16"/>
      <c r="C31" s="18"/>
      <c r="D31" s="18"/>
      <c r="E31" s="18"/>
      <c r="F31" s="18"/>
      <c r="G31" s="18"/>
      <c r="H31" s="18"/>
      <c r="I31" s="19"/>
    </row>
    <row r="32" spans="2:17">
      <c r="B32" s="16"/>
      <c r="C32" s="113" t="s">
        <v>376</v>
      </c>
      <c r="D32" s="121" t="str">
        <f>IF(D28="","&gt;&gt;&gt; Enter unit above &lt;&lt;&lt;","Consumption per "&amp;D28&amp;" "&amp;D29)</f>
        <v>Consumption per kg catalyst</v>
      </c>
      <c r="E32" s="65" t="s">
        <v>40</v>
      </c>
      <c r="F32" s="65" t="s">
        <v>41</v>
      </c>
      <c r="G32" s="121" t="s">
        <v>173</v>
      </c>
      <c r="H32" s="18"/>
      <c r="I32" s="19"/>
    </row>
    <row r="33" spans="2:9">
      <c r="B33" s="16"/>
      <c r="C33" s="115" t="s">
        <v>377</v>
      </c>
      <c r="D33" s="119"/>
      <c r="E33" s="72"/>
      <c r="F33" s="72"/>
      <c r="G33" s="118" t="s">
        <v>400</v>
      </c>
      <c r="H33" s="18"/>
      <c r="I33" s="19"/>
    </row>
    <row r="34" spans="2:9">
      <c r="B34" s="16"/>
      <c r="C34" s="115" t="s">
        <v>378</v>
      </c>
      <c r="D34" s="119"/>
      <c r="E34" s="72"/>
      <c r="F34" s="72"/>
      <c r="G34" s="118" t="s">
        <v>400</v>
      </c>
      <c r="H34" s="18"/>
      <c r="I34" s="19"/>
    </row>
    <row r="35" spans="2:9">
      <c r="B35" s="16"/>
      <c r="C35" s="115" t="s">
        <v>379</v>
      </c>
      <c r="D35" s="119"/>
      <c r="E35" s="72"/>
      <c r="F35" s="72"/>
      <c r="G35" s="118" t="s">
        <v>401</v>
      </c>
      <c r="H35" s="18"/>
      <c r="I35" s="19"/>
    </row>
    <row r="36" spans="2:9">
      <c r="B36" s="16"/>
      <c r="C36" s="115" t="s">
        <v>380</v>
      </c>
      <c r="D36" s="119"/>
      <c r="E36" s="72"/>
      <c r="F36" s="72"/>
      <c r="G36" s="118" t="s">
        <v>401</v>
      </c>
      <c r="H36" s="18"/>
      <c r="I36" s="19"/>
    </row>
    <row r="37" spans="2:9">
      <c r="B37" s="16"/>
      <c r="C37" s="115" t="s">
        <v>381</v>
      </c>
      <c r="D37" s="119"/>
      <c r="E37" s="72"/>
      <c r="F37" s="72"/>
      <c r="G37" s="118" t="s">
        <v>402</v>
      </c>
      <c r="H37" s="18"/>
      <c r="I37" s="19"/>
    </row>
    <row r="38" spans="2:9">
      <c r="B38" s="16"/>
      <c r="C38" s="115" t="s">
        <v>1824</v>
      </c>
      <c r="D38" s="119"/>
      <c r="E38" s="72"/>
      <c r="F38" s="72"/>
      <c r="G38" s="118" t="s">
        <v>403</v>
      </c>
      <c r="H38" s="18"/>
      <c r="I38" s="19"/>
    </row>
    <row r="39" spans="2:9" ht="16.5" thickBot="1">
      <c r="B39" s="21"/>
      <c r="C39" s="22"/>
      <c r="D39" s="22"/>
      <c r="E39" s="22"/>
      <c r="F39" s="22"/>
      <c r="G39" s="22"/>
      <c r="H39" s="22"/>
      <c r="I39" s="23"/>
    </row>
    <row r="40" spans="2:9">
      <c r="B40" s="13"/>
      <c r="C40" s="14"/>
      <c r="D40" s="14"/>
      <c r="E40" s="14"/>
      <c r="F40" s="14"/>
      <c r="G40" s="14"/>
      <c r="H40" s="14"/>
      <c r="I40" s="15"/>
    </row>
    <row r="41" spans="2:9">
      <c r="B41" s="16"/>
      <c r="C41" s="17" t="s">
        <v>993</v>
      </c>
      <c r="D41" s="18"/>
      <c r="E41" s="18"/>
      <c r="F41" s="18"/>
      <c r="G41" s="18"/>
      <c r="H41" s="18"/>
      <c r="I41" s="19"/>
    </row>
    <row r="42" spans="2:9">
      <c r="B42" s="16"/>
      <c r="C42" s="17"/>
      <c r="D42" s="18"/>
      <c r="E42" s="18"/>
      <c r="F42" s="18"/>
      <c r="G42" s="18"/>
      <c r="H42" s="18"/>
      <c r="I42" s="19"/>
    </row>
    <row r="43" spans="2:9">
      <c r="B43" s="16"/>
      <c r="C43" s="20" t="s">
        <v>1820</v>
      </c>
      <c r="D43" s="18"/>
      <c r="E43" s="18"/>
      <c r="F43" s="18"/>
      <c r="G43" s="18"/>
      <c r="H43" s="18"/>
      <c r="I43" s="19"/>
    </row>
    <row r="44" spans="2:9">
      <c r="B44" s="16"/>
      <c r="C44" s="33" t="s">
        <v>1817</v>
      </c>
      <c r="D44" s="43" t="s">
        <v>20</v>
      </c>
      <c r="E44" s="18"/>
      <c r="F44" s="18"/>
      <c r="G44" s="18"/>
      <c r="H44" s="42" t="s">
        <v>160</v>
      </c>
      <c r="I44" s="19"/>
    </row>
    <row r="45" spans="2:9">
      <c r="B45" s="16"/>
      <c r="C45" s="33" t="s">
        <v>1819</v>
      </c>
      <c r="D45" s="176" t="s">
        <v>915</v>
      </c>
      <c r="E45" s="18"/>
      <c r="F45" s="18"/>
      <c r="G45" s="18"/>
      <c r="H45" s="42" t="s">
        <v>160</v>
      </c>
      <c r="I45" s="19"/>
    </row>
    <row r="46" spans="2:9">
      <c r="B46" s="16"/>
      <c r="C46" s="18" t="s">
        <v>1818</v>
      </c>
      <c r="D46" s="51">
        <f>IFERROR(1*VLOOKUP(D44,UnitConv[],5,FALSE)/VLOOKUP(OutMassUnit,UnitConv[],5,FALSE)*IF(D45="active phase",100/APWeightPercent,1),"-----")</f>
        <v>0.45359237000000002</v>
      </c>
      <c r="E46" s="18"/>
      <c r="F46" s="18"/>
      <c r="G46" s="48" t="str">
        <f>IF(OutMassUnit="","",OutMassUnit&amp;" catalyst")</f>
        <v>kg catalyst</v>
      </c>
      <c r="H46" s="18"/>
      <c r="I46" s="19"/>
    </row>
    <row r="47" spans="2:9">
      <c r="B47" s="16"/>
      <c r="C47" s="18"/>
      <c r="D47" s="18"/>
      <c r="E47" s="18"/>
      <c r="F47" s="18"/>
      <c r="G47" s="18"/>
      <c r="H47" s="18"/>
      <c r="I47" s="19"/>
    </row>
    <row r="48" spans="2:9">
      <c r="B48" s="16"/>
      <c r="C48" s="113" t="s">
        <v>376</v>
      </c>
      <c r="D48" s="121" t="str">
        <f>IF(D44="","&gt;&gt;&gt; Enter unit above &lt;&lt;&lt;","Consumption per "&amp;D44&amp;" "&amp;D45)</f>
        <v>Consumption per lb catalyst</v>
      </c>
      <c r="E48" s="65" t="s">
        <v>40</v>
      </c>
      <c r="F48" s="65" t="s">
        <v>41</v>
      </c>
      <c r="G48" s="121" t="s">
        <v>173</v>
      </c>
      <c r="H48" s="18"/>
      <c r="I48" s="19"/>
    </row>
    <row r="49" spans="2:9">
      <c r="B49" s="16"/>
      <c r="C49" s="115" t="s">
        <v>377</v>
      </c>
      <c r="D49" s="119">
        <v>1.0444308845548915E-4</v>
      </c>
      <c r="E49" s="72"/>
      <c r="F49" s="72"/>
      <c r="G49" s="118" t="s">
        <v>400</v>
      </c>
      <c r="H49" s="18"/>
      <c r="I49" s="19"/>
    </row>
    <row r="50" spans="2:9">
      <c r="B50" s="16"/>
      <c r="C50" s="115" t="s">
        <v>378</v>
      </c>
      <c r="D50" s="119">
        <v>1.5666463268323372E-6</v>
      </c>
      <c r="E50" s="72"/>
      <c r="F50" s="72"/>
      <c r="G50" s="118" t="s">
        <v>400</v>
      </c>
      <c r="H50" s="18"/>
      <c r="I50" s="19"/>
    </row>
    <row r="51" spans="2:9">
      <c r="B51" s="16"/>
      <c r="C51" s="115" t="s">
        <v>379</v>
      </c>
      <c r="D51" s="119">
        <v>6.8081929795244799E-5</v>
      </c>
      <c r="E51" s="72"/>
      <c r="F51" s="72"/>
      <c r="G51" s="118" t="s">
        <v>401</v>
      </c>
      <c r="H51" s="18"/>
      <c r="I51" s="19"/>
    </row>
    <row r="52" spans="2:9">
      <c r="B52" s="16"/>
      <c r="C52" s="115" t="s">
        <v>380</v>
      </c>
      <c r="D52" s="119">
        <v>3.3824411429904638E-4</v>
      </c>
      <c r="E52" s="72"/>
      <c r="F52" s="72"/>
      <c r="G52" s="118" t="s">
        <v>401</v>
      </c>
      <c r="H52" s="18"/>
      <c r="I52" s="19"/>
    </row>
    <row r="53" spans="2:9">
      <c r="B53" s="16"/>
      <c r="C53" s="115" t="s">
        <v>381</v>
      </c>
      <c r="D53" s="119">
        <v>0.21561660899653978</v>
      </c>
      <c r="E53" s="72"/>
      <c r="F53" s="72"/>
      <c r="G53" s="118" t="s">
        <v>402</v>
      </c>
      <c r="H53" s="18"/>
      <c r="I53" s="19"/>
    </row>
    <row r="54" spans="2:9">
      <c r="B54" s="16"/>
      <c r="C54" s="115" t="s">
        <v>1824</v>
      </c>
      <c r="D54" s="119">
        <v>2.2798680955017302E-3</v>
      </c>
      <c r="E54" s="72"/>
      <c r="F54" s="72"/>
      <c r="G54" s="118" t="s">
        <v>403</v>
      </c>
      <c r="H54" s="18"/>
      <c r="I54" s="19"/>
    </row>
    <row r="55" spans="2:9" ht="16.5" thickBot="1">
      <c r="B55" s="21"/>
      <c r="C55" s="22"/>
      <c r="D55" s="22"/>
      <c r="E55" s="22"/>
      <c r="F55" s="22"/>
      <c r="G55" s="22"/>
      <c r="H55" s="22"/>
      <c r="I55" s="23"/>
    </row>
    <row r="56" spans="2:9">
      <c r="B56" s="13"/>
      <c r="C56" s="14"/>
      <c r="D56" s="14"/>
      <c r="E56" s="14"/>
      <c r="F56" s="14"/>
      <c r="G56" s="14"/>
      <c r="H56" s="14"/>
      <c r="I56" s="15"/>
    </row>
    <row r="57" spans="2:9">
      <c r="B57" s="16"/>
      <c r="C57" s="17" t="s">
        <v>998</v>
      </c>
      <c r="D57" s="18"/>
      <c r="E57" s="18"/>
      <c r="F57" s="18"/>
      <c r="G57" s="18"/>
      <c r="H57" s="18"/>
      <c r="I57" s="19"/>
    </row>
    <row r="58" spans="2:9">
      <c r="B58" s="16"/>
      <c r="C58" s="17"/>
      <c r="D58" s="18"/>
      <c r="E58" s="18"/>
      <c r="F58" s="18"/>
      <c r="G58" s="18"/>
      <c r="H58" s="18"/>
      <c r="I58" s="19"/>
    </row>
    <row r="59" spans="2:9">
      <c r="B59" s="16"/>
      <c r="C59" s="20" t="s">
        <v>1820</v>
      </c>
      <c r="D59" s="18"/>
      <c r="E59" s="18"/>
      <c r="F59" s="18"/>
      <c r="G59" s="18"/>
      <c r="H59" s="18"/>
      <c r="I59" s="19"/>
    </row>
    <row r="60" spans="2:9">
      <c r="B60" s="16"/>
      <c r="C60" s="33" t="s">
        <v>1817</v>
      </c>
      <c r="D60" s="43" t="s">
        <v>71</v>
      </c>
      <c r="E60" s="18"/>
      <c r="F60" s="18"/>
      <c r="G60" s="18"/>
      <c r="H60" s="42" t="s">
        <v>160</v>
      </c>
      <c r="I60" s="19"/>
    </row>
    <row r="61" spans="2:9">
      <c r="B61" s="16"/>
      <c r="C61" s="33" t="s">
        <v>1819</v>
      </c>
      <c r="D61" s="176" t="s">
        <v>1011</v>
      </c>
      <c r="E61" s="18"/>
      <c r="F61" s="18"/>
      <c r="G61" s="18"/>
      <c r="H61" s="42" t="s">
        <v>160</v>
      </c>
      <c r="I61" s="19"/>
    </row>
    <row r="62" spans="2:9">
      <c r="B62" s="16"/>
      <c r="C62" s="18" t="s">
        <v>1818</v>
      </c>
      <c r="D62" s="51">
        <f>IFERROR(1*VLOOKUP(D60,UnitConv[],5,FALSE)/VLOOKUP(OutMassUnit,UnitConv[],5,FALSE)*IF(D61="active phase",100/APWeightPercent,1),"-----")</f>
        <v>10</v>
      </c>
      <c r="E62" s="18"/>
      <c r="F62" s="18"/>
      <c r="G62" s="48" t="str">
        <f>IF(OutMassUnit="","",OutMassUnit&amp;" catalyst")</f>
        <v>kg catalyst</v>
      </c>
      <c r="H62" s="18"/>
      <c r="I62" s="19"/>
    </row>
    <row r="63" spans="2:9">
      <c r="B63" s="16"/>
      <c r="C63" s="18"/>
      <c r="D63" s="18"/>
      <c r="E63" s="18"/>
      <c r="F63" s="18"/>
      <c r="G63" s="18"/>
      <c r="H63" s="18"/>
      <c r="I63" s="19"/>
    </row>
    <row r="64" spans="2:9">
      <c r="B64" s="16"/>
      <c r="C64" s="113" t="s">
        <v>376</v>
      </c>
      <c r="D64" s="121" t="str">
        <f>IF(D60="","&gt;&gt;&gt; Enter unit above &lt;&lt;&lt;","Consumption per "&amp;D60&amp;" "&amp;D61)</f>
        <v>Consumption per kg active phase</v>
      </c>
      <c r="E64" s="65" t="s">
        <v>40</v>
      </c>
      <c r="F64" s="65" t="s">
        <v>41</v>
      </c>
      <c r="G64" s="121" t="s">
        <v>173</v>
      </c>
      <c r="H64" s="18"/>
      <c r="I64" s="19"/>
    </row>
    <row r="65" spans="2:9">
      <c r="B65" s="16"/>
      <c r="C65" s="115" t="s">
        <v>377</v>
      </c>
      <c r="D65" s="119">
        <v>0</v>
      </c>
      <c r="E65" s="72"/>
      <c r="F65" s="72"/>
      <c r="G65" s="118" t="s">
        <v>400</v>
      </c>
      <c r="H65" s="18"/>
      <c r="I65" s="19"/>
    </row>
    <row r="66" spans="2:9">
      <c r="B66" s="16"/>
      <c r="C66" s="115" t="s">
        <v>378</v>
      </c>
      <c r="D66" s="119">
        <v>0</v>
      </c>
      <c r="E66" s="72"/>
      <c r="F66" s="72"/>
      <c r="G66" s="118" t="s">
        <v>400</v>
      </c>
      <c r="H66" s="18"/>
      <c r="I66" s="19"/>
    </row>
    <row r="67" spans="2:9">
      <c r="B67" s="16"/>
      <c r="C67" s="115" t="s">
        <v>379</v>
      </c>
      <c r="D67" s="119">
        <v>0</v>
      </c>
      <c r="E67" s="72"/>
      <c r="F67" s="72"/>
      <c r="G67" s="118" t="s">
        <v>401</v>
      </c>
      <c r="H67" s="18"/>
      <c r="I67" s="19"/>
    </row>
    <row r="68" spans="2:9">
      <c r="B68" s="16"/>
      <c r="C68" s="115" t="s">
        <v>380</v>
      </c>
      <c r="D68" s="119">
        <v>0</v>
      </c>
      <c r="E68" s="72"/>
      <c r="F68" s="72"/>
      <c r="G68" s="118" t="s">
        <v>401</v>
      </c>
      <c r="H68" s="18"/>
      <c r="I68" s="19"/>
    </row>
    <row r="69" spans="2:9">
      <c r="B69" s="16"/>
      <c r="C69" s="115" t="s">
        <v>381</v>
      </c>
      <c r="D69" s="119">
        <v>5.2914638157894736</v>
      </c>
      <c r="E69" s="72"/>
      <c r="F69" s="72"/>
      <c r="G69" s="118" t="s">
        <v>402</v>
      </c>
      <c r="H69" s="18"/>
      <c r="I69" s="19"/>
    </row>
    <row r="70" spans="2:9">
      <c r="B70" s="16"/>
      <c r="C70" s="115" t="s">
        <v>1824</v>
      </c>
      <c r="D70" s="119">
        <v>0</v>
      </c>
      <c r="E70" s="72"/>
      <c r="F70" s="72"/>
      <c r="G70" s="118" t="s">
        <v>403</v>
      </c>
      <c r="H70" s="18"/>
      <c r="I70" s="19"/>
    </row>
    <row r="71" spans="2:9" ht="16.5" thickBot="1">
      <c r="B71" s="21"/>
      <c r="C71" s="22"/>
      <c r="D71" s="22"/>
      <c r="E71" s="22"/>
      <c r="F71" s="22"/>
      <c r="G71" s="22"/>
      <c r="H71" s="22"/>
      <c r="I71" s="23"/>
    </row>
    <row r="72" spans="2:9">
      <c r="B72" s="13"/>
      <c r="C72" s="14"/>
      <c r="D72" s="14"/>
      <c r="E72" s="14"/>
      <c r="F72" s="14"/>
      <c r="G72" s="14"/>
      <c r="H72" s="14"/>
      <c r="I72" s="15"/>
    </row>
    <row r="73" spans="2:9">
      <c r="B73" s="16"/>
      <c r="C73" s="17" t="s">
        <v>999</v>
      </c>
      <c r="D73" s="18"/>
      <c r="E73" s="18"/>
      <c r="F73" s="18"/>
      <c r="G73" s="18"/>
      <c r="H73" s="18"/>
      <c r="I73" s="19"/>
    </row>
    <row r="74" spans="2:9">
      <c r="B74" s="16"/>
      <c r="C74" s="17"/>
      <c r="D74" s="18"/>
      <c r="E74" s="18"/>
      <c r="F74" s="18"/>
      <c r="G74" s="18"/>
      <c r="H74" s="18"/>
      <c r="I74" s="19"/>
    </row>
    <row r="75" spans="2:9">
      <c r="B75" s="16"/>
      <c r="C75" s="20" t="s">
        <v>1820</v>
      </c>
      <c r="D75" s="18"/>
      <c r="E75" s="18"/>
      <c r="F75" s="18"/>
      <c r="G75" s="18"/>
      <c r="H75" s="18"/>
      <c r="I75" s="19"/>
    </row>
    <row r="76" spans="2:9">
      <c r="B76" s="16"/>
      <c r="C76" s="33" t="s">
        <v>1817</v>
      </c>
      <c r="D76" s="43" t="s">
        <v>20</v>
      </c>
      <c r="E76" s="18"/>
      <c r="F76" s="18"/>
      <c r="G76" s="18"/>
      <c r="H76" s="42" t="s">
        <v>160</v>
      </c>
      <c r="I76" s="19"/>
    </row>
    <row r="77" spans="2:9">
      <c r="B77" s="16"/>
      <c r="C77" s="33" t="s">
        <v>1819</v>
      </c>
      <c r="D77" s="176" t="s">
        <v>915</v>
      </c>
      <c r="E77" s="18"/>
      <c r="F77" s="18"/>
      <c r="G77" s="18"/>
      <c r="H77" s="42" t="s">
        <v>160</v>
      </c>
      <c r="I77" s="19"/>
    </row>
    <row r="78" spans="2:9">
      <c r="B78" s="16"/>
      <c r="C78" s="18" t="s">
        <v>1818</v>
      </c>
      <c r="D78" s="51">
        <f>IFERROR(1*VLOOKUP(D76,UnitConv[],5,FALSE)/VLOOKUP(OutMassUnit,UnitConv[],5,FALSE)*IF(D77="active phase",100/APWeightPercent,1),"-----")</f>
        <v>0.45359237000000002</v>
      </c>
      <c r="E78" s="18"/>
      <c r="F78" s="18"/>
      <c r="G78" s="48" t="str">
        <f>IF(OutMassUnit="","",OutMassUnit&amp;" catalyst")</f>
        <v>kg catalyst</v>
      </c>
      <c r="H78" s="18"/>
      <c r="I78" s="19"/>
    </row>
    <row r="79" spans="2:9">
      <c r="B79" s="16"/>
      <c r="C79" s="18"/>
      <c r="D79" s="18"/>
      <c r="E79" s="18"/>
      <c r="F79" s="18"/>
      <c r="G79" s="18"/>
      <c r="H79" s="18"/>
      <c r="I79" s="19"/>
    </row>
    <row r="80" spans="2:9">
      <c r="B80" s="16"/>
      <c r="C80" s="113" t="s">
        <v>376</v>
      </c>
      <c r="D80" s="121" t="str">
        <f>IF(D76="","&gt;&gt;&gt; Enter unit above &lt;&lt;&lt;","Consumption per "&amp;D76&amp;" "&amp;D77)</f>
        <v>Consumption per lb catalyst</v>
      </c>
      <c r="E80" s="65" t="s">
        <v>40</v>
      </c>
      <c r="F80" s="65" t="s">
        <v>41</v>
      </c>
      <c r="G80" s="121" t="s">
        <v>173</v>
      </c>
      <c r="H80" s="18"/>
      <c r="I80" s="19"/>
    </row>
    <row r="81" spans="2:9">
      <c r="B81" s="16"/>
      <c r="C81" s="115" t="s">
        <v>377</v>
      </c>
      <c r="D81" s="119">
        <v>1.1863724363636363E-4</v>
      </c>
      <c r="E81" s="72"/>
      <c r="F81" s="72"/>
      <c r="G81" s="118" t="s">
        <v>400</v>
      </c>
      <c r="H81" s="18"/>
      <c r="I81" s="19"/>
    </row>
    <row r="82" spans="2:9">
      <c r="B82" s="16"/>
      <c r="C82" s="115" t="s">
        <v>378</v>
      </c>
      <c r="D82" s="119">
        <v>6.8747040576363637E-5</v>
      </c>
      <c r="E82" s="72"/>
      <c r="F82" s="72"/>
      <c r="G82" s="118" t="s">
        <v>400</v>
      </c>
      <c r="H82" s="18"/>
      <c r="I82" s="19"/>
    </row>
    <row r="83" spans="2:9">
      <c r="B83" s="16"/>
      <c r="C83" s="115" t="s">
        <v>379</v>
      </c>
      <c r="D83" s="119">
        <v>9.0015586562565715E-5</v>
      </c>
      <c r="E83" s="72"/>
      <c r="F83" s="72"/>
      <c r="G83" s="118" t="s">
        <v>401</v>
      </c>
      <c r="H83" s="18"/>
      <c r="I83" s="19"/>
    </row>
    <row r="84" spans="2:9">
      <c r="B84" s="16"/>
      <c r="C84" s="115" t="s">
        <v>380</v>
      </c>
      <c r="D84" s="119">
        <v>4.4721473732506898E-4</v>
      </c>
      <c r="E84" s="72"/>
      <c r="F84" s="72"/>
      <c r="G84" s="118" t="s">
        <v>401</v>
      </c>
      <c r="H84" s="18"/>
      <c r="I84" s="19"/>
    </row>
    <row r="85" spans="2:9">
      <c r="B85" s="16"/>
      <c r="C85" s="115" t="s">
        <v>381</v>
      </c>
      <c r="D85" s="119">
        <v>0.27579097272727271</v>
      </c>
      <c r="E85" s="72"/>
      <c r="F85" s="72"/>
      <c r="G85" s="118" t="s">
        <v>402</v>
      </c>
      <c r="H85" s="18"/>
      <c r="I85" s="19"/>
    </row>
    <row r="86" spans="2:9">
      <c r="B86" s="16"/>
      <c r="C86" s="115" t="s">
        <v>1824</v>
      </c>
      <c r="D86" s="119">
        <v>3.0143632020871677E-3</v>
      </c>
      <c r="E86" s="72"/>
      <c r="F86" s="72"/>
      <c r="G86" s="118" t="s">
        <v>403</v>
      </c>
      <c r="H86" s="18"/>
      <c r="I86" s="19"/>
    </row>
    <row r="87" spans="2:9" ht="16.5" thickBot="1">
      <c r="B87" s="21"/>
      <c r="C87" s="22"/>
      <c r="D87" s="22"/>
      <c r="E87" s="22"/>
      <c r="F87" s="22"/>
      <c r="G87" s="22"/>
      <c r="H87" s="22"/>
      <c r="I87" s="23"/>
    </row>
    <row r="88" spans="2:9">
      <c r="B88" s="13"/>
      <c r="C88" s="14"/>
      <c r="D88" s="14"/>
      <c r="E88" s="14"/>
      <c r="F88" s="14"/>
      <c r="G88" s="14"/>
      <c r="H88" s="14"/>
      <c r="I88" s="15"/>
    </row>
    <row r="89" spans="2:9">
      <c r="B89" s="16"/>
      <c r="C89" s="17" t="s">
        <v>992</v>
      </c>
      <c r="D89" s="18"/>
      <c r="E89" s="18"/>
      <c r="F89" s="18"/>
      <c r="G89" s="18"/>
      <c r="H89" s="18"/>
      <c r="I89" s="19"/>
    </row>
    <row r="90" spans="2:9">
      <c r="B90" s="16"/>
      <c r="C90" s="17"/>
      <c r="D90" s="18"/>
      <c r="E90" s="18"/>
      <c r="F90" s="18"/>
      <c r="G90" s="18"/>
      <c r="H90" s="18"/>
      <c r="I90" s="19"/>
    </row>
    <row r="91" spans="2:9">
      <c r="B91" s="16"/>
      <c r="C91" s="20" t="s">
        <v>1820</v>
      </c>
      <c r="D91" s="18"/>
      <c r="E91" s="18"/>
      <c r="F91" s="18"/>
      <c r="G91" s="18"/>
      <c r="H91" s="18"/>
      <c r="I91" s="19"/>
    </row>
    <row r="92" spans="2:9">
      <c r="B92" s="16"/>
      <c r="C92" s="33" t="s">
        <v>1817</v>
      </c>
      <c r="D92" s="43" t="s">
        <v>20</v>
      </c>
      <c r="E92" s="18"/>
      <c r="F92" s="18"/>
      <c r="G92" s="18"/>
      <c r="H92" s="42" t="s">
        <v>160</v>
      </c>
      <c r="I92" s="19"/>
    </row>
    <row r="93" spans="2:9">
      <c r="B93" s="16"/>
      <c r="C93" s="33" t="s">
        <v>1819</v>
      </c>
      <c r="D93" s="176" t="s">
        <v>915</v>
      </c>
      <c r="E93" s="18"/>
      <c r="F93" s="18"/>
      <c r="G93" s="18"/>
      <c r="H93" s="42" t="s">
        <v>160</v>
      </c>
      <c r="I93" s="19"/>
    </row>
    <row r="94" spans="2:9">
      <c r="B94" s="16"/>
      <c r="C94" s="18" t="s">
        <v>1818</v>
      </c>
      <c r="D94" s="51">
        <f>IFERROR(1*VLOOKUP(D92,UnitConv[],5,FALSE)/VLOOKUP(OutMassUnit,UnitConv[],5,FALSE)*IF(D93="active phase",100/APWeightPercent,1),"-----")</f>
        <v>0.45359237000000002</v>
      </c>
      <c r="E94" s="18"/>
      <c r="F94" s="18"/>
      <c r="G94" s="48" t="str">
        <f>IF(OutMassUnit="","",OutMassUnit&amp;" catalyst")</f>
        <v>kg catalyst</v>
      </c>
      <c r="H94" s="18"/>
      <c r="I94" s="19"/>
    </row>
    <row r="95" spans="2:9">
      <c r="B95" s="16"/>
      <c r="C95" s="18"/>
      <c r="D95" s="18"/>
      <c r="E95" s="18"/>
      <c r="F95" s="18"/>
      <c r="G95" s="18"/>
      <c r="H95" s="18"/>
      <c r="I95" s="19"/>
    </row>
    <row r="96" spans="2:9">
      <c r="B96" s="16"/>
      <c r="C96" s="113" t="s">
        <v>376</v>
      </c>
      <c r="D96" s="121" t="str">
        <f>IF(D92="","&gt;&gt;&gt; Enter unit above &lt;&lt;&lt;","Consumption per "&amp;D92&amp;" "&amp;D93)</f>
        <v>Consumption per lb catalyst</v>
      </c>
      <c r="E96" s="65" t="s">
        <v>40</v>
      </c>
      <c r="F96" s="65" t="s">
        <v>41</v>
      </c>
      <c r="G96" s="121" t="s">
        <v>173</v>
      </c>
      <c r="H96" s="18"/>
      <c r="I96" s="19"/>
    </row>
    <row r="97" spans="2:9">
      <c r="B97" s="16"/>
      <c r="C97" s="115" t="s">
        <v>377</v>
      </c>
      <c r="D97" s="119">
        <v>0.11622047244094488</v>
      </c>
      <c r="E97" s="72"/>
      <c r="F97" s="72"/>
      <c r="G97" s="118" t="s">
        <v>400</v>
      </c>
      <c r="H97" s="18"/>
      <c r="I97" s="19"/>
    </row>
    <row r="98" spans="2:9">
      <c r="B98" s="16"/>
      <c r="C98" s="115" t="s">
        <v>378</v>
      </c>
      <c r="D98" s="119">
        <v>0</v>
      </c>
      <c r="E98" s="72"/>
      <c r="F98" s="72"/>
      <c r="G98" s="118" t="s">
        <v>400</v>
      </c>
      <c r="H98" s="18"/>
      <c r="I98" s="19"/>
    </row>
    <row r="99" spans="2:9">
      <c r="B99" s="16"/>
      <c r="C99" s="115" t="s">
        <v>379</v>
      </c>
      <c r="D99" s="119">
        <v>1.5748031496062992E-3</v>
      </c>
      <c r="E99" s="72"/>
      <c r="F99" s="72"/>
      <c r="G99" s="118" t="s">
        <v>401</v>
      </c>
      <c r="H99" s="18"/>
      <c r="I99" s="19"/>
    </row>
    <row r="100" spans="2:9">
      <c r="B100" s="16"/>
      <c r="C100" s="115" t="s">
        <v>380</v>
      </c>
      <c r="D100" s="119">
        <v>0</v>
      </c>
      <c r="E100" s="72"/>
      <c r="F100" s="72"/>
      <c r="G100" s="118" t="s">
        <v>401</v>
      </c>
      <c r="H100" s="18"/>
      <c r="I100" s="19"/>
    </row>
    <row r="101" spans="2:9">
      <c r="B101" s="16"/>
      <c r="C101" s="115" t="s">
        <v>381</v>
      </c>
      <c r="D101" s="119">
        <v>0.17</v>
      </c>
      <c r="E101" s="72"/>
      <c r="F101" s="72"/>
      <c r="G101" s="118" t="s">
        <v>402</v>
      </c>
      <c r="H101" s="18"/>
      <c r="I101" s="19"/>
    </row>
    <row r="102" spans="2:9">
      <c r="B102" s="16"/>
      <c r="C102" s="115" t="s">
        <v>1824</v>
      </c>
      <c r="D102" s="119">
        <v>5.905511811023622E-3</v>
      </c>
      <c r="E102" s="72"/>
      <c r="F102" s="72"/>
      <c r="G102" s="118" t="s">
        <v>403</v>
      </c>
      <c r="H102" s="18"/>
      <c r="I102" s="19"/>
    </row>
    <row r="103" spans="2:9" ht="16.5" thickBot="1">
      <c r="B103" s="21"/>
      <c r="C103" s="22"/>
      <c r="D103" s="22"/>
      <c r="E103" s="22"/>
      <c r="F103" s="22"/>
      <c r="G103" s="22"/>
      <c r="H103" s="22"/>
      <c r="I103" s="23"/>
    </row>
  </sheetData>
  <mergeCells count="3">
    <mergeCell ref="B23:D23"/>
    <mergeCell ref="C6:D6"/>
    <mergeCell ref="B3:H3"/>
  </mergeCells>
  <conditionalFormatting sqref="I12:I17">
    <cfRule type="containsBlanks" dxfId="133" priority="25">
      <formula>LEN(TRIM(I12))=0</formula>
    </cfRule>
  </conditionalFormatting>
  <conditionalFormatting sqref="D33:D38">
    <cfRule type="containsBlanks" dxfId="132" priority="24">
      <formula>LEN(TRIM(D33))=0</formula>
    </cfRule>
  </conditionalFormatting>
  <conditionalFormatting sqref="D65:D70">
    <cfRule type="containsBlanks" dxfId="131" priority="23">
      <formula>LEN(TRIM(D65))=0</formula>
    </cfRule>
  </conditionalFormatting>
  <conditionalFormatting sqref="D49:D54">
    <cfRule type="containsBlanks" dxfId="130" priority="22">
      <formula>LEN(TRIM(D49))=0</formula>
    </cfRule>
  </conditionalFormatting>
  <conditionalFormatting sqref="D81:D86">
    <cfRule type="containsBlanks" dxfId="129" priority="21">
      <formula>LEN(TRIM(D81))=0</formula>
    </cfRule>
  </conditionalFormatting>
  <conditionalFormatting sqref="D97:D102">
    <cfRule type="containsBlanks" dxfId="128" priority="20">
      <formula>LEN(TRIM(D97))=0</formula>
    </cfRule>
  </conditionalFormatting>
  <conditionalFormatting sqref="C6:D6">
    <cfRule type="containsBlanks" dxfId="127" priority="26">
      <formula>LEN(TRIM(C6))=0</formula>
    </cfRule>
  </conditionalFormatting>
  <conditionalFormatting sqref="D60">
    <cfRule type="containsBlanks" dxfId="126" priority="6">
      <formula>LEN(TRIM(D60))=0</formula>
    </cfRule>
  </conditionalFormatting>
  <conditionalFormatting sqref="D28">
    <cfRule type="containsBlanks" dxfId="125" priority="15">
      <formula>LEN(TRIM(D28))=0</formula>
    </cfRule>
  </conditionalFormatting>
  <conditionalFormatting sqref="D44">
    <cfRule type="containsBlanks" dxfId="124" priority="8">
      <formula>LEN(TRIM(D44))=0</formula>
    </cfRule>
  </conditionalFormatting>
  <conditionalFormatting sqref="D29">
    <cfRule type="containsBlanks" dxfId="123" priority="11">
      <formula>LEN(TRIM(D29))=0</formula>
    </cfRule>
  </conditionalFormatting>
  <conditionalFormatting sqref="D92">
    <cfRule type="containsBlanks" dxfId="122" priority="2">
      <formula>LEN(TRIM(D92))=0</formula>
    </cfRule>
  </conditionalFormatting>
  <conditionalFormatting sqref="D93">
    <cfRule type="containsBlanks" dxfId="121" priority="1">
      <formula>LEN(TRIM(D93))=0</formula>
    </cfRule>
  </conditionalFormatting>
  <conditionalFormatting sqref="D45">
    <cfRule type="containsBlanks" dxfId="120" priority="7">
      <formula>LEN(TRIM(D45))=0</formula>
    </cfRule>
  </conditionalFormatting>
  <conditionalFormatting sqref="D61">
    <cfRule type="containsBlanks" dxfId="119" priority="5">
      <formula>LEN(TRIM(D61))=0</formula>
    </cfRule>
  </conditionalFormatting>
  <conditionalFormatting sqref="D76">
    <cfRule type="containsBlanks" dxfId="118" priority="4">
      <formula>LEN(TRIM(D76))=0</formula>
    </cfRule>
  </conditionalFormatting>
  <conditionalFormatting sqref="D77">
    <cfRule type="containsBlanks" dxfId="117" priority="3">
      <formula>LEN(TRIM(D77))=0</formula>
    </cfRule>
  </conditionalFormatting>
  <dataValidations count="3">
    <dataValidation type="list" allowBlank="1" showInputMessage="1" showErrorMessage="1" sqref="C6:D6" xr:uid="{83DFA91F-0B54-4C44-8798-7C286721C2BF}">
      <formula1>fnEquipTemplates</formula1>
    </dataValidation>
    <dataValidation type="list" allowBlank="1" showInputMessage="1" showErrorMessage="1" sqref="D76 D44 D28 D60 D92" xr:uid="{3AF906B4-7AF5-1248-8840-F660F8D518AE}">
      <formula1>MassUnits</formula1>
    </dataValidation>
    <dataValidation type="list" allowBlank="1" showInputMessage="1" showErrorMessage="1" sqref="D29 D45 D61 D77 D93" xr:uid="{CFB4EB7F-8DBC-964C-B397-02D1C782B740}">
      <formula1>"catalyst,active phase"</formula1>
    </dataValidation>
  </dataValidations>
  <pageMargins left="0.75" right="0.75" top="1" bottom="1" header="0.5" footer="0.5"/>
  <pageSetup orientation="portrait" horizontalDpi="4294967292" verticalDpi="4294967292"/>
  <ignoredErrors>
    <ignoredError sqref="A1:XFD5 J12:XFD13 J16:XFD17 A7:XFD11 A6:B6 E6:XFD6 A104:XFD1048576 A97:C101 E97:H97 A18:XFD23 A31:H31 A25:B25 A12:C16 G12:H13 G14:XFD15 G16:H17 A33:C33 A32:C32 E32:H32 A55:H57 A65:H68 A81:C85 A39:H41 A34:C34 G34:H34 A35:C35 G35:H35 A36:C36 G36:H36 A37:C37 G37:H37 E102:H102 G99:H99 G100:H100 G101:H101 G98:H98 A103:H103 J103:XFD103 J97:XFD97 A24:H24 J24:XFD24 J31:XFD31 J25:XFD25 J33:XFD33 J32:XFD32 J49:M56 J65:XFD72 J81:XFD88 J38:XFD39 J34:XFD34 J35:XFD35 J36:XFD36 J37:XFD37 J102:XFD102 J99:XFD99 J100:XFD100 J101:XFD101 J98:XFD98 E33:H33 J57:M57 O57:XFD57 J73:M73 O73:XFD73 J89:M89 O89:XFD89 A71:H73 A69:C69 E69:H69 O49:XFD56 J40:M41 O40:XFD41 A49:C53 E49:H54 A17:B17 A38:B38 D38:H38 A54:B54 A70:B70 D70:H70 A87:H89 A86:B86 E86:H86 A102:B102 D25:H25 E81:H85" emptyCellReference="1"/>
  </ignoredErrors>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U31"/>
  <sheetViews>
    <sheetView workbookViewId="0">
      <pane ySplit="1" topLeftCell="A2" activePane="bottomLeft" state="frozenSplit"/>
      <selection pane="bottomLeft"/>
    </sheetView>
  </sheetViews>
  <sheetFormatPr defaultColWidth="11" defaultRowHeight="15.75" outlineLevelCol="1"/>
  <cols>
    <col min="1" max="2" width="2.5" style="11" customWidth="1"/>
    <col min="3" max="3" width="33" style="11" customWidth="1"/>
    <col min="4" max="4" width="11" style="11"/>
    <col min="5" max="5" width="12.375" style="11" hidden="1" customWidth="1" outlineLevel="1"/>
    <col min="6" max="6" width="12.625" style="11" hidden="1" customWidth="1" outlineLevel="1"/>
    <col min="7" max="7" width="27" style="11" bestFit="1" customWidth="1" collapsed="1"/>
    <col min="8" max="8" width="16.5" style="11" bestFit="1" customWidth="1"/>
    <col min="9" max="9" width="2.5" style="11" customWidth="1"/>
    <col min="10" max="10" width="4.875" style="11" customWidth="1"/>
    <col min="11" max="11" width="2.5" style="11" customWidth="1"/>
    <col min="12" max="16384" width="11" style="11"/>
  </cols>
  <sheetData>
    <row r="1" spans="2:21" s="10" customFormat="1" ht="24" customHeight="1">
      <c r="B1" s="107" t="str">
        <f>"CatCost v"&amp;Version&amp;": "&amp;EstimateName</f>
        <v>CatCost v1.0.4: Test1</v>
      </c>
      <c r="G1" s="108" t="s">
        <v>44</v>
      </c>
      <c r="K1" s="109"/>
      <c r="L1" s="109"/>
      <c r="M1" s="109"/>
      <c r="N1" s="109"/>
      <c r="O1" s="109"/>
      <c r="P1" s="109"/>
      <c r="Q1" s="109"/>
      <c r="R1" s="109"/>
      <c r="S1" s="109"/>
      <c r="T1" s="108"/>
      <c r="U1" s="109"/>
    </row>
    <row r="2" spans="2:21" ht="16.5" thickBot="1"/>
    <row r="3" spans="2:21" ht="21" thickBot="1">
      <c r="B3" s="414" t="s">
        <v>1050</v>
      </c>
      <c r="C3" s="415"/>
      <c r="D3" s="415"/>
      <c r="E3" s="415"/>
      <c r="F3" s="415"/>
      <c r="G3" s="416"/>
    </row>
    <row r="4" spans="2:21">
      <c r="B4" s="13"/>
      <c r="C4" s="14"/>
      <c r="D4" s="14"/>
      <c r="E4" s="14"/>
      <c r="F4" s="14"/>
      <c r="G4" s="14"/>
      <c r="H4" s="14"/>
      <c r="I4" s="14"/>
      <c r="J4" s="14"/>
      <c r="K4" s="15"/>
    </row>
    <row r="5" spans="2:21">
      <c r="B5" s="16"/>
      <c r="C5" s="20" t="s">
        <v>385</v>
      </c>
      <c r="D5" s="65" t="s">
        <v>39</v>
      </c>
      <c r="E5" s="65" t="s">
        <v>40</v>
      </c>
      <c r="F5" s="65" t="s">
        <v>41</v>
      </c>
      <c r="G5" s="64" t="s">
        <v>173</v>
      </c>
      <c r="H5" s="64" t="str">
        <f>"Total Cost ("&amp;CurrencySymbol&amp;")"</f>
        <v>Total Cost ($)</v>
      </c>
      <c r="I5" s="64"/>
      <c r="J5" s="64"/>
      <c r="K5" s="19"/>
    </row>
    <row r="6" spans="2:21">
      <c r="B6" s="16"/>
      <c r="C6" s="18"/>
      <c r="D6" s="18"/>
      <c r="E6" s="122"/>
      <c r="F6" s="122"/>
      <c r="G6" s="18"/>
      <c r="H6" s="18"/>
      <c r="I6" s="18"/>
      <c r="J6" s="18"/>
      <c r="K6" s="19"/>
    </row>
    <row r="7" spans="2:21">
      <c r="B7" s="16"/>
      <c r="C7" s="20" t="s">
        <v>387</v>
      </c>
      <c r="D7" s="18"/>
      <c r="E7" s="122"/>
      <c r="F7" s="122"/>
      <c r="G7" s="18"/>
      <c r="H7" s="18"/>
      <c r="I7" s="18"/>
      <c r="J7" s="18"/>
      <c r="K7" s="19"/>
    </row>
    <row r="8" spans="2:21">
      <c r="B8" s="16"/>
      <c r="C8" s="123" t="s">
        <v>189</v>
      </c>
      <c r="D8" s="48">
        <v>100</v>
      </c>
      <c r="E8" s="128">
        <v>75</v>
      </c>
      <c r="F8" s="131">
        <v>125</v>
      </c>
      <c r="G8" s="48" t="s">
        <v>214</v>
      </c>
      <c r="H8" s="124">
        <f t="shared" ref="H8:H18" ca="1" si="0">IFERROR(D8/100*EquipPurchase,"")</f>
        <v>84775.477524521441</v>
      </c>
      <c r="I8" s="124"/>
      <c r="J8" s="124"/>
      <c r="K8" s="19"/>
    </row>
    <row r="9" spans="2:21">
      <c r="B9" s="16"/>
      <c r="C9" s="123" t="s">
        <v>190</v>
      </c>
      <c r="D9" s="127">
        <f ca="1">IFERROR(EquipInstalled/EquipPurchase*100-100,0)</f>
        <v>0</v>
      </c>
      <c r="E9" s="129">
        <f ca="1">D9*0.85</f>
        <v>0</v>
      </c>
      <c r="F9" s="132">
        <f ca="1">D9*1.25</f>
        <v>0</v>
      </c>
      <c r="G9" s="61" t="s">
        <v>214</v>
      </c>
      <c r="H9" s="124">
        <f t="shared" ca="1" si="0"/>
        <v>0</v>
      </c>
      <c r="I9" s="124"/>
      <c r="J9" s="124"/>
      <c r="K9" s="19"/>
    </row>
    <row r="10" spans="2:21">
      <c r="B10" s="16"/>
      <c r="C10" s="123" t="s">
        <v>191</v>
      </c>
      <c r="D10" s="56">
        <v>26</v>
      </c>
      <c r="E10" s="60">
        <v>18</v>
      </c>
      <c r="F10" s="60">
        <v>36</v>
      </c>
      <c r="G10" s="58" t="s">
        <v>214</v>
      </c>
      <c r="H10" s="124">
        <f t="shared" ca="1" si="0"/>
        <v>22041.624156375576</v>
      </c>
      <c r="I10" s="124"/>
      <c r="J10" s="124"/>
      <c r="K10" s="19"/>
    </row>
    <row r="11" spans="2:21">
      <c r="B11" s="16"/>
      <c r="C11" s="123" t="s">
        <v>192</v>
      </c>
      <c r="D11" s="56">
        <v>31</v>
      </c>
      <c r="E11" s="60">
        <v>16</v>
      </c>
      <c r="F11" s="60">
        <v>68</v>
      </c>
      <c r="G11" s="47" t="s">
        <v>214</v>
      </c>
      <c r="H11" s="124">
        <f t="shared" ca="1" si="0"/>
        <v>26280.398032601646</v>
      </c>
      <c r="I11" s="124"/>
      <c r="J11" s="124"/>
      <c r="K11" s="19"/>
    </row>
    <row r="12" spans="2:21">
      <c r="B12" s="16"/>
      <c r="C12" s="123" t="s">
        <v>193</v>
      </c>
      <c r="D12" s="56">
        <v>10</v>
      </c>
      <c r="E12" s="60">
        <v>10</v>
      </c>
      <c r="F12" s="60">
        <v>11</v>
      </c>
      <c r="G12" s="47" t="s">
        <v>214</v>
      </c>
      <c r="H12" s="124">
        <f t="shared" ca="1" si="0"/>
        <v>8477.5477524521448</v>
      </c>
      <c r="I12" s="124"/>
      <c r="J12" s="124"/>
      <c r="K12" s="19"/>
    </row>
    <row r="13" spans="2:21">
      <c r="B13" s="16"/>
      <c r="C13" s="123" t="s">
        <v>194</v>
      </c>
      <c r="D13" s="56">
        <v>29</v>
      </c>
      <c r="E13" s="60">
        <v>7</v>
      </c>
      <c r="F13" s="60">
        <v>47</v>
      </c>
      <c r="G13" s="47" t="s">
        <v>214</v>
      </c>
      <c r="H13" s="124">
        <f t="shared" ca="1" si="0"/>
        <v>24584.888482111215</v>
      </c>
      <c r="I13" s="124"/>
      <c r="J13" s="124"/>
      <c r="K13" s="19"/>
    </row>
    <row r="14" spans="2:21">
      <c r="B14" s="16"/>
      <c r="C14" s="123" t="s">
        <v>195</v>
      </c>
      <c r="D14" s="56">
        <v>12</v>
      </c>
      <c r="E14" s="60">
        <v>10</v>
      </c>
      <c r="F14" s="60">
        <v>15</v>
      </c>
      <c r="G14" s="47" t="s">
        <v>214</v>
      </c>
      <c r="H14" s="124">
        <f t="shared" ca="1" si="0"/>
        <v>10173.057302942572</v>
      </c>
      <c r="I14" s="124"/>
      <c r="J14" s="124"/>
      <c r="K14" s="19"/>
    </row>
    <row r="15" spans="2:21">
      <c r="B15" s="16"/>
      <c r="C15" s="123" t="s">
        <v>196</v>
      </c>
      <c r="D15" s="56">
        <v>55</v>
      </c>
      <c r="E15" s="60">
        <v>40</v>
      </c>
      <c r="F15" s="60">
        <v>70</v>
      </c>
      <c r="G15" s="47" t="s">
        <v>214</v>
      </c>
      <c r="H15" s="124">
        <f t="shared" ca="1" si="0"/>
        <v>46626.512638486798</v>
      </c>
      <c r="I15" s="124"/>
      <c r="J15" s="124"/>
      <c r="K15" s="19"/>
    </row>
    <row r="16" spans="2:21">
      <c r="B16" s="16"/>
      <c r="C16" s="123" t="s">
        <v>197</v>
      </c>
      <c r="D16" s="56">
        <v>5</v>
      </c>
      <c r="E16" s="60">
        <v>2</v>
      </c>
      <c r="F16" s="60">
        <v>6</v>
      </c>
      <c r="G16" s="47" t="s">
        <v>214</v>
      </c>
      <c r="H16" s="124">
        <f t="shared" ca="1" si="0"/>
        <v>4238.7738762260724</v>
      </c>
      <c r="I16" s="124"/>
      <c r="J16" s="124"/>
      <c r="K16" s="19"/>
    </row>
    <row r="17" spans="2:11">
      <c r="B17" s="16"/>
      <c r="C17" s="148" t="s">
        <v>198</v>
      </c>
      <c r="D17" s="56">
        <v>6</v>
      </c>
      <c r="E17" s="60">
        <v>4</v>
      </c>
      <c r="F17" s="60">
        <v>8</v>
      </c>
      <c r="G17" s="47" t="s">
        <v>214</v>
      </c>
      <c r="H17" s="149">
        <f t="shared" ca="1" si="0"/>
        <v>5086.5286514712861</v>
      </c>
      <c r="I17" s="124"/>
      <c r="J17" s="124"/>
      <c r="K17" s="19"/>
    </row>
    <row r="18" spans="2:11">
      <c r="B18" s="16"/>
      <c r="C18" s="20" t="s">
        <v>388</v>
      </c>
      <c r="D18" s="125">
        <f ca="1">SUM(D8:D17)</f>
        <v>274</v>
      </c>
      <c r="E18" s="114"/>
      <c r="F18" s="114"/>
      <c r="G18" s="20" t="s">
        <v>214</v>
      </c>
      <c r="H18" s="126">
        <f t="shared" ca="1" si="0"/>
        <v>232284.80841718876</v>
      </c>
      <c r="I18" s="126"/>
      <c r="J18" s="126"/>
      <c r="K18" s="19"/>
    </row>
    <row r="19" spans="2:11">
      <c r="B19" s="16"/>
      <c r="C19" s="18"/>
      <c r="D19" s="18"/>
      <c r="E19" s="122"/>
      <c r="F19" s="122"/>
      <c r="G19" s="18"/>
      <c r="H19" s="18"/>
      <c r="I19" s="18"/>
      <c r="J19" s="18"/>
      <c r="K19" s="19"/>
    </row>
    <row r="20" spans="2:11">
      <c r="B20" s="16"/>
      <c r="C20" s="120" t="s">
        <v>389</v>
      </c>
      <c r="D20" s="18"/>
      <c r="E20" s="122"/>
      <c r="F20" s="122"/>
      <c r="G20" s="18"/>
      <c r="H20" s="18"/>
      <c r="I20" s="18"/>
      <c r="J20" s="18"/>
      <c r="K20" s="19"/>
    </row>
    <row r="21" spans="2:11">
      <c r="B21" s="16"/>
      <c r="C21" s="123" t="s">
        <v>199</v>
      </c>
      <c r="D21" s="56">
        <v>32</v>
      </c>
      <c r="E21" s="60">
        <v>32</v>
      </c>
      <c r="F21" s="60">
        <v>33</v>
      </c>
      <c r="G21" s="47" t="s">
        <v>214</v>
      </c>
      <c r="H21" s="124">
        <f t="shared" ref="H21:H26" ca="1" si="1">IFERROR(D21/100*EquipPurchase,"")</f>
        <v>27128.152807846862</v>
      </c>
      <c r="I21" s="124"/>
      <c r="J21" s="124"/>
      <c r="K21" s="19"/>
    </row>
    <row r="22" spans="2:11">
      <c r="B22" s="16"/>
      <c r="C22" s="123" t="s">
        <v>200</v>
      </c>
      <c r="D22" s="56">
        <v>34</v>
      </c>
      <c r="E22" s="60">
        <v>34</v>
      </c>
      <c r="F22" s="60">
        <v>41</v>
      </c>
      <c r="G22" s="47" t="s">
        <v>214</v>
      </c>
      <c r="H22" s="124">
        <f t="shared" ca="1" si="1"/>
        <v>28823.662358337293</v>
      </c>
      <c r="I22" s="124"/>
      <c r="J22" s="124"/>
      <c r="K22" s="19"/>
    </row>
    <row r="23" spans="2:11">
      <c r="B23" s="16"/>
      <c r="C23" s="123" t="s">
        <v>201</v>
      </c>
      <c r="D23" s="56">
        <v>4</v>
      </c>
      <c r="E23" s="60">
        <v>4</v>
      </c>
      <c r="F23" s="60">
        <v>4</v>
      </c>
      <c r="G23" s="47" t="s">
        <v>214</v>
      </c>
      <c r="H23" s="124">
        <f t="shared" ca="1" si="1"/>
        <v>3391.0191009808577</v>
      </c>
      <c r="I23" s="124"/>
      <c r="J23" s="124"/>
      <c r="K23" s="19"/>
    </row>
    <row r="24" spans="2:11">
      <c r="B24" s="16"/>
      <c r="C24" s="123" t="s">
        <v>202</v>
      </c>
      <c r="D24" s="56">
        <v>19</v>
      </c>
      <c r="E24" s="60">
        <v>17</v>
      </c>
      <c r="F24" s="60">
        <v>22</v>
      </c>
      <c r="G24" s="47" t="s">
        <v>214</v>
      </c>
      <c r="H24" s="124">
        <f t="shared" ca="1" si="1"/>
        <v>16107.340729659074</v>
      </c>
      <c r="I24" s="124"/>
      <c r="J24" s="124"/>
      <c r="K24" s="19"/>
    </row>
    <row r="25" spans="2:11">
      <c r="B25" s="16"/>
      <c r="C25" s="148" t="s">
        <v>203</v>
      </c>
      <c r="D25" s="56">
        <v>37</v>
      </c>
      <c r="E25" s="60">
        <v>35</v>
      </c>
      <c r="F25" s="60">
        <v>44</v>
      </c>
      <c r="G25" s="47" t="s">
        <v>214</v>
      </c>
      <c r="H25" s="149">
        <f t="shared" ca="1" si="1"/>
        <v>31366.926684072932</v>
      </c>
      <c r="I25" s="124"/>
      <c r="J25" s="124"/>
      <c r="K25" s="19"/>
    </row>
    <row r="26" spans="2:11">
      <c r="B26" s="16"/>
      <c r="C26" s="20" t="s">
        <v>390</v>
      </c>
      <c r="D26" s="20">
        <f>SUM(D21:D25)</f>
        <v>126</v>
      </c>
      <c r="E26" s="114"/>
      <c r="F26" s="114"/>
      <c r="G26" s="20" t="s">
        <v>214</v>
      </c>
      <c r="H26" s="126">
        <f t="shared" ca="1" si="1"/>
        <v>106817.10168089702</v>
      </c>
      <c r="I26" s="126"/>
      <c r="J26" s="126"/>
      <c r="K26" s="19"/>
    </row>
    <row r="27" spans="2:11">
      <c r="B27" s="16"/>
      <c r="C27" s="18"/>
      <c r="D27" s="18"/>
      <c r="E27" s="122"/>
      <c r="F27" s="122"/>
      <c r="G27" s="18"/>
      <c r="H27" s="124"/>
      <c r="I27" s="124"/>
      <c r="J27" s="124"/>
      <c r="K27" s="19"/>
    </row>
    <row r="28" spans="2:11">
      <c r="B28" s="16"/>
      <c r="C28" s="20" t="s">
        <v>391</v>
      </c>
      <c r="D28" s="125">
        <f ca="1">D18+D26</f>
        <v>400</v>
      </c>
      <c r="E28" s="114"/>
      <c r="F28" s="114"/>
      <c r="G28" s="20" t="s">
        <v>214</v>
      </c>
      <c r="H28" s="126">
        <f ca="1">IFERROR(D28/100*EquipPurchase,"")</f>
        <v>339101.91009808576</v>
      </c>
      <c r="I28" s="126"/>
      <c r="J28" s="126"/>
      <c r="K28" s="19"/>
    </row>
    <row r="29" spans="2:11">
      <c r="B29" s="16"/>
      <c r="C29" s="148" t="s">
        <v>204</v>
      </c>
      <c r="D29" s="56">
        <v>75</v>
      </c>
      <c r="E29" s="60">
        <v>65</v>
      </c>
      <c r="F29" s="60">
        <v>85</v>
      </c>
      <c r="G29" s="47" t="s">
        <v>214</v>
      </c>
      <c r="H29" s="149">
        <f ca="1">IFERROR(D29/100*EquipPurchase,"")</f>
        <v>63581.60814339108</v>
      </c>
      <c r="I29" s="124"/>
      <c r="J29" s="42" t="s">
        <v>160</v>
      </c>
      <c r="K29" s="19"/>
    </row>
    <row r="30" spans="2:11">
      <c r="B30" s="16"/>
      <c r="C30" s="20" t="s">
        <v>413</v>
      </c>
      <c r="D30" s="125">
        <f ca="1">D28+D29</f>
        <v>475</v>
      </c>
      <c r="E30" s="114"/>
      <c r="F30" s="114"/>
      <c r="G30" s="20" t="s">
        <v>214</v>
      </c>
      <c r="H30" s="126">
        <f ca="1">IFERROR(D30/100*EquipPurchase,"")</f>
        <v>402683.51824147685</v>
      </c>
      <c r="I30" s="126"/>
      <c r="J30" s="126"/>
      <c r="K30" s="19"/>
    </row>
    <row r="31" spans="2:11" ht="16.5" thickBot="1">
      <c r="B31" s="21"/>
      <c r="C31" s="22"/>
      <c r="D31" s="22"/>
      <c r="E31" s="22"/>
      <c r="F31" s="22"/>
      <c r="G31" s="22"/>
      <c r="H31" s="22"/>
      <c r="I31" s="22"/>
      <c r="J31" s="22"/>
      <c r="K31" s="23"/>
    </row>
  </sheetData>
  <mergeCells count="1">
    <mergeCell ref="B3:G3"/>
  </mergeCells>
  <conditionalFormatting sqref="D10:D17 D21:D25 D29">
    <cfRule type="containsBlanks" dxfId="116" priority="1">
      <formula>LEN(TRIM(D10))=0</formula>
    </cfRule>
  </conditionalFormatting>
  <pageMargins left="0.75" right="0.75" top="1" bottom="1" header="0.5" footer="0.5"/>
  <pageSetup orientation="portrait" horizontalDpi="4294967292" verticalDpi="4294967292"/>
  <ignoredErrors>
    <ignoredError sqref="B1" emptyCellReference="1"/>
  </ignoredErrors>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T34"/>
  <sheetViews>
    <sheetView workbookViewId="0">
      <pane ySplit="1" topLeftCell="A2" activePane="bottomLeft" state="frozenSplit"/>
      <selection pane="bottomLeft"/>
    </sheetView>
  </sheetViews>
  <sheetFormatPr defaultColWidth="11" defaultRowHeight="15.75" outlineLevelCol="1"/>
  <cols>
    <col min="1" max="2" width="2.5" style="11" customWidth="1"/>
    <col min="3" max="3" width="39.125" style="11" customWidth="1"/>
    <col min="4" max="4" width="11" style="11" customWidth="1"/>
    <col min="5" max="6" width="11" style="11" hidden="1" customWidth="1" outlineLevel="1"/>
    <col min="7" max="7" width="44.625" style="11" bestFit="1" customWidth="1" collapsed="1"/>
    <col min="8" max="8" width="14.125" style="11" bestFit="1" customWidth="1"/>
    <col min="9" max="9" width="16.5" style="11" bestFit="1" customWidth="1"/>
    <col min="10" max="10" width="2.5" style="11" customWidth="1"/>
    <col min="11" max="11" width="4.875" style="11" customWidth="1"/>
    <col min="12" max="12" width="2.5" style="11" customWidth="1"/>
    <col min="13" max="16384" width="11" style="11"/>
  </cols>
  <sheetData>
    <row r="1" spans="2:20" s="10" customFormat="1" ht="24" customHeight="1">
      <c r="B1" s="107" t="str">
        <f>"CatCost v"&amp;Version&amp;": "&amp;EstimateName</f>
        <v>CatCost v1.0.4: Test1</v>
      </c>
      <c r="G1" s="108" t="s">
        <v>44</v>
      </c>
      <c r="H1" s="109"/>
      <c r="I1" s="109"/>
      <c r="J1" s="109"/>
      <c r="K1" s="109"/>
      <c r="L1" s="109"/>
      <c r="M1" s="109"/>
      <c r="N1" s="109"/>
      <c r="O1" s="109"/>
      <c r="P1" s="109"/>
      <c r="Q1" s="109"/>
      <c r="R1" s="109"/>
      <c r="S1" s="108"/>
      <c r="T1" s="109"/>
    </row>
    <row r="2" spans="2:20" ht="16.5" thickBot="1"/>
    <row r="3" spans="2:20" ht="21" thickBot="1">
      <c r="B3" s="414" t="s">
        <v>1051</v>
      </c>
      <c r="C3" s="415"/>
      <c r="D3" s="415"/>
      <c r="E3" s="415"/>
      <c r="F3" s="415"/>
      <c r="G3" s="416"/>
    </row>
    <row r="4" spans="2:20">
      <c r="B4" s="13"/>
      <c r="C4" s="14"/>
      <c r="D4" s="14"/>
      <c r="E4" s="14"/>
      <c r="F4" s="14"/>
      <c r="G4" s="14"/>
      <c r="H4" s="14"/>
      <c r="I4" s="14"/>
      <c r="J4" s="14"/>
      <c r="K4" s="14"/>
      <c r="L4" s="15"/>
    </row>
    <row r="5" spans="2:20">
      <c r="B5" s="16"/>
      <c r="C5" s="20" t="s">
        <v>385</v>
      </c>
      <c r="D5" s="65" t="s">
        <v>39</v>
      </c>
      <c r="E5" s="65" t="s">
        <v>40</v>
      </c>
      <c r="F5" s="65" t="s">
        <v>41</v>
      </c>
      <c r="G5" s="64" t="s">
        <v>173</v>
      </c>
      <c r="H5" s="64" t="str">
        <f>"Cost ("&amp;CurrencySymbol&amp;"/year)"</f>
        <v>Cost ($/year)</v>
      </c>
      <c r="I5" s="64" t="str">
        <f>"Cost ("&amp;CurrencySymbol&amp;"/"&amp;OutMassUnit&amp;" catalyst)"</f>
        <v>Cost ($/kg catalyst)</v>
      </c>
      <c r="J5" s="64"/>
      <c r="K5" s="64"/>
      <c r="L5" s="19"/>
    </row>
    <row r="6" spans="2:20">
      <c r="B6" s="16"/>
      <c r="C6" s="18"/>
      <c r="D6" s="18"/>
      <c r="E6" s="18"/>
      <c r="F6" s="18"/>
      <c r="G6" s="18"/>
      <c r="H6" s="18"/>
      <c r="I6" s="18"/>
      <c r="J6" s="18"/>
      <c r="K6" s="18"/>
      <c r="L6" s="19"/>
    </row>
    <row r="7" spans="2:20">
      <c r="B7" s="16"/>
      <c r="C7" s="20" t="s">
        <v>414</v>
      </c>
      <c r="D7" s="18"/>
      <c r="E7" s="18"/>
      <c r="F7" s="18"/>
      <c r="G7" s="18"/>
      <c r="H7" s="18"/>
      <c r="I7" s="18"/>
      <c r="J7" s="18"/>
      <c r="K7" s="18"/>
      <c r="L7" s="19"/>
    </row>
    <row r="8" spans="2:20">
      <c r="B8" s="16"/>
      <c r="C8" s="123" t="s">
        <v>206</v>
      </c>
      <c r="D8" s="51">
        <f ca="1">IFERROR(ROUNDUP(LaborFacTotal,0),"")</f>
        <v>1</v>
      </c>
      <c r="E8" s="194">
        <f ca="1">IFERROR(MAX(D8-1,1),"")</f>
        <v>1</v>
      </c>
      <c r="F8" s="141">
        <f ca="1">IFERROR(D8+1,"")</f>
        <v>2</v>
      </c>
      <c r="G8" s="48" t="s">
        <v>416</v>
      </c>
      <c r="H8" s="18"/>
      <c r="I8" s="18"/>
      <c r="J8" s="18"/>
      <c r="K8" s="18"/>
      <c r="L8" s="19"/>
    </row>
    <row r="9" spans="2:20">
      <c r="B9" s="16"/>
      <c r="C9" s="123" t="s">
        <v>207</v>
      </c>
      <c r="D9" s="133">
        <f ca="1">IFERROR(LaborHours*D8,"")</f>
        <v>8760</v>
      </c>
      <c r="E9" s="142"/>
      <c r="F9" s="142"/>
      <c r="G9" s="48" t="s">
        <v>360</v>
      </c>
      <c r="H9" s="18"/>
      <c r="I9" s="18"/>
      <c r="J9" s="18"/>
      <c r="K9" s="18"/>
      <c r="L9" s="19"/>
    </row>
    <row r="10" spans="2:20">
      <c r="B10" s="16"/>
      <c r="C10" s="123" t="s">
        <v>356</v>
      </c>
      <c r="D10" s="140">
        <v>48</v>
      </c>
      <c r="E10" s="72">
        <f>D10*0.9</f>
        <v>43.2</v>
      </c>
      <c r="F10" s="72">
        <f>D10*1.15</f>
        <v>55.199999999999996</v>
      </c>
      <c r="G10" s="47" t="str">
        <f>CurrencySymbol&amp;"/hr"</f>
        <v>$/hr</v>
      </c>
      <c r="H10" s="18"/>
      <c r="I10" s="18"/>
      <c r="J10" s="18"/>
      <c r="K10" s="18"/>
      <c r="L10" s="19"/>
    </row>
    <row r="11" spans="2:20">
      <c r="B11" s="16"/>
      <c r="C11" s="138" t="s">
        <v>359</v>
      </c>
      <c r="D11" s="134"/>
      <c r="E11" s="142"/>
      <c r="F11" s="142"/>
      <c r="G11" s="48"/>
      <c r="H11" s="139">
        <f ca="1">IFERROR(D9*D10,"")</f>
        <v>420480</v>
      </c>
      <c r="I11" s="117">
        <f ca="1">IF(H11="","",H11/ActualProduction)</f>
        <v>42.048000000000002</v>
      </c>
      <c r="J11" s="117"/>
      <c r="K11" s="117"/>
      <c r="L11" s="19"/>
    </row>
    <row r="12" spans="2:20">
      <c r="B12" s="16"/>
      <c r="C12" s="123"/>
      <c r="D12" s="134"/>
      <c r="E12" s="142"/>
      <c r="F12" s="142"/>
      <c r="G12" s="48"/>
      <c r="H12" s="135"/>
      <c r="I12" s="136"/>
      <c r="J12" s="136"/>
      <c r="K12" s="136"/>
      <c r="L12" s="19"/>
    </row>
    <row r="13" spans="2:20">
      <c r="B13" s="16"/>
      <c r="C13" s="120" t="s">
        <v>392</v>
      </c>
      <c r="D13" s="134"/>
      <c r="E13" s="142"/>
      <c r="F13" s="142"/>
      <c r="G13" s="48"/>
      <c r="H13" s="135"/>
      <c r="I13" s="136"/>
      <c r="J13" s="136"/>
      <c r="K13" s="136"/>
      <c r="L13" s="19"/>
    </row>
    <row r="14" spans="2:20">
      <c r="B14" s="16"/>
      <c r="C14" s="123" t="s">
        <v>358</v>
      </c>
      <c r="D14" s="140">
        <v>18</v>
      </c>
      <c r="E14" s="72">
        <v>10</v>
      </c>
      <c r="F14" s="72">
        <v>20</v>
      </c>
      <c r="G14" s="47" t="s">
        <v>357</v>
      </c>
      <c r="H14" s="135">
        <f ca="1">IFERROR(D14/100*$H$11,"")</f>
        <v>75686.399999999994</v>
      </c>
      <c r="I14" s="136">
        <f t="shared" ref="I14:I28" ca="1" si="0">IF(H14="","",H14/ActualProduction)</f>
        <v>7.5686399999999994</v>
      </c>
      <c r="J14" s="136"/>
      <c r="K14" s="136"/>
      <c r="L14" s="19"/>
    </row>
    <row r="15" spans="2:20">
      <c r="B15" s="16"/>
      <c r="C15" s="123" t="s">
        <v>361</v>
      </c>
      <c r="D15" s="140">
        <v>15</v>
      </c>
      <c r="E15" s="72">
        <v>10</v>
      </c>
      <c r="F15" s="72">
        <v>20</v>
      </c>
      <c r="G15" s="47" t="s">
        <v>357</v>
      </c>
      <c r="H15" s="135">
        <f ca="1">IFERROR(D15/100*$H$11,"")</f>
        <v>63072</v>
      </c>
      <c r="I15" s="136">
        <f t="shared" ca="1" si="0"/>
        <v>6.3071999999999999</v>
      </c>
      <c r="J15" s="136"/>
      <c r="K15" s="136"/>
      <c r="L15" s="19"/>
    </row>
    <row r="16" spans="2:20">
      <c r="B16" s="16"/>
      <c r="C16" s="123" t="s">
        <v>365</v>
      </c>
      <c r="D16" s="140">
        <v>5</v>
      </c>
      <c r="E16" s="72">
        <v>5</v>
      </c>
      <c r="F16" s="72">
        <v>9</v>
      </c>
      <c r="G16" s="47" t="s">
        <v>362</v>
      </c>
      <c r="H16" s="124">
        <f ca="1">IFERROR(D16/100*FCI,"")</f>
        <v>16955.09550490429</v>
      </c>
      <c r="I16" s="136">
        <f t="shared" ca="1" si="0"/>
        <v>1.695509550490429</v>
      </c>
      <c r="J16" s="136"/>
      <c r="K16" s="136"/>
      <c r="L16" s="19"/>
    </row>
    <row r="17" spans="2:12">
      <c r="B17" s="16"/>
      <c r="C17" s="148" t="s">
        <v>363</v>
      </c>
      <c r="D17" s="140">
        <v>15</v>
      </c>
      <c r="E17" s="72">
        <v>10</v>
      </c>
      <c r="F17" s="72">
        <v>20</v>
      </c>
      <c r="G17" s="47" t="s">
        <v>364</v>
      </c>
      <c r="H17" s="149">
        <f ca="1">IFERROR(D17/100*H16,"")</f>
        <v>2543.2643257356435</v>
      </c>
      <c r="I17" s="150">
        <f t="shared" ca="1" si="0"/>
        <v>0.25432643257356435</v>
      </c>
      <c r="J17" s="136"/>
      <c r="K17" s="136"/>
      <c r="L17" s="19"/>
    </row>
    <row r="18" spans="2:12">
      <c r="B18" s="16"/>
      <c r="C18" s="120" t="s">
        <v>370</v>
      </c>
      <c r="D18" s="134"/>
      <c r="E18" s="142"/>
      <c r="F18" s="142"/>
      <c r="G18" s="48"/>
      <c r="H18" s="126">
        <f ca="1">SUM(H11:H17)</f>
        <v>578736.75983063993</v>
      </c>
      <c r="I18" s="117">
        <f ca="1">IFERROR(H18/ActualProduction,"")</f>
        <v>57.87367598306399</v>
      </c>
      <c r="J18" s="117"/>
      <c r="K18" s="117"/>
      <c r="L18" s="19"/>
    </row>
    <row r="19" spans="2:12">
      <c r="B19" s="16"/>
      <c r="C19" s="137"/>
      <c r="D19" s="134"/>
      <c r="E19" s="142"/>
      <c r="F19" s="142"/>
      <c r="G19" s="48"/>
      <c r="H19" s="124"/>
      <c r="I19" s="136" t="str">
        <f t="shared" si="0"/>
        <v/>
      </c>
      <c r="J19" s="136"/>
      <c r="K19" s="136"/>
      <c r="L19" s="19"/>
    </row>
    <row r="20" spans="2:12">
      <c r="B20" s="16"/>
      <c r="C20" s="120" t="s">
        <v>415</v>
      </c>
      <c r="D20" s="134"/>
      <c r="E20" s="142"/>
      <c r="F20" s="142"/>
      <c r="G20" s="48"/>
      <c r="H20" s="18"/>
      <c r="I20" s="136" t="str">
        <f t="shared" si="0"/>
        <v/>
      </c>
      <c r="J20" s="136"/>
      <c r="K20" s="136"/>
      <c r="L20" s="19"/>
    </row>
    <row r="21" spans="2:12">
      <c r="B21" s="16"/>
      <c r="C21" s="123" t="s">
        <v>366</v>
      </c>
      <c r="D21" s="140">
        <v>2.5</v>
      </c>
      <c r="E21" s="72">
        <v>1</v>
      </c>
      <c r="F21" s="72">
        <v>4</v>
      </c>
      <c r="G21" s="47" t="s">
        <v>362</v>
      </c>
      <c r="H21" s="124">
        <f ca="1">IFERROR(D21/100*FCI,"")</f>
        <v>8477.5477524521448</v>
      </c>
      <c r="I21" s="136">
        <f t="shared" ca="1" si="0"/>
        <v>0.84775477524521448</v>
      </c>
      <c r="J21" s="136"/>
      <c r="K21" s="136"/>
      <c r="L21" s="19"/>
    </row>
    <row r="22" spans="2:12">
      <c r="B22" s="16"/>
      <c r="C22" s="123" t="s">
        <v>367</v>
      </c>
      <c r="D22" s="140">
        <v>0.8</v>
      </c>
      <c r="E22" s="72">
        <v>0.4</v>
      </c>
      <c r="F22" s="72">
        <v>1</v>
      </c>
      <c r="G22" s="47" t="s">
        <v>362</v>
      </c>
      <c r="H22" s="124">
        <f ca="1">IFERROR(D22/100*FCI,"")</f>
        <v>2712.8152807846864</v>
      </c>
      <c r="I22" s="136">
        <f t="shared" ca="1" si="0"/>
        <v>0.27128152807846861</v>
      </c>
      <c r="J22" s="136"/>
      <c r="K22" s="136"/>
      <c r="L22" s="19"/>
    </row>
    <row r="23" spans="2:12">
      <c r="B23" s="16"/>
      <c r="C23" s="123" t="s">
        <v>208</v>
      </c>
      <c r="D23" s="140">
        <v>10</v>
      </c>
      <c r="E23" s="72">
        <v>8</v>
      </c>
      <c r="F23" s="72">
        <v>12</v>
      </c>
      <c r="G23" s="47" t="s">
        <v>369</v>
      </c>
      <c r="H23" s="124">
        <f ca="1">IFERROR(D23/100*'3d CapEx'!H17,"")</f>
        <v>508.65286514712864</v>
      </c>
      <c r="I23" s="136">
        <f t="shared" ca="1" si="0"/>
        <v>5.0865286514712865E-2</v>
      </c>
      <c r="J23" s="136"/>
      <c r="K23" s="136"/>
      <c r="L23" s="19"/>
    </row>
    <row r="24" spans="2:12">
      <c r="B24" s="16"/>
      <c r="C24" s="148" t="s">
        <v>209</v>
      </c>
      <c r="D24" s="140">
        <v>60</v>
      </c>
      <c r="E24" s="72">
        <v>50</v>
      </c>
      <c r="F24" s="72">
        <v>70</v>
      </c>
      <c r="G24" s="47" t="s">
        <v>368</v>
      </c>
      <c r="H24" s="149">
        <f ca="1">IF(H18=0,"",D24/100*H18)</f>
        <v>347242.05589838396</v>
      </c>
      <c r="I24" s="150">
        <f t="shared" ca="1" si="0"/>
        <v>34.724205589838398</v>
      </c>
      <c r="J24" s="136"/>
      <c r="K24" s="136"/>
      <c r="L24" s="19"/>
    </row>
    <row r="25" spans="2:12">
      <c r="B25" s="16"/>
      <c r="C25" s="20" t="s">
        <v>371</v>
      </c>
      <c r="D25" s="134"/>
      <c r="E25" s="142"/>
      <c r="F25" s="142"/>
      <c r="G25" s="48"/>
      <c r="H25" s="126">
        <f ca="1">SUM(H21:H24)</f>
        <v>358941.07179676794</v>
      </c>
      <c r="I25" s="117">
        <f ca="1">IFERROR(H25/ActualProduction,"")</f>
        <v>35.894107179676794</v>
      </c>
      <c r="J25" s="117"/>
      <c r="K25" s="117"/>
      <c r="L25" s="19"/>
    </row>
    <row r="26" spans="2:12">
      <c r="B26" s="16"/>
      <c r="C26" s="18"/>
      <c r="D26" s="134"/>
      <c r="E26" s="142"/>
      <c r="F26" s="142"/>
      <c r="G26" s="48"/>
      <c r="H26" s="18"/>
      <c r="I26" s="136" t="str">
        <f t="shared" si="0"/>
        <v/>
      </c>
      <c r="J26" s="136"/>
      <c r="K26" s="136"/>
      <c r="L26" s="19"/>
    </row>
    <row r="27" spans="2:12">
      <c r="B27" s="16"/>
      <c r="C27" s="20" t="s">
        <v>398</v>
      </c>
      <c r="D27" s="134"/>
      <c r="E27" s="142"/>
      <c r="F27" s="142"/>
      <c r="G27" s="48"/>
      <c r="H27" s="18"/>
      <c r="I27" s="136" t="str">
        <f t="shared" si="0"/>
        <v/>
      </c>
      <c r="J27" s="136"/>
      <c r="K27" s="136"/>
      <c r="L27" s="19"/>
    </row>
    <row r="28" spans="2:12">
      <c r="B28" s="16"/>
      <c r="C28" s="123" t="s">
        <v>372</v>
      </c>
      <c r="D28" s="140">
        <v>20</v>
      </c>
      <c r="E28" s="72">
        <v>12</v>
      </c>
      <c r="F28" s="72">
        <v>30</v>
      </c>
      <c r="G28" s="47" t="s">
        <v>368</v>
      </c>
      <c r="H28" s="124">
        <f ca="1">IF(H18=0,"",D28/100*H18)</f>
        <v>115747.35196612799</v>
      </c>
      <c r="I28" s="136">
        <f t="shared" ca="1" si="0"/>
        <v>11.574735196612799</v>
      </c>
      <c r="J28" s="136"/>
      <c r="K28" s="136"/>
      <c r="L28" s="19"/>
    </row>
    <row r="29" spans="2:12">
      <c r="B29" s="16"/>
      <c r="C29" s="123" t="s">
        <v>374</v>
      </c>
      <c r="D29" s="140">
        <v>10</v>
      </c>
      <c r="E29" s="72">
        <v>2</v>
      </c>
      <c r="F29" s="72">
        <v>20</v>
      </c>
      <c r="G29" s="47" t="s">
        <v>974</v>
      </c>
      <c r="H29" s="124">
        <f ca="1">D29/100*(MaterialsAnnualCost-IFERROR(IF(VLOOKUP('4 Spent Catalyst'!$D$6,Spent2[],6,FALSE)="Yes",'4 Spent Catalyst'!$D$16*'4 Spent Catalyst'!$D$32,0),0)*ActualProduction+UtilitiesAnnualCost+$H$18+$H$25)</f>
        <v>-5541539.4326449987</v>
      </c>
      <c r="I29" s="136">
        <f ca="1">IFERROR(H29/ActualProduction,"")</f>
        <v>-554.15394326449984</v>
      </c>
      <c r="J29" s="136"/>
      <c r="K29" s="42" t="s">
        <v>160</v>
      </c>
      <c r="L29" s="19"/>
    </row>
    <row r="30" spans="2:12">
      <c r="B30" s="16"/>
      <c r="C30" s="148" t="s">
        <v>373</v>
      </c>
      <c r="D30" s="140">
        <v>5</v>
      </c>
      <c r="E30" s="72">
        <v>4</v>
      </c>
      <c r="F30" s="72">
        <v>8</v>
      </c>
      <c r="G30" s="47" t="s">
        <v>974</v>
      </c>
      <c r="H30" s="149">
        <f ca="1">D30/100*(MaterialsAnnualCost-IFERROR(IF(VLOOKUP('4 Spent Catalyst'!$D$6,Spent2[],6,FALSE)="Yes",'4 Spent Catalyst'!$D$16*'4 Spent Catalyst'!$D$32,0),0)*ActualProduction+UtilitiesAnnualCost+$H$18+$H$25)</f>
        <v>-2770769.7163224993</v>
      </c>
      <c r="I30" s="150">
        <f ca="1">IFERROR(H30/ActualProduction,"")</f>
        <v>-277.07697163224992</v>
      </c>
      <c r="J30" s="136"/>
      <c r="K30" s="42" t="s">
        <v>160</v>
      </c>
      <c r="L30" s="19"/>
    </row>
    <row r="31" spans="2:12">
      <c r="B31" s="16"/>
      <c r="C31" s="20" t="s">
        <v>375</v>
      </c>
      <c r="D31" s="18"/>
      <c r="E31" s="18"/>
      <c r="F31" s="18"/>
      <c r="G31" s="18"/>
      <c r="H31" s="126">
        <f ca="1">SUM(H28:H30)</f>
        <v>-8196561.7970013702</v>
      </c>
      <c r="I31" s="117">
        <f ca="1">IFERROR(H31/ActualProduction,"")</f>
        <v>-819.65617970013705</v>
      </c>
      <c r="J31" s="117"/>
      <c r="K31" s="117"/>
      <c r="L31" s="19"/>
    </row>
    <row r="32" spans="2:12" ht="16.5" thickBot="1">
      <c r="B32" s="21"/>
      <c r="C32" s="22"/>
      <c r="D32" s="22"/>
      <c r="E32" s="22"/>
      <c r="F32" s="22"/>
      <c r="G32" s="22"/>
      <c r="H32" s="22"/>
      <c r="I32" s="22"/>
      <c r="J32" s="22"/>
      <c r="K32" s="22"/>
      <c r="L32" s="23"/>
    </row>
    <row r="34" spans="3:5">
      <c r="C34" s="50"/>
      <c r="D34" s="50"/>
      <c r="E34" s="50"/>
    </row>
  </sheetData>
  <mergeCells count="1">
    <mergeCell ref="B3:G3"/>
  </mergeCells>
  <conditionalFormatting sqref="D10 D14:D17 D21:D24 D28:D30">
    <cfRule type="containsBlanks" dxfId="115" priority="1">
      <formula>LEN(TRIM(D10))=0</formula>
    </cfRule>
  </conditionalFormatting>
  <pageMargins left="0.75" right="0.75" top="1" bottom="1" header="0.5" footer="0.5"/>
  <pageSetup orientation="portrait" horizontalDpi="4294967292" verticalDpi="4294967292"/>
  <ignoredErrors>
    <ignoredError sqref="H19:I20 H26:I27 I21 I22 H18 I23 I24 H25 B1 H29:H30" emptyCellReference="1"/>
    <ignoredError sqref="I18 I25" formula="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R48"/>
  <sheetViews>
    <sheetView workbookViewId="0">
      <pane ySplit="1" topLeftCell="A2" activePane="bottomLeft" state="frozenSplit"/>
      <selection pane="bottomLeft" activeCell="M17" sqref="M17"/>
    </sheetView>
  </sheetViews>
  <sheetFormatPr defaultColWidth="10.875" defaultRowHeight="15.75" outlineLevelCol="1"/>
  <cols>
    <col min="1" max="2" width="2.5" style="11" customWidth="1"/>
    <col min="3" max="3" width="32.5" style="11" bestFit="1" customWidth="1"/>
    <col min="4" max="4" width="26" style="11" bestFit="1" customWidth="1"/>
    <col min="5" max="6" width="7.875" style="11" hidden="1" customWidth="1" outlineLevel="1"/>
    <col min="7" max="7" width="13.375" style="11" bestFit="1" customWidth="1" collapsed="1"/>
    <col min="8" max="8" width="2.5" style="11" customWidth="1"/>
    <col min="9" max="9" width="4.875" style="11" customWidth="1"/>
    <col min="10" max="10" width="2.5" style="11" customWidth="1"/>
    <col min="11" max="11" width="10.875" style="11"/>
    <col min="12" max="12" width="2.5" style="11" customWidth="1"/>
    <col min="13" max="13" width="21.875" style="11" bestFit="1" customWidth="1"/>
    <col min="14" max="14" width="29.125" style="11" bestFit="1" customWidth="1"/>
    <col min="15" max="15" width="6.5" style="11" bestFit="1" customWidth="1"/>
    <col min="16" max="16" width="2.5" style="11" customWidth="1"/>
    <col min="17" max="17" width="4.875" style="11" customWidth="1"/>
    <col min="18" max="18" width="2.5" style="11" customWidth="1"/>
    <col min="19" max="16384" width="10.875" style="11"/>
  </cols>
  <sheetData>
    <row r="1" spans="1:18" s="10" customFormat="1" ht="24" customHeight="1">
      <c r="A1" s="109"/>
      <c r="B1" s="107" t="str">
        <f>"CatCost v"&amp;Version&amp;": "&amp;EstimateName</f>
        <v>CatCost v1.0.4: Test1</v>
      </c>
      <c r="G1" s="108" t="s">
        <v>44</v>
      </c>
      <c r="I1" s="109"/>
      <c r="J1" s="109"/>
      <c r="K1" s="109"/>
      <c r="L1" s="109"/>
      <c r="M1" s="109"/>
      <c r="N1" s="109"/>
      <c r="O1" s="109"/>
      <c r="P1" s="109"/>
      <c r="Q1" s="109"/>
      <c r="R1" s="108"/>
    </row>
    <row r="2" spans="1:18" ht="16.5" thickBot="1"/>
    <row r="3" spans="1:18" ht="21" thickBot="1">
      <c r="B3" s="414" t="s">
        <v>984</v>
      </c>
      <c r="C3" s="415"/>
      <c r="D3" s="416"/>
      <c r="H3" s="151"/>
      <c r="L3" s="414" t="s">
        <v>887</v>
      </c>
      <c r="M3" s="415"/>
      <c r="N3" s="416"/>
    </row>
    <row r="4" spans="1:18">
      <c r="B4" s="13"/>
      <c r="C4" s="14"/>
      <c r="D4" s="14"/>
      <c r="E4" s="14"/>
      <c r="F4" s="14"/>
      <c r="G4" s="14"/>
      <c r="H4" s="14"/>
      <c r="I4" s="14"/>
      <c r="J4" s="15"/>
      <c r="L4" s="13"/>
      <c r="M4" s="14"/>
      <c r="N4" s="14"/>
      <c r="O4" s="14"/>
      <c r="P4" s="14"/>
      <c r="Q4" s="14"/>
      <c r="R4" s="15"/>
    </row>
    <row r="5" spans="1:18">
      <c r="B5" s="16"/>
      <c r="C5" s="17" t="s">
        <v>426</v>
      </c>
      <c r="D5" s="18"/>
      <c r="E5" s="18"/>
      <c r="F5" s="18"/>
      <c r="G5" s="228" t="s">
        <v>173</v>
      </c>
      <c r="H5" s="18"/>
      <c r="I5" s="18"/>
      <c r="J5" s="19"/>
      <c r="L5" s="16"/>
      <c r="M5" s="33" t="s">
        <v>889</v>
      </c>
      <c r="N5" s="147" t="s">
        <v>867</v>
      </c>
      <c r="O5" s="18"/>
      <c r="P5" s="18"/>
      <c r="Q5" s="42" t="s">
        <v>160</v>
      </c>
      <c r="R5" s="19"/>
    </row>
    <row r="6" spans="1:18">
      <c r="B6" s="16"/>
      <c r="C6" s="33" t="s">
        <v>813</v>
      </c>
      <c r="D6" s="147" t="s">
        <v>182</v>
      </c>
      <c r="E6" s="48"/>
      <c r="F6" s="145"/>
      <c r="G6" s="143"/>
      <c r="H6" s="143"/>
      <c r="I6" s="18"/>
      <c r="J6" s="19"/>
      <c r="L6" s="16"/>
      <c r="M6" s="33" t="s">
        <v>891</v>
      </c>
      <c r="N6" s="48">
        <f>IFERROR(VLOOKUP($N$5,Spent4[],2,FALSE),"")</f>
        <v>46</v>
      </c>
      <c r="O6" s="48" t="s">
        <v>888</v>
      </c>
      <c r="P6" s="18"/>
      <c r="Q6" s="18"/>
      <c r="R6" s="19"/>
    </row>
    <row r="7" spans="1:18">
      <c r="B7" s="16"/>
      <c r="C7" s="143" t="s">
        <v>159</v>
      </c>
      <c r="D7" s="223" t="s">
        <v>837</v>
      </c>
      <c r="E7" s="48"/>
      <c r="F7" s="143"/>
      <c r="G7" s="48"/>
      <c r="H7" s="143"/>
      <c r="I7" s="42" t="s">
        <v>160</v>
      </c>
      <c r="J7" s="19"/>
      <c r="L7" s="16"/>
      <c r="M7" s="33" t="s">
        <v>890</v>
      </c>
      <c r="N7" s="127">
        <f>IFERROR(VLOOKUP($N$5,Spent4[],3,FALSE),"")</f>
        <v>736.84931525420961</v>
      </c>
      <c r="O7" s="48" t="s">
        <v>900</v>
      </c>
      <c r="P7" s="18"/>
      <c r="Q7" s="18"/>
      <c r="R7" s="19"/>
    </row>
    <row r="8" spans="1:18">
      <c r="B8" s="16"/>
      <c r="C8" s="143" t="s">
        <v>814</v>
      </c>
      <c r="D8" s="222">
        <v>90</v>
      </c>
      <c r="E8" s="63"/>
      <c r="F8" s="63"/>
      <c r="G8" s="47" t="s">
        <v>9</v>
      </c>
      <c r="H8" s="143"/>
      <c r="I8" s="42" t="s">
        <v>160</v>
      </c>
      <c r="J8" s="19"/>
      <c r="L8" s="16"/>
      <c r="M8" s="33" t="s">
        <v>205</v>
      </c>
      <c r="N8" s="48" t="str">
        <f>IFERROR(VLOOKUP($N$5,Spent4[],4,FALSE),"")</f>
        <v>containing 50% moisture</v>
      </c>
      <c r="O8" s="48"/>
      <c r="P8" s="18"/>
      <c r="Q8" s="18"/>
      <c r="R8" s="19"/>
    </row>
    <row r="9" spans="1:18" ht="16.5" thickBot="1">
      <c r="B9" s="16"/>
      <c r="C9" s="143" t="s">
        <v>815</v>
      </c>
      <c r="D9" s="222">
        <v>100</v>
      </c>
      <c r="E9" s="60"/>
      <c r="F9" s="60"/>
      <c r="G9" s="227" t="s">
        <v>888</v>
      </c>
      <c r="H9" s="143"/>
      <c r="I9" s="42" t="s">
        <v>160</v>
      </c>
      <c r="J9" s="19"/>
      <c r="L9" s="21"/>
      <c r="M9" s="174"/>
      <c r="N9" s="22"/>
      <c r="O9" s="22"/>
      <c r="P9" s="22"/>
      <c r="Q9" s="22"/>
      <c r="R9" s="23"/>
    </row>
    <row r="10" spans="1:18">
      <c r="B10" s="16"/>
      <c r="C10" s="143" t="s">
        <v>1035</v>
      </c>
      <c r="D10" s="224" t="s">
        <v>1855</v>
      </c>
      <c r="E10" s="48"/>
      <c r="F10" s="143"/>
      <c r="G10" s="48"/>
      <c r="H10" s="143"/>
      <c r="I10" s="42" t="s">
        <v>160</v>
      </c>
      <c r="J10" s="19"/>
    </row>
    <row r="11" spans="1:18">
      <c r="B11" s="16"/>
      <c r="C11" s="143" t="s">
        <v>892</v>
      </c>
      <c r="D11" s="147" t="s">
        <v>57</v>
      </c>
      <c r="E11" s="48"/>
      <c r="F11" s="143"/>
      <c r="G11" s="48"/>
      <c r="H11" s="143"/>
      <c r="I11" s="42" t="s">
        <v>160</v>
      </c>
      <c r="J11" s="19"/>
    </row>
    <row r="12" spans="1:18">
      <c r="B12" s="16"/>
      <c r="C12" s="143" t="s">
        <v>1710</v>
      </c>
      <c r="D12" s="147" t="s">
        <v>857</v>
      </c>
      <c r="E12" s="48"/>
      <c r="F12" s="145"/>
      <c r="G12" s="48"/>
      <c r="H12" s="18"/>
      <c r="I12" s="42" t="s">
        <v>160</v>
      </c>
      <c r="J12" s="19"/>
    </row>
    <row r="13" spans="1:18">
      <c r="B13" s="16"/>
      <c r="C13" s="144"/>
      <c r="D13" s="146"/>
      <c r="E13" s="146"/>
      <c r="F13" s="146"/>
      <c r="G13" s="146"/>
      <c r="H13" s="146"/>
      <c r="I13" s="18"/>
      <c r="J13" s="19"/>
    </row>
    <row r="14" spans="1:18">
      <c r="B14" s="16"/>
      <c r="C14" s="17" t="s">
        <v>1014</v>
      </c>
      <c r="D14" s="65" t="s">
        <v>39</v>
      </c>
      <c r="E14" s="65" t="s">
        <v>40</v>
      </c>
      <c r="F14" s="65" t="s">
        <v>41</v>
      </c>
      <c r="G14" s="228" t="s">
        <v>173</v>
      </c>
      <c r="H14" s="146"/>
      <c r="I14" s="18"/>
      <c r="J14" s="19"/>
    </row>
    <row r="15" spans="1:18">
      <c r="B15" s="16"/>
      <c r="C15" s="33" t="s">
        <v>1017</v>
      </c>
      <c r="D15" s="313"/>
      <c r="E15" s="65"/>
      <c r="F15" s="65"/>
      <c r="G15" s="228"/>
      <c r="H15" s="146"/>
      <c r="I15" s="18"/>
      <c r="J15" s="19"/>
    </row>
    <row r="16" spans="1:18">
      <c r="B16" s="16"/>
      <c r="C16" s="234" t="s">
        <v>1037</v>
      </c>
      <c r="D16" s="54">
        <f>IFERROR($D$8/100*APWeightPercent/100,"")</f>
        <v>0.09</v>
      </c>
      <c r="E16" s="230"/>
      <c r="F16" s="230"/>
      <c r="G16" s="48" t="str">
        <f>OutMassUnit&amp;"/"&amp;OutMassUnit&amp;" catalyst"</f>
        <v>kg/kg catalyst</v>
      </c>
      <c r="H16" s="146"/>
      <c r="I16" s="42" t="s">
        <v>160</v>
      </c>
      <c r="J16" s="19"/>
    </row>
    <row r="17" spans="2:10">
      <c r="B17" s="16"/>
      <c r="C17" s="234" t="s">
        <v>825</v>
      </c>
      <c r="D17" s="314">
        <f>IFERROR(VLOOKUP($D$7,Spent1[],IF($D$10="Fixed Bed",7,IF($D$10="Slurry/Fluidized Bed",13,0)),FALSE),"")</f>
        <v>3</v>
      </c>
      <c r="E17" s="305">
        <f>IFERROR(VLOOKUP($D$7,Spent1[],IF($D$10="Fixed Bed",5,IF($D$10="Slurry/Fluidized Bed",11,0)),FALSE),"")</f>
        <v>2</v>
      </c>
      <c r="F17" s="305">
        <f>IFERROR(VLOOKUP($D$7,Spent1[],IF($D$10="Fixed Bed",6,IF($D$10="Slurry/Fluidized Bed",12,0)),FALSE),"")</f>
        <v>4</v>
      </c>
      <c r="G17" s="48" t="s">
        <v>9</v>
      </c>
      <c r="H17" s="18"/>
      <c r="I17" s="42" t="s">
        <v>160</v>
      </c>
      <c r="J17" s="19"/>
    </row>
    <row r="18" spans="2:10">
      <c r="B18" s="16"/>
      <c r="C18" s="234" t="s">
        <v>1039</v>
      </c>
      <c r="D18" s="54">
        <f>IFERROR(D16*(100-D17)/100,"")</f>
        <v>8.7300000000000003E-2</v>
      </c>
      <c r="E18" s="306"/>
      <c r="F18" s="306"/>
      <c r="G18" s="48" t="str">
        <f>OutMassUnit&amp;"/"&amp;OutMassUnit&amp;" catalyst"</f>
        <v>kg/kg catalyst</v>
      </c>
      <c r="H18" s="18"/>
      <c r="I18" s="18"/>
      <c r="J18" s="19"/>
    </row>
    <row r="19" spans="2:10">
      <c r="B19" s="16"/>
      <c r="C19" s="33" t="s">
        <v>1018</v>
      </c>
      <c r="D19" s="315"/>
      <c r="E19" s="134"/>
      <c r="F19" s="134"/>
      <c r="G19" s="144"/>
      <c r="H19" s="18"/>
      <c r="I19" s="18"/>
      <c r="J19" s="19"/>
    </row>
    <row r="20" spans="2:10">
      <c r="B20" s="16"/>
      <c r="C20" s="234" t="s">
        <v>1038</v>
      </c>
      <c r="D20" s="54">
        <f>IFERROR(1-APWeightPercent/100,"")</f>
        <v>0.9</v>
      </c>
      <c r="E20" s="134"/>
      <c r="F20" s="134"/>
      <c r="G20" s="48" t="str">
        <f>OutMassUnit&amp;"/"&amp;OutMassUnit&amp;" catalyst"</f>
        <v>kg/kg catalyst</v>
      </c>
      <c r="H20" s="18"/>
      <c r="I20" s="18"/>
      <c r="J20" s="19"/>
    </row>
    <row r="21" spans="2:10">
      <c r="B21" s="16"/>
      <c r="C21" s="234" t="s">
        <v>1019</v>
      </c>
      <c r="D21" s="314">
        <f>IFERROR(VLOOKUP($D$7,Spent1[],IF($D$10="Fixed Bed",4,IF($D$10="Slurry/Fluidized Bed",10,0)),FALSE),"")</f>
        <v>2</v>
      </c>
      <c r="E21" s="305" t="str">
        <f>IFERROR(VLOOKUP($D$7,Spent1[],IF($D$10="Fixed Bed",2,IF($D$10="Slurry/Fluidized Bed",8,0)),FALSE),"")</f>
        <v>n/a</v>
      </c>
      <c r="F21" s="305" t="str">
        <f>IFERROR(VLOOKUP($D$7,Spent1[],IF($D$10="Fixed Bed",3,IF($D$10="Slurry/Fluidized Bed",9,0)),FALSE),"")</f>
        <v>n/a</v>
      </c>
      <c r="G21" s="48" t="s">
        <v>9</v>
      </c>
      <c r="H21" s="18"/>
      <c r="I21" s="42" t="s">
        <v>160</v>
      </c>
      <c r="J21" s="19"/>
    </row>
    <row r="22" spans="2:10">
      <c r="B22" s="16"/>
      <c r="C22" s="234" t="s">
        <v>1022</v>
      </c>
      <c r="D22" s="54">
        <f>IFERROR(D20*(100-D21)/100,"")</f>
        <v>0.88200000000000001</v>
      </c>
      <c r="E22" s="18"/>
      <c r="F22" s="18"/>
      <c r="G22" s="48" t="str">
        <f>OutMassUnit&amp;"/"&amp;OutMassUnit&amp;" catalyst"</f>
        <v>kg/kg catalyst</v>
      </c>
      <c r="H22" s="18"/>
      <c r="I22" s="18"/>
      <c r="J22" s="19"/>
    </row>
    <row r="23" spans="2:10">
      <c r="B23" s="16"/>
      <c r="C23" s="33" t="s">
        <v>1020</v>
      </c>
      <c r="D23" s="315"/>
      <c r="E23" s="18"/>
      <c r="F23" s="18"/>
      <c r="G23" s="144"/>
      <c r="H23" s="18"/>
      <c r="I23" s="18"/>
      <c r="J23" s="19"/>
    </row>
    <row r="24" spans="2:10">
      <c r="B24" s="16"/>
      <c r="C24" s="234" t="s">
        <v>1040</v>
      </c>
      <c r="D24" s="54">
        <f>IFERROR(SUM(D18,D22),"")</f>
        <v>0.96930000000000005</v>
      </c>
      <c r="E24" s="18"/>
      <c r="F24" s="18"/>
      <c r="G24" s="48" t="str">
        <f>OutMassUnit&amp;"/"&amp;OutMassUnit&amp;" catalyst"</f>
        <v>kg/kg catalyst</v>
      </c>
      <c r="H24" s="18"/>
      <c r="I24" s="18"/>
      <c r="J24" s="19"/>
    </row>
    <row r="25" spans="2:10">
      <c r="B25" s="16"/>
      <c r="C25" s="234" t="s">
        <v>1041</v>
      </c>
      <c r="D25" s="54">
        <f>IFERROR($D$24*VLOOKUP(OutMassUnit,UnitConv[],5,FALSE)/VLOOKUP("lb",UnitConv[],5,FALSE)/$D$9*IF($G$9="lb/ft3",1,IF($G$9="kg/m3",0.45359237/28.31684659*1000,"")),"")</f>
        <v>2.1369407073580184E-2</v>
      </c>
      <c r="E25" s="18"/>
      <c r="F25" s="18"/>
      <c r="G25" s="48" t="str">
        <f>"ft3/"&amp;OutMassUnit&amp;" catalyst"</f>
        <v>ft3/kg catalyst</v>
      </c>
      <c r="H25" s="18"/>
      <c r="I25" s="18"/>
      <c r="J25" s="19"/>
    </row>
    <row r="26" spans="2:10">
      <c r="B26" s="16"/>
      <c r="C26" s="20"/>
      <c r="D26" s="146"/>
      <c r="E26" s="18"/>
      <c r="F26" s="18"/>
      <c r="G26" s="144"/>
      <c r="H26" s="18"/>
      <c r="I26" s="18"/>
      <c r="J26" s="19"/>
    </row>
    <row r="27" spans="2:10">
      <c r="B27" s="16"/>
      <c r="C27" s="17" t="s">
        <v>1021</v>
      </c>
      <c r="D27" s="65" t="s">
        <v>39</v>
      </c>
      <c r="E27" s="65" t="s">
        <v>40</v>
      </c>
      <c r="F27" s="65" t="s">
        <v>41</v>
      </c>
      <c r="G27" s="228" t="s">
        <v>173</v>
      </c>
      <c r="H27" s="18"/>
      <c r="I27" s="18"/>
      <c r="J27" s="19"/>
    </row>
    <row r="28" spans="2:10">
      <c r="B28" s="16"/>
      <c r="C28" s="33" t="s">
        <v>1015</v>
      </c>
      <c r="D28" s="65"/>
      <c r="E28" s="65"/>
      <c r="F28" s="65"/>
      <c r="G28" s="228"/>
      <c r="H28" s="18"/>
      <c r="I28" s="18"/>
      <c r="J28" s="19"/>
    </row>
    <row r="29" spans="2:10">
      <c r="B29" s="16"/>
      <c r="C29" s="234" t="s">
        <v>826</v>
      </c>
      <c r="D29" s="314">
        <f>IFERROR(VLOOKUP($D$6,Spent2[],4,FALSE),"")</f>
        <v>7.5</v>
      </c>
      <c r="E29" s="305">
        <f>IFERROR(VLOOKUP($D$6,Spent2[],2,FALSE),"")</f>
        <v>5</v>
      </c>
      <c r="F29" s="305">
        <f>IFERROR(VLOOKUP($D$6,Spent2[],3,FALSE),"")</f>
        <v>10</v>
      </c>
      <c r="G29" s="48" t="s">
        <v>9</v>
      </c>
      <c r="H29" s="18"/>
      <c r="I29" s="18"/>
      <c r="J29" s="19"/>
    </row>
    <row r="30" spans="2:10">
      <c r="B30" s="16"/>
      <c r="C30" s="234" t="s">
        <v>816</v>
      </c>
      <c r="D30" s="54">
        <f>IFERROR(D18*(100-D29)/100,"")</f>
        <v>8.0752500000000005E-2</v>
      </c>
      <c r="E30" s="306"/>
      <c r="F30" s="306"/>
      <c r="G30" s="48" t="str">
        <f>OutMassUnit&amp;"/"&amp;OutMassUnit&amp;" catalyst"</f>
        <v>kg/kg catalyst</v>
      </c>
      <c r="H30" s="18"/>
      <c r="I30" s="18"/>
      <c r="J30" s="19"/>
    </row>
    <row r="31" spans="2:10">
      <c r="B31" s="16"/>
      <c r="C31" s="234" t="s">
        <v>902</v>
      </c>
      <c r="D31" s="54">
        <f>IFERROR(D30*VLOOKUP(OutMassUnit,UnitConv[],5,FALSE)/VLOOKUP("oz t",UnitConv[],5,FALSE),"")</f>
        <v>2.5962531622831313</v>
      </c>
      <c r="E31" s="306"/>
      <c r="F31" s="306"/>
      <c r="G31" s="48" t="str">
        <f>"oz t/"&amp;OutMassUnit&amp;" catalyst"</f>
        <v>oz t/kg catalyst</v>
      </c>
      <c r="H31" s="18"/>
      <c r="I31" s="18"/>
      <c r="J31" s="19"/>
    </row>
    <row r="32" spans="2:10">
      <c r="B32" s="16"/>
      <c r="C32" s="234" t="s">
        <v>1059</v>
      </c>
      <c r="D32" s="225">
        <f>IFERROR(VLOOKUP($D$6,Spent2[],13,FALSE),"")</f>
        <v>70733.932403349245</v>
      </c>
      <c r="E32" s="229"/>
      <c r="F32" s="229"/>
      <c r="G32" s="48" t="str">
        <f>CurrencySymbol&amp;"/"&amp;OutMassUnit&amp;" metal"</f>
        <v>$/kg metal</v>
      </c>
      <c r="H32" s="18"/>
      <c r="I32" s="42" t="s">
        <v>160</v>
      </c>
      <c r="J32" s="19"/>
    </row>
    <row r="33" spans="2:10">
      <c r="B33" s="16"/>
      <c r="C33" s="316" t="s">
        <v>817</v>
      </c>
      <c r="D33" s="319">
        <f>IFERROR(D30*D32,"")</f>
        <v>5711.9418764014599</v>
      </c>
      <c r="E33" s="318"/>
      <c r="F33" s="318"/>
      <c r="G33" s="158" t="str">
        <f>CurrencySymbol&amp;"/"&amp;OutMassUnit&amp;" catalyst"</f>
        <v>$/kg catalyst</v>
      </c>
      <c r="H33" s="18"/>
      <c r="I33" s="18"/>
      <c r="J33" s="19"/>
    </row>
    <row r="34" spans="2:10">
      <c r="B34" s="16"/>
      <c r="C34" s="303" t="s">
        <v>1016</v>
      </c>
      <c r="D34" s="226"/>
      <c r="E34" s="231"/>
      <c r="F34" s="231"/>
      <c r="G34" s="20"/>
      <c r="H34" s="18"/>
      <c r="I34" s="42" t="s">
        <v>160</v>
      </c>
      <c r="J34" s="19"/>
    </row>
    <row r="35" spans="2:10">
      <c r="B35" s="16"/>
      <c r="C35" s="234" t="s">
        <v>818</v>
      </c>
      <c r="D35" s="225">
        <f>IFERROR(VLOOKUP($D$7,Spent1[],19,FALSE)*$D$25*VLOOKUP(BasisYear,ChemPPI[],14,FALSE)/VLOOKUP(2016,ChemPPI[],14,FALSE),"")</f>
        <v>2.4681665169985112</v>
      </c>
      <c r="E35" s="232">
        <f>IFERROR(VLOOKUP($D$7,Spent1[],17,FALSE)*$D$25*VLOOKUP(BasisYear,ChemPPI[],14,FALSE)/VLOOKUP(2016,ChemPPI[],14,FALSE),"")</f>
        <v>2.3078959639466596</v>
      </c>
      <c r="F35" s="232">
        <f>IFERROR(VLOOKUP($D$7,Spent1[],18,FALSE)*$D$25*VLOOKUP(BasisYear,ChemPPI[],14,FALSE)/VLOOKUP(2016,ChemPPI[],14,FALSE),"")</f>
        <v>2.6284370700503628</v>
      </c>
      <c r="G35" s="48" t="str">
        <f>CurrencySymbol&amp;"/"&amp;OutMassUnit&amp;" catalyst"</f>
        <v>$/kg catalyst</v>
      </c>
      <c r="H35" s="18"/>
      <c r="I35" s="42" t="s">
        <v>160</v>
      </c>
      <c r="J35" s="19"/>
    </row>
    <row r="36" spans="2:10">
      <c r="B36" s="16"/>
      <c r="C36" s="234" t="s">
        <v>819</v>
      </c>
      <c r="D36" s="225">
        <f>IFERROR(VLOOKUP($D$7,Spent1[],16,FALSE)*$D$24*VLOOKUP(OutMassUnit,UnitConv[],5,FALSE)/VLOOKUP("lb",UnitConv[],5,FALSE)*VLOOKUP(BasisYear,ChemPPI[],14,FALSE)/VLOOKUP(2016,ChemPPI[],14,FALSE),"")</f>
        <v>0.2938293472617276</v>
      </c>
      <c r="E36" s="232">
        <f>IFERROR(VLOOKUP($D$7,Spent1[],14,FALSE)*$D$24*VLOOKUP(OutMassUnit,UnitConv[],5,FALSE)/VLOOKUP("lb",UnitConv[],5,FALSE)*VLOOKUP(BasisYear,ChemPPI[],14,FALSE)/VLOOKUP(2016,ChemPPI[],14,FALSE),"")</f>
        <v>0.26711758841975231</v>
      </c>
      <c r="F36" s="232">
        <f>IFERROR(VLOOKUP($D$7,Spent1[],15,FALSE)*$D$24*VLOOKUP(OutMassUnit,UnitConv[],5,FALSE)/VLOOKUP("lb",UnitConv[],5,FALSE)*VLOOKUP(BasisYear,ChemPPI[],14,FALSE)/VLOOKUP(2016,ChemPPI[],14,FALSE),"")</f>
        <v>0.32054110610370273</v>
      </c>
      <c r="G36" s="48" t="str">
        <f>CurrencySymbol&amp;"/"&amp;OutMassUnit&amp;" catalyst"</f>
        <v>$/kg catalyst</v>
      </c>
      <c r="H36" s="18"/>
      <c r="I36" s="42" t="s">
        <v>160</v>
      </c>
      <c r="J36" s="19"/>
    </row>
    <row r="37" spans="2:10">
      <c r="B37" s="16"/>
      <c r="C37" s="234" t="s">
        <v>820</v>
      </c>
      <c r="D37" s="225">
        <f>IFERROR(VLOOKUP($D$6,Spent2[],5,FALSE)*$D$31*VLOOKUP(BasisYear,ChemPPI[],14,FALSE)/VLOOKUP(2016,ChemPPI[],14,FALSE),"")</f>
        <v>41.540050596530101</v>
      </c>
      <c r="E37" s="229"/>
      <c r="F37" s="229"/>
      <c r="G37" s="48" t="str">
        <f>CurrencySymbol&amp;"/"&amp;OutMassUnit&amp;" catalyst"</f>
        <v>$/kg catalyst</v>
      </c>
      <c r="H37" s="18"/>
      <c r="I37" s="42" t="s">
        <v>160</v>
      </c>
      <c r="J37" s="19"/>
    </row>
    <row r="38" spans="2:10">
      <c r="B38" s="16"/>
      <c r="C38" s="234" t="s">
        <v>821</v>
      </c>
      <c r="D38" s="225">
        <f>IF($D$11="Yes",IFERROR(VLOOKUP($D$7,Spent1[],22,FALSE)*$D$25*VLOOKUP(BasisYear,ChemPPI[],14,FALSE)/VLOOKUP(2016,ChemPPI[],14,FALSE),""),IF($D$11="No",0,""))</f>
        <v>0</v>
      </c>
      <c r="E38" s="232" t="str">
        <f>IF($D$11="Yes",IFERROR(VLOOKUP($D$7,Spent1[],20,FALSE)*$D$25*VLOOKUP(BasisYear,ChemPPI[],14,FALSE)/VLOOKUP(2016,ChemPPI[],14,FALSE),""),"")</f>
        <v/>
      </c>
      <c r="F38" s="232" t="str">
        <f>IF($D$11="Yes",IFERROR(VLOOKUP($D$7,Spent1[],21,FALSE)*$D$25*VLOOKUP(BasisYear,ChemPPI[],14,FALSE)/VLOOKUP(2016,ChemPPI[],14,FALSE),""),"")</f>
        <v/>
      </c>
      <c r="G38" s="48" t="str">
        <f>CurrencySymbol&amp;"/"&amp;OutMassUnit&amp;" catalyst"</f>
        <v>$/kg catalyst</v>
      </c>
      <c r="H38" s="18"/>
      <c r="I38" s="42" t="s">
        <v>160</v>
      </c>
      <c r="J38" s="19"/>
    </row>
    <row r="39" spans="2:10">
      <c r="B39" s="16"/>
      <c r="C39" s="316" t="s">
        <v>1042</v>
      </c>
      <c r="D39" s="317">
        <f>SUM(D35:D38)</f>
        <v>44.302046460790336</v>
      </c>
      <c r="E39" s="318"/>
      <c r="F39" s="318"/>
      <c r="G39" s="158" t="str">
        <f>CurrencySymbol&amp;"/"&amp;OutMassUnit&amp;" catalyst"</f>
        <v>$/kg catalyst</v>
      </c>
      <c r="H39" s="18"/>
      <c r="I39" s="18"/>
      <c r="J39" s="19"/>
    </row>
    <row r="40" spans="2:10">
      <c r="B40" s="16"/>
      <c r="C40" s="20"/>
      <c r="D40" s="146"/>
      <c r="E40" s="18"/>
      <c r="F40" s="18"/>
      <c r="G40" s="144"/>
      <c r="H40" s="18"/>
      <c r="I40" s="18"/>
      <c r="J40" s="19"/>
    </row>
    <row r="41" spans="2:10">
      <c r="B41" s="16"/>
      <c r="C41" s="17" t="s">
        <v>822</v>
      </c>
      <c r="D41" s="146"/>
      <c r="E41" s="18"/>
      <c r="F41" s="18"/>
      <c r="G41" s="144"/>
      <c r="H41" s="18"/>
      <c r="I41" s="18"/>
      <c r="J41" s="19"/>
    </row>
    <row r="42" spans="2:10">
      <c r="B42" s="16"/>
      <c r="C42" s="20" t="s">
        <v>823</v>
      </c>
      <c r="D42" s="348">
        <f>IFERROR(-VLOOKUP($D$12,Spent3[],4,FALSE)*$D$24*VLOOKUP(OutMassUnit,UnitConv[],5,FALSE)/VLOOKUP("lb",UnitConv[],5,FALSE)*VLOOKUP(BasisYear,ChemPPI[],14,FALSE)/VLOOKUP(2016,ChemPPI[],14,FALSE),"")</f>
        <v>-0.37396462378765316</v>
      </c>
      <c r="E42" s="348">
        <f>IFERROR(-VLOOKUP($D$12,Spent3[],2,FALSE)*$D$24*VLOOKUP(OutMassUnit,UnitConv[],5,FALSE)/VLOOKUP("lb",UnitConv[],5,FALSE)*VLOOKUP(BasisYear,ChemPPI[],14,FALSE)/VLOOKUP(2016,ChemPPI[],14,FALSE),"")</f>
        <v>-0.32054110610370273</v>
      </c>
      <c r="F42" s="348">
        <f>IFERROR(-VLOOKUP($D$12,Spent3[],3,FALSE)*$D$24*VLOOKUP(OutMassUnit,UnitConv[],5,FALSE)/VLOOKUP("lb",UnitConv[],5,FALSE)*VLOOKUP(BasisYear,ChemPPI[],14,FALSE)/VLOOKUP(2016,ChemPPI[],14,FALSE),"")</f>
        <v>-0.42738814147160376</v>
      </c>
      <c r="G42" s="20" t="str">
        <f>CurrencySymbol&amp;"/"&amp;OutMassUnit&amp;" catalyst"</f>
        <v>$/kg catalyst</v>
      </c>
      <c r="H42" s="18"/>
      <c r="I42" s="18"/>
      <c r="J42" s="19"/>
    </row>
    <row r="43" spans="2:10">
      <c r="B43" s="16"/>
      <c r="C43" s="20" t="s">
        <v>824</v>
      </c>
      <c r="D43" s="348">
        <f>IFERROR(VLOOKUP($D$12,Spent3[],7,FALSE)*$D$24*VLOOKUP(OutMassUnit,UnitConv[],5,FALSE)/VLOOKUP("lb",UnitConv[],5,FALSE)*VLOOKUP(BasisYear,ChemPPI[],14,FALSE)/VLOOKUP(2016,ChemPPI[],14,FALSE),"")</f>
        <v>0.10684703536790094</v>
      </c>
      <c r="E43" s="348">
        <f>IFERROR(VLOOKUP($D$12,Spent3[],5,FALSE)*$D$24*VLOOKUP(OutMassUnit,UnitConv[],5,FALSE)/VLOOKUP("lb",UnitConv[],5,FALSE)*VLOOKUP(BasisYear,ChemPPI[],14,FALSE)/VLOOKUP(2016,ChemPPI[],14,FALSE),"")</f>
        <v>0</v>
      </c>
      <c r="F43" s="348">
        <f>IFERROR(VLOOKUP($D$12,Spent3[],6,FALSE)*$D$24*VLOOKUP(OutMassUnit,UnitConv[],5,FALSE)/VLOOKUP("lb",UnitConv[],5,FALSE)*VLOOKUP(BasisYear,ChemPPI[],14,FALSE)/VLOOKUP(2016,ChemPPI[],14,FALSE),"")</f>
        <v>0</v>
      </c>
      <c r="G43" s="20" t="str">
        <f>CurrencySymbol&amp;"/"&amp;OutMassUnit&amp;" catalyst"</f>
        <v>$/kg catalyst</v>
      </c>
      <c r="H43" s="18"/>
      <c r="I43" s="18"/>
      <c r="J43" s="19"/>
    </row>
    <row r="44" spans="2:10">
      <c r="B44" s="16"/>
      <c r="C44" s="20"/>
      <c r="D44" s="146"/>
      <c r="E44" s="18"/>
      <c r="F44" s="18"/>
      <c r="G44" s="144"/>
      <c r="H44" s="18"/>
      <c r="I44" s="18"/>
      <c r="J44" s="19"/>
    </row>
    <row r="45" spans="2:10">
      <c r="B45" s="16"/>
      <c r="C45" s="346" t="s">
        <v>1107</v>
      </c>
      <c r="D45" s="347" t="str">
        <f>IFERROR(IF(COUNTBLANK(D6:D12)+COUNTBLANK(G9)&gt;0,"&gt;&gt;&gt; Complete Inputs &lt;&lt;&lt;",IF(D43&lt;&gt;0,IF(D33-D39&gt;D43,"Metals Recovery","Sale"),IF(D33-D39&gt;D43,"Metals Recovery","Landfill"))),"")</f>
        <v>Metals Recovery</v>
      </c>
      <c r="E45" s="18"/>
      <c r="F45" s="18"/>
      <c r="G45" s="144"/>
      <c r="H45" s="18"/>
      <c r="I45" s="18"/>
      <c r="J45" s="19"/>
    </row>
    <row r="46" spans="2:10">
      <c r="B46" s="16"/>
      <c r="C46" s="20"/>
      <c r="D46" s="146"/>
      <c r="E46" s="18"/>
      <c r="F46" s="18"/>
      <c r="G46" s="144"/>
      <c r="H46" s="18"/>
      <c r="I46" s="18"/>
      <c r="J46" s="19"/>
    </row>
    <row r="47" spans="2:10" ht="16.5" thickBot="1">
      <c r="B47" s="16"/>
      <c r="C47" s="157" t="s">
        <v>1043</v>
      </c>
      <c r="D47" s="320">
        <f>IFERROR(IF(COUNTBLANK(D6:D12)+COUNTBLANK(G9)&gt;0,"&gt;&gt;&gt; Complete Inputs &lt;&lt;&lt;",IF(D43&lt;&gt;0,MAX(D43,D33-D39),MAX(D42,D33-D39))),"")</f>
        <v>5667.6398299406692</v>
      </c>
      <c r="E47" s="321"/>
      <c r="F47" s="321"/>
      <c r="G47" s="157" t="str">
        <f>CurrencySymbol&amp;"/"&amp;OutMassUnit&amp;" catalyst"</f>
        <v>$/kg catalyst</v>
      </c>
      <c r="H47" s="18"/>
      <c r="I47" s="18"/>
      <c r="J47" s="19"/>
    </row>
    <row r="48" spans="2:10" ht="17.25" thickTop="1" thickBot="1">
      <c r="B48" s="21"/>
      <c r="C48" s="22"/>
      <c r="D48" s="22"/>
      <c r="E48" s="22"/>
      <c r="F48" s="22"/>
      <c r="G48" s="22"/>
      <c r="H48" s="22"/>
      <c r="I48" s="22"/>
      <c r="J48" s="23"/>
    </row>
  </sheetData>
  <mergeCells count="2">
    <mergeCell ref="B3:D3"/>
    <mergeCell ref="L3:N3"/>
  </mergeCells>
  <conditionalFormatting sqref="D6:D12 G9 N5">
    <cfRule type="containsBlanks" dxfId="114" priority="8">
      <formula>LEN(TRIM(D5))=0</formula>
    </cfRule>
  </conditionalFormatting>
  <dataValidations count="7">
    <dataValidation type="list" allowBlank="1" showInputMessage="1" showErrorMessage="1" sqref="D6" xr:uid="{00000000-0002-0000-0900-000000000000}">
      <formula1>SpentMetals</formula1>
    </dataValidation>
    <dataValidation type="list" allowBlank="1" showInputMessage="1" showErrorMessage="1" sqref="D7" xr:uid="{00000000-0002-0000-0900-000001000000}">
      <formula1>SpentSupports</formula1>
    </dataValidation>
    <dataValidation type="list" allowBlank="1" showInputMessage="1" showErrorMessage="1" sqref="D10" xr:uid="{00000000-0002-0000-0900-000002000000}">
      <formula1>"Fixed Bed,Slurry/Fluidized Bed"</formula1>
    </dataValidation>
    <dataValidation type="list" allowBlank="1" showInputMessage="1" showErrorMessage="1" sqref="D11" xr:uid="{00000000-0002-0000-0900-000003000000}">
      <formula1>"No,Yes"</formula1>
    </dataValidation>
    <dataValidation type="list" allowBlank="1" showInputMessage="1" showErrorMessage="1" sqref="N5" xr:uid="{00000000-0002-0000-0900-000004000000}">
      <formula1>SpentDensNames</formula1>
    </dataValidation>
    <dataValidation type="list" allowBlank="1" showInputMessage="1" showErrorMessage="1" sqref="G9" xr:uid="{00000000-0002-0000-0900-000005000000}">
      <formula1>"lb/ft3,kg/m3"</formula1>
    </dataValidation>
    <dataValidation type="list" allowBlank="1" showInputMessage="1" showErrorMessage="1" sqref="D12" xr:uid="{00000000-0002-0000-0900-000006000000}">
      <formula1>SpentHazNames</formula1>
    </dataValidation>
  </dataValidations>
  <pageMargins left="0.7" right="0.7" top="0.75" bottom="0.75" header="0.3" footer="0.3"/>
  <pageSetup orientation="portrait" horizontalDpi="0" verticalDpi="0"/>
  <ignoredErrors>
    <ignoredError sqref="A1:XFD5 A13:XFD34 A6:C6 E6:XFD6 A7:C7 E7:XFD7 A8:C8 E8:XFD8 A9:C9 G9:XFD9 A10:C10 E10:XFD10 A11:C11 E11:XFD11 A12:C12 E12:XFD12 A37:XFD37 A35:D35 G35:XFD35 A36:D36 G36:XFD36 A39:XFD41 A38:D38 G38:XFD38 A44:XFD1048576 A42:D42 G42:XFD42 A43:D43 G43:XFD43" emptyCellReference="1"/>
  </ignoredErrors>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sheetPr>
  <dimension ref="B1:R130"/>
  <sheetViews>
    <sheetView workbookViewId="0">
      <pane ySplit="1" topLeftCell="A2" activePane="bottomLeft" state="frozenSplit"/>
      <selection pane="bottomLeft" activeCell="G20" sqref="G20"/>
    </sheetView>
  </sheetViews>
  <sheetFormatPr defaultColWidth="10.875" defaultRowHeight="15.75"/>
  <cols>
    <col min="1" max="2" width="2.5" style="50" customWidth="1"/>
    <col min="3" max="3" width="36.125" style="50" bestFit="1" customWidth="1"/>
    <col min="4" max="4" width="16.875" style="50" customWidth="1"/>
    <col min="5" max="5" width="19.5" style="50" customWidth="1"/>
    <col min="6" max="6" width="2.5" style="50" customWidth="1"/>
    <col min="7" max="16384" width="10.875" style="50"/>
  </cols>
  <sheetData>
    <row r="1" spans="2:18" s="10" customFormat="1" ht="24" customHeight="1">
      <c r="B1" s="107" t="str">
        <f>"CatCost v"&amp;Version&amp;": "&amp;EstimateName</f>
        <v>CatCost v1.0.4: Test1</v>
      </c>
      <c r="G1" s="108"/>
      <c r="H1" s="109"/>
      <c r="I1" s="109"/>
      <c r="J1" s="109"/>
      <c r="K1" s="109"/>
      <c r="L1" s="109"/>
      <c r="M1" s="109"/>
      <c r="N1" s="109"/>
      <c r="O1" s="109"/>
      <c r="P1" s="109"/>
      <c r="Q1" s="108"/>
      <c r="R1" s="109"/>
    </row>
    <row r="2" spans="2:18" s="11" customFormat="1" ht="16.5" thickBot="1"/>
    <row r="3" spans="2:18" ht="21" thickBot="1">
      <c r="B3" s="414" t="s">
        <v>418</v>
      </c>
      <c r="C3" s="415"/>
      <c r="D3" s="416"/>
    </row>
    <row r="4" spans="2:18">
      <c r="B4" s="152"/>
      <c r="C4" s="153"/>
      <c r="D4" s="153"/>
      <c r="E4" s="153"/>
      <c r="F4" s="154"/>
    </row>
    <row r="5" spans="2:18">
      <c r="B5" s="32"/>
      <c r="C5" s="17" t="s">
        <v>963</v>
      </c>
      <c r="D5" s="33"/>
      <c r="E5" s="33"/>
      <c r="F5" s="34"/>
    </row>
    <row r="6" spans="2:18">
      <c r="B6" s="32"/>
      <c r="C6" s="33" t="s">
        <v>1013</v>
      </c>
      <c r="D6" s="43" t="s">
        <v>404</v>
      </c>
      <c r="E6" s="33"/>
      <c r="F6" s="34"/>
    </row>
    <row r="7" spans="2:18">
      <c r="B7" s="32"/>
      <c r="C7" s="20"/>
      <c r="D7" s="33"/>
      <c r="E7" s="33"/>
      <c r="F7" s="34"/>
    </row>
    <row r="8" spans="2:18">
      <c r="B8" s="32"/>
      <c r="C8" s="17" t="s">
        <v>962</v>
      </c>
      <c r="D8" s="33"/>
      <c r="E8" s="33"/>
      <c r="F8" s="34"/>
    </row>
    <row r="9" spans="2:18">
      <c r="B9" s="32"/>
      <c r="C9" s="33" t="s">
        <v>1787</v>
      </c>
      <c r="D9" s="43" t="s">
        <v>121</v>
      </c>
      <c r="E9" s="33"/>
      <c r="F9" s="34"/>
    </row>
    <row r="10" spans="2:18" ht="16.5" thickBot="1">
      <c r="B10" s="39"/>
      <c r="C10" s="174"/>
      <c r="D10" s="175"/>
      <c r="E10" s="174"/>
      <c r="F10" s="41"/>
    </row>
    <row r="11" spans="2:18">
      <c r="B11" s="32"/>
      <c r="C11" s="33"/>
      <c r="D11" s="33"/>
      <c r="E11" s="33"/>
      <c r="F11" s="34"/>
    </row>
    <row r="12" spans="2:18" ht="20.25">
      <c r="B12" s="32"/>
      <c r="C12" s="435" t="s">
        <v>1800</v>
      </c>
      <c r="D12" s="435"/>
      <c r="E12" s="435"/>
      <c r="F12" s="34"/>
    </row>
    <row r="13" spans="2:18" ht="21" thickBot="1">
      <c r="B13" s="32"/>
      <c r="C13" s="434" t="str">
        <f>IF(EstimateName="","",EstimateName)</f>
        <v>Test1</v>
      </c>
      <c r="D13" s="434"/>
      <c r="E13" s="434"/>
      <c r="F13" s="34"/>
    </row>
    <row r="14" spans="2:18">
      <c r="B14" s="32"/>
      <c r="C14" s="20"/>
      <c r="D14" s="20"/>
      <c r="E14" s="20"/>
      <c r="F14" s="34"/>
    </row>
    <row r="15" spans="2:18">
      <c r="B15" s="32"/>
      <c r="C15" s="158" t="s">
        <v>966</v>
      </c>
      <c r="D15" s="158">
        <f>IF(BasisYear="","-----",BasisYear)</f>
        <v>2016</v>
      </c>
      <c r="E15" s="158"/>
      <c r="F15" s="34"/>
    </row>
    <row r="16" spans="2:18">
      <c r="B16" s="32"/>
      <c r="C16" s="346" t="s">
        <v>1788</v>
      </c>
      <c r="D16" s="346">
        <f>IF(StepOrderSize="","-----",StepOrderSize)</f>
        <v>100</v>
      </c>
      <c r="E16" s="346" t="s">
        <v>401</v>
      </c>
      <c r="F16" s="34"/>
    </row>
    <row r="17" spans="2:6">
      <c r="B17" s="32"/>
      <c r="C17" s="33"/>
      <c r="D17" s="33"/>
      <c r="E17" s="33"/>
      <c r="F17" s="34"/>
    </row>
    <row r="18" spans="2:6">
      <c r="B18" s="32"/>
      <c r="C18" s="17" t="s">
        <v>385</v>
      </c>
      <c r="D18" s="161" t="s">
        <v>417</v>
      </c>
      <c r="E18" s="161" t="s">
        <v>964</v>
      </c>
      <c r="F18" s="34"/>
    </row>
    <row r="19" spans="2:6">
      <c r="B19" s="32"/>
      <c r="C19" s="33"/>
      <c r="D19" s="162" t="str">
        <f>IF($D$6="","Choose $ or ¢",IF($D$6="Cents","¢/"&amp;OutMassUnit&amp;" catalyst",CurrencySymbol&amp;"/"&amp;OutMassUnit&amp;" catalyst"))</f>
        <v>$/kg catalyst</v>
      </c>
      <c r="E19" s="162" t="str">
        <f>"$ for "&amp;StepOrderSize&amp;" ton"</f>
        <v>$ for 100 ton</v>
      </c>
      <c r="F19" s="34"/>
    </row>
    <row r="20" spans="2:6">
      <c r="B20" s="32"/>
      <c r="C20" s="17" t="s">
        <v>1779</v>
      </c>
      <c r="D20" s="162"/>
      <c r="E20" s="162"/>
      <c r="F20" s="34"/>
    </row>
    <row r="21" spans="2:6">
      <c r="B21" s="32"/>
      <c r="C21" s="33" t="s">
        <v>393</v>
      </c>
      <c r="D21" s="274">
        <f>IF($D$6="","Choose $ or ¢",IF($D$6="Cents",100,1)*MaterialsUnitCost)</f>
        <v>730.71759744270571</v>
      </c>
      <c r="E21" s="271">
        <f>IFERROR(MaterialsUnitCost*StepOrderSizeOut,0)</f>
        <v>66289585.364948563</v>
      </c>
      <c r="F21" s="34"/>
    </row>
    <row r="22" spans="2:6">
      <c r="B22" s="32"/>
      <c r="C22" s="234" t="s">
        <v>972</v>
      </c>
      <c r="D22" s="274">
        <f>IF($D$6="","Choose $ or ¢",IF($D$6="Cents",100,1)*(MaterialsUnitCost-IFERROR(IF(VLOOKUP('4 Spent Catalyst'!$D$6,Spent2[],6,FALSE)="Yes",'4 Spent Catalyst'!$D$16*'4 Spent Catalyst'!$D$32,0),0)))</f>
        <v>-5635.3363188587264</v>
      </c>
      <c r="E22" s="271">
        <f>IFERROR((MaterialsUnitCost-IFERROR(IF(VLOOKUP('4 Spent Catalyst'!$D$6,Spent2[],6,FALSE)="Yes",'4 Spent Catalyst'!$D$16*'4 Spent Catalyst'!$D$32,0),0))*StepOrderSizeOut,0)</f>
        <v>-511229111.32364106</v>
      </c>
      <c r="F22" s="34"/>
    </row>
    <row r="23" spans="2:6">
      <c r="B23" s="32"/>
      <c r="C23" s="371" t="s">
        <v>965</v>
      </c>
      <c r="D23" s="275">
        <f ca="1">IF($D$6="","Choose $ or ¢",IFERROR(IF($D$6="Cents",100,1)*StepUnitTotal,0))</f>
        <v>3.0864888781738191</v>
      </c>
      <c r="E23" s="272">
        <f ca="1">IFERROR(StepUnitTotal*StepOrderSizeOut,0)</f>
        <v>280001.5610459008</v>
      </c>
      <c r="F23" s="34"/>
    </row>
    <row r="24" spans="2:6">
      <c r="B24" s="32"/>
      <c r="C24" s="20" t="s">
        <v>1781</v>
      </c>
      <c r="D24" s="276">
        <f ca="1">IFERROR(D21+D23,0)</f>
        <v>733.80408632087949</v>
      </c>
      <c r="E24" s="168">
        <f ca="1">IFERROR(E21+E23,0)</f>
        <v>66569586.925994463</v>
      </c>
      <c r="F24" s="34"/>
    </row>
    <row r="25" spans="2:6">
      <c r="B25" s="32"/>
      <c r="C25" s="138" t="s">
        <v>1783</v>
      </c>
      <c r="D25" s="276">
        <f ca="1">IFERROR(D22+D23,0)</f>
        <v>-5632.2498299805529</v>
      </c>
      <c r="E25" s="168">
        <f ca="1">IFERROR(E22+E23,0)</f>
        <v>-510949109.76259518</v>
      </c>
      <c r="F25" s="34"/>
    </row>
    <row r="26" spans="2:6">
      <c r="B26" s="32"/>
      <c r="C26" s="33"/>
      <c r="D26" s="274"/>
      <c r="E26" s="271"/>
      <c r="F26" s="34"/>
    </row>
    <row r="27" spans="2:6">
      <c r="B27" s="32"/>
      <c r="C27" s="17" t="s">
        <v>1785</v>
      </c>
      <c r="D27" s="33"/>
      <c r="E27" s="33"/>
      <c r="F27" s="34"/>
    </row>
    <row r="28" spans="2:6">
      <c r="B28" s="32"/>
      <c r="C28" s="33" t="s">
        <v>1784</v>
      </c>
      <c r="D28" s="33"/>
      <c r="E28" s="33"/>
      <c r="F28" s="34"/>
    </row>
    <row r="29" spans="2:6">
      <c r="B29" s="32"/>
      <c r="C29" s="234" t="s">
        <v>1736</v>
      </c>
      <c r="D29" s="274">
        <f ca="1">IF($D$6="","Choose $ or ¢",IFERROR(StepGnA/100*D25,0))</f>
        <v>-281.61249149902767</v>
      </c>
      <c r="E29" s="271">
        <f ca="1">IFERROR(StepGnA/100*E25,0)</f>
        <v>-25547455.488129761</v>
      </c>
      <c r="F29" s="34"/>
    </row>
    <row r="30" spans="2:6">
      <c r="B30" s="32"/>
      <c r="C30" s="234" t="s">
        <v>1780</v>
      </c>
      <c r="D30" s="274">
        <f ca="1">IF($D$6="","Choose $ or ¢",IFERROR(StepSARD/100*(D25+D29),0))</f>
        <v>-295.69311607397907</v>
      </c>
      <c r="E30" s="271">
        <f ca="1">IFERROR(StepSARD/100*(E25+E29),0)</f>
        <v>-26824828.262536246</v>
      </c>
      <c r="F30" s="34"/>
    </row>
    <row r="31" spans="2:6">
      <c r="B31" s="32"/>
      <c r="C31" s="273" t="s">
        <v>909</v>
      </c>
      <c r="D31" s="275">
        <f ca="1">IF($D$6="","Choose $ or ¢",IFERROR(StepMargin/100*(D25+D29+D30),0))</f>
        <v>-1012.9300147054922</v>
      </c>
      <c r="E31" s="272">
        <f ca="1">IFERROR(StepMargin/100*(E25+E29+E30),0)</f>
        <v>-91891465.202879816</v>
      </c>
      <c r="F31" s="34"/>
    </row>
    <row r="32" spans="2:6">
      <c r="B32" s="32"/>
      <c r="C32" s="20" t="s">
        <v>1786</v>
      </c>
      <c r="D32" s="276">
        <f ca="1">SUM(D29:D31)</f>
        <v>-1590.2356222784988</v>
      </c>
      <c r="E32" s="168">
        <f ca="1">SUM(E29:E31)</f>
        <v>-144263748.95354581</v>
      </c>
      <c r="F32" s="34"/>
    </row>
    <row r="33" spans="2:6">
      <c r="B33" s="32"/>
      <c r="C33" s="20"/>
      <c r="D33" s="167"/>
      <c r="E33" s="168"/>
      <c r="F33" s="34"/>
    </row>
    <row r="34" spans="2:6" ht="16.5" thickBot="1">
      <c r="B34" s="32"/>
      <c r="C34" s="157" t="s">
        <v>409</v>
      </c>
      <c r="D34" s="159">
        <f ca="1">IFERROR(D24+D32,0)</f>
        <v>-856.4315359576193</v>
      </c>
      <c r="E34" s="160">
        <f ca="1">IFERROR(E24+E32,0)</f>
        <v>-77694162.027551353</v>
      </c>
      <c r="F34" s="34"/>
    </row>
    <row r="35" spans="2:6" ht="16.5" thickTop="1">
      <c r="B35" s="32"/>
      <c r="C35" s="20"/>
      <c r="D35" s="156"/>
      <c r="E35" s="139"/>
      <c r="F35" s="34"/>
    </row>
    <row r="36" spans="2:6">
      <c r="B36" s="32"/>
      <c r="C36" s="20" t="s">
        <v>970</v>
      </c>
      <c r="D36" s="216">
        <f>IF($D$6="","Choose $ or ¢",IFERROR(IF($D$6="Cents",100,1)*SpentValue,0))</f>
        <v>5667.6398299406692</v>
      </c>
      <c r="E36" s="217">
        <f>IFERROR(SpentValue*StepOrderSizeOut,0)</f>
        <v>514159636.553837</v>
      </c>
      <c r="F36" s="34"/>
    </row>
    <row r="37" spans="2:6" ht="16.5" thickBot="1">
      <c r="B37" s="32"/>
      <c r="C37" s="157" t="s">
        <v>971</v>
      </c>
      <c r="D37" s="159">
        <f ca="1">IFERROR(D34-D36,0)</f>
        <v>-6524.0713658982886</v>
      </c>
      <c r="E37" s="160">
        <f ca="1">IFERROR(E34-E36,0)</f>
        <v>-591853798.58138835</v>
      </c>
      <c r="F37" s="34"/>
    </row>
    <row r="38" spans="2:6" ht="17.25" thickTop="1" thickBot="1">
      <c r="B38" s="39"/>
      <c r="C38" s="40"/>
      <c r="D38" s="40"/>
      <c r="E38" s="40"/>
      <c r="F38" s="41"/>
    </row>
    <row r="39" spans="2:6">
      <c r="B39" s="32"/>
      <c r="C39" s="33"/>
      <c r="D39" s="33"/>
      <c r="E39" s="33"/>
      <c r="F39" s="34"/>
    </row>
    <row r="40" spans="2:6" ht="20.25">
      <c r="B40" s="32"/>
      <c r="C40" s="435" t="s">
        <v>1801</v>
      </c>
      <c r="D40" s="435"/>
      <c r="E40" s="435"/>
      <c r="F40" s="34"/>
    </row>
    <row r="41" spans="2:6" ht="21" thickBot="1">
      <c r="B41" s="32"/>
      <c r="C41" s="434" t="str">
        <f>IF(EstimateName="","",EstimateName)</f>
        <v>Test1</v>
      </c>
      <c r="D41" s="434"/>
      <c r="E41" s="434"/>
      <c r="F41" s="34"/>
    </row>
    <row r="42" spans="2:6">
      <c r="B42" s="32"/>
      <c r="C42" s="20"/>
      <c r="D42" s="173"/>
      <c r="E42" s="20"/>
      <c r="F42" s="34"/>
    </row>
    <row r="43" spans="2:6">
      <c r="B43" s="32"/>
      <c r="C43" s="158" t="s">
        <v>966</v>
      </c>
      <c r="D43" s="158">
        <f>IF(BasisYear="","-----",BasisYear)</f>
        <v>2016</v>
      </c>
      <c r="E43" s="158"/>
      <c r="F43" s="34"/>
    </row>
    <row r="44" spans="2:6">
      <c r="B44" s="32"/>
      <c r="C44" s="20" t="s">
        <v>12</v>
      </c>
      <c r="D44" s="173">
        <f>IF('1 Inputs'!$K$37=0,"-----",'1 Inputs'!$K$37)</f>
        <v>10000</v>
      </c>
      <c r="E44" s="20" t="str">
        <f>IF(OutMassUnit="","",OutMassUnit)</f>
        <v>kg</v>
      </c>
      <c r="F44" s="34"/>
    </row>
    <row r="45" spans="2:6">
      <c r="B45" s="32"/>
      <c r="C45" s="346" t="s">
        <v>14</v>
      </c>
      <c r="D45" s="373">
        <f>IF(ActualProduction=0,"-----",ActualProduction)</f>
        <v>10000</v>
      </c>
      <c r="E45" s="346" t="str">
        <f>IF(OutMassUnit="","",OutMassUnit)</f>
        <v>kg</v>
      </c>
      <c r="F45" s="34"/>
    </row>
    <row r="46" spans="2:6">
      <c r="B46" s="32"/>
      <c r="C46" s="33"/>
      <c r="D46" s="33"/>
      <c r="E46" s="33"/>
      <c r="F46" s="34"/>
    </row>
    <row r="47" spans="2:6">
      <c r="B47" s="32"/>
      <c r="C47" s="17" t="s">
        <v>385</v>
      </c>
      <c r="D47" s="161" t="s">
        <v>417</v>
      </c>
      <c r="E47" s="161" t="str">
        <f>IF($D$9="","Enter time interval",$D$9&amp;" Cost")</f>
        <v>Annual Cost</v>
      </c>
      <c r="F47" s="34"/>
    </row>
    <row r="48" spans="2:6">
      <c r="B48" s="32"/>
      <c r="C48" s="33"/>
      <c r="D48" s="162" t="str">
        <f>IF($D$6="","Choose $ or ¢",IF($D$6="Cents","¢/"&amp;OutMassUnit&amp;" catalyst",CurrencySymbol&amp;"/"&amp;OutMassUnit&amp;" catalyst"))</f>
        <v>$/kg catalyst</v>
      </c>
      <c r="E48" s="162" t="str">
        <f>IF($D$9="","Enter time interval",IF($D$9="Annual",CurrencySymbol&amp;"/year",IF($D$9="Monthly",CurrencySymbol&amp;"/month",IF($D$9="Weekly",CurrencySymbol&amp;"/week",IF($D$9="Daily",CurrencySymbol&amp;"/day","")))))</f>
        <v>$/year</v>
      </c>
      <c r="F48" s="34"/>
    </row>
    <row r="49" spans="2:6">
      <c r="B49" s="32"/>
      <c r="C49" s="17" t="str">
        <f>"Capital Costs ("&amp;PlantLife&amp;"-year plant life)"</f>
        <v>Capital Costs (10-year plant life)</v>
      </c>
      <c r="D49" s="35"/>
      <c r="E49" s="35"/>
      <c r="F49" s="34"/>
    </row>
    <row r="50" spans="2:6">
      <c r="B50" s="32"/>
      <c r="C50" s="137" t="s">
        <v>386</v>
      </c>
      <c r="D50" s="163">
        <f ca="1">IF($D$6="","Choose $ or ¢",IFERROR(IF($D$6="Cents",100,1)*FCI/PlantLife/ActualProduction,0))</f>
        <v>3.3910191009808579</v>
      </c>
      <c r="E50" s="164">
        <f ca="1">IF($D$9="","Enter time interval",IFERROR(IF($D$9="Annual",1,IF($D$9="Monthly",1/12,IF($D$9="Weekly",1/52,IF($D$9="Daily",1/365,0))))*FCI/PlantLife,0))</f>
        <v>33910.191009808579</v>
      </c>
      <c r="F50" s="34"/>
    </row>
    <row r="51" spans="2:6">
      <c r="B51" s="32"/>
      <c r="C51" s="148" t="s">
        <v>204</v>
      </c>
      <c r="D51" s="165">
        <f ca="1">IF($D$6="","Choose $ or ¢",IFERROR(IF($D$6="Cents",100,1)*WorkingCapital/PlantLife/ActualProduction,0))</f>
        <v>0.63581608143391077</v>
      </c>
      <c r="E51" s="166">
        <f ca="1">IF($D$9="","Enter time interval",IFERROR(IF($D$9="Annual",1,IF($D$9="Monthly",1/12,IF($D$9="Weekly",1/52,IF($D$9="Daily",1/365,0))))*WorkingCapital/PlantLife,0))</f>
        <v>6358.1608143391077</v>
      </c>
      <c r="F51" s="34"/>
    </row>
    <row r="52" spans="2:6">
      <c r="B52" s="32"/>
      <c r="C52" s="20" t="s">
        <v>406</v>
      </c>
      <c r="D52" s="167">
        <f ca="1">SUM(D50:D51)</f>
        <v>4.0268351824147688</v>
      </c>
      <c r="E52" s="168">
        <f ca="1">SUM(E50:E51)</f>
        <v>40268.351824147685</v>
      </c>
      <c r="F52" s="34"/>
    </row>
    <row r="53" spans="2:6">
      <c r="B53" s="32"/>
      <c r="C53" s="33"/>
      <c r="D53" s="35"/>
      <c r="E53" s="35"/>
      <c r="F53" s="34"/>
    </row>
    <row r="54" spans="2:6">
      <c r="B54" s="32"/>
      <c r="C54" s="17" t="s">
        <v>407</v>
      </c>
      <c r="D54" s="35"/>
      <c r="E54" s="35"/>
      <c r="F54" s="34"/>
    </row>
    <row r="55" spans="2:6">
      <c r="B55" s="32"/>
      <c r="C55" s="18" t="s">
        <v>392</v>
      </c>
      <c r="D55" s="163"/>
      <c r="E55" s="164"/>
      <c r="F55" s="34"/>
    </row>
    <row r="56" spans="2:6">
      <c r="B56" s="32"/>
      <c r="C56" s="123" t="s">
        <v>393</v>
      </c>
      <c r="D56" s="163">
        <f>IFERROR(IF($D$6="","Choose $ or ¢",IF($D$6="Cents",100,1)*MaterialsUnitCost),0)</f>
        <v>730.71759744270571</v>
      </c>
      <c r="E56" s="164">
        <f>IFERROR(IF($D$9="","Enter time interval",IF($D$9="Annual",1,IF($D$9="Monthly",1/12,IF($D$9="Weekly",1/52,IF($D$9="Daily",1/365,0))))*MaterialsAnnualCost),0)</f>
        <v>7307175.9744270574</v>
      </c>
      <c r="F56" s="34"/>
    </row>
    <row r="57" spans="2:6">
      <c r="B57" s="32"/>
      <c r="C57" s="123" t="s">
        <v>394</v>
      </c>
      <c r="D57" s="163">
        <f ca="1">IFERROR(IF($D$6="","Choose $ or ¢",IF($D$6="Cents",100,1)*UtilitiesUnitCost),0)</f>
        <v>2.9103050986842103E-2</v>
      </c>
      <c r="E57" s="164">
        <f ca="1">IFERROR(IF($D$9="","Enter time interval",IF($D$9="Annual",1,IF($D$9="Monthly",1/12,IF($D$9="Weekly",1/52,IF($D$9="Daily",1/365,0))))*UtilitiesAnnualCost),0)</f>
        <v>291.03050986842101</v>
      </c>
      <c r="F57" s="34"/>
    </row>
    <row r="58" spans="2:6">
      <c r="B58" s="32"/>
      <c r="C58" s="123" t="s">
        <v>395</v>
      </c>
      <c r="D58" s="163">
        <f ca="1">IFERROR(IF($D$6="","Choose $ or ¢",IF($D$6="Cents",100,1)*LSM/ActualProduction),0)</f>
        <v>57.87367598306399</v>
      </c>
      <c r="E58" s="164">
        <f ca="1">IFERROR(IF($D$9="","Enter time interval",IF($D$9="Annual",1,IF($D$9="Monthly",1/12,IF($D$9="Weekly",1/52,IF($D$9="Daily",1/365,0))))*LSM),0)</f>
        <v>578736.75983063993</v>
      </c>
      <c r="F58" s="34"/>
    </row>
    <row r="59" spans="2:6">
      <c r="B59" s="32"/>
      <c r="C59" s="18" t="s">
        <v>396</v>
      </c>
      <c r="D59" s="163"/>
      <c r="E59" s="164"/>
      <c r="F59" s="34"/>
    </row>
    <row r="60" spans="2:6">
      <c r="B60" s="32"/>
      <c r="C60" s="123" t="s">
        <v>397</v>
      </c>
      <c r="D60" s="163">
        <f ca="1">IFERROR(IF($D$6="","Choose $ or ¢",IF($D$6="Cents",100,1)*TIRO/ActualProduction),0)</f>
        <v>35.894107179676794</v>
      </c>
      <c r="E60" s="164">
        <f ca="1">IFERROR(IF($D$9="","Enter time interval",IF($D$9="Annual",1,IF($D$9="Monthly",1/12,IF($D$9="Weekly",1/52,IF($D$9="Daily",1/365,0))))*TIRO),0)</f>
        <v>358941.07179676794</v>
      </c>
      <c r="F60" s="34"/>
    </row>
    <row r="61" spans="2:6">
      <c r="B61" s="32"/>
      <c r="C61" s="18" t="s">
        <v>398</v>
      </c>
      <c r="D61" s="163"/>
      <c r="E61" s="164"/>
      <c r="F61" s="34"/>
    </row>
    <row r="62" spans="2:6">
      <c r="B62" s="32"/>
      <c r="C62" s="148" t="s">
        <v>399</v>
      </c>
      <c r="D62" s="165">
        <f ca="1">IFERROR(IF($D$6="","Choose $ or ¢",IF($D$6="Cents",100,1)*GeneralExp/ActualProduction),0)</f>
        <v>-819.65617970013705</v>
      </c>
      <c r="E62" s="166">
        <f ca="1">IFERROR(IF($D$9="","Enter time interval",IF($D$9="Annual",1,IF($D$9="Monthly",1/12,IF($D$9="Weekly",1/52,IF($D$9="Daily",1/365,0))))*GeneralExp),0)</f>
        <v>-8196561.7970013702</v>
      </c>
      <c r="F62" s="34"/>
    </row>
    <row r="63" spans="2:6">
      <c r="B63" s="32"/>
      <c r="C63" s="158" t="s">
        <v>408</v>
      </c>
      <c r="D63" s="171">
        <f ca="1">SUM(D56:D62)</f>
        <v>4.858303956296254</v>
      </c>
      <c r="E63" s="172">
        <f ca="1">SUM(E56:E62)</f>
        <v>48583.039562963881</v>
      </c>
      <c r="F63" s="34"/>
    </row>
    <row r="64" spans="2:6">
      <c r="B64" s="32"/>
      <c r="C64" s="20"/>
      <c r="D64" s="372"/>
      <c r="E64" s="168"/>
      <c r="F64" s="34"/>
    </row>
    <row r="65" spans="2:6">
      <c r="B65" s="32"/>
      <c r="C65" s="17" t="s">
        <v>909</v>
      </c>
      <c r="D65" s="372"/>
      <c r="E65" s="168"/>
      <c r="F65" s="34"/>
    </row>
    <row r="66" spans="2:6">
      <c r="B66" s="32"/>
      <c r="C66" s="33" t="s">
        <v>405</v>
      </c>
      <c r="D66" s="35"/>
      <c r="E66" s="35"/>
      <c r="F66" s="34"/>
    </row>
    <row r="67" spans="2:6">
      <c r="B67" s="32"/>
      <c r="C67" s="33" t="str">
        <f>"     ("&amp;IFERROR(IF('1 Inputs'!$K$51&lt;&gt;"% of costs",ROI&amp;"%/yr of total capital invested)","disabled)"),"")</f>
        <v xml:space="preserve">     (25%/yr of total capital invested)</v>
      </c>
      <c r="D67" s="169">
        <f ca="1">IFERROR(IF($D$6="","Choose $ or ¢",IF($D$6="Cents",100,1)*TCI*IF('1 Inputs'!$K$51&lt;&gt;"% of costs",ROI,0)/100/ActualProduction),0)</f>
        <v>10.067087956036922</v>
      </c>
      <c r="E67" s="170">
        <f ca="1">IFERROR(IF($D$9="","Enter time interval",IF($D$9="Annual",1,IF($D$9="Monthly",1/12,IF($D$9="Weekly",1/52,IF($D$9="Daily",1/365,0))))*TCI*IF('1 Inputs'!$K$51&lt;&gt;"% of costs",ROI,0)/100),0)</f>
        <v>100670.87956036921</v>
      </c>
      <c r="F67" s="34"/>
    </row>
    <row r="68" spans="2:6">
      <c r="B68" s="32"/>
      <c r="C68" s="371" t="str">
        <f>"Flat Margin ("&amp;IFERROR(IF('1 Inputs'!$K$51&lt;&gt;"ROI",FlatMargin&amp;"% of costs excl. PGM)","disabled)"),"")</f>
        <v>Flat Margin (disabled)</v>
      </c>
      <c r="D68" s="374">
        <f ca="1">IFERROR(IF($D$6="","Choose $ or ¢",(D52+D63-IFERROR(IF(VLOOKUP('4 Spent Catalyst'!$D$6,Spent2[],6,FALSE)="Yes",'4 Spent Catalyst'!$D$16*'4 Spent Catalyst'!$D$32,0),0))*IF('1 Inputs'!$K$51&lt;&gt;"ROI",FlatMargin,0)/100),0)</f>
        <v>0</v>
      </c>
      <c r="E68" s="375">
        <f ca="1">IFERROR(IF($D$9="","Enter time interval",(E52+E63-IFERROR(IF(VLOOKUP('4 Spent Catalyst'!$D$6,Spent2[],6,FALSE)="Yes",'4 Spent Catalyst'!$D$16*'4 Spent Catalyst'!$D$32,0),0))*IF('1 Inputs'!$K$51&lt;&gt;"ROI",FlatMargin,0)/100),0)</f>
        <v>0</v>
      </c>
      <c r="F68" s="34"/>
    </row>
    <row r="69" spans="2:6">
      <c r="B69" s="32"/>
      <c r="C69" s="20" t="s">
        <v>1789</v>
      </c>
      <c r="D69" s="171">
        <f ca="1">SUM(D67:D68)</f>
        <v>10.067087956036922</v>
      </c>
      <c r="E69" s="172">
        <f ca="1">SUM(E67:E68)</f>
        <v>100670.87956036921</v>
      </c>
      <c r="F69" s="34"/>
    </row>
    <row r="70" spans="2:6">
      <c r="B70" s="32"/>
      <c r="C70" s="33"/>
      <c r="D70" s="35"/>
      <c r="E70" s="35"/>
      <c r="F70" s="34"/>
    </row>
    <row r="71" spans="2:6" ht="16.5" thickBot="1">
      <c r="B71" s="155"/>
      <c r="C71" s="157" t="s">
        <v>409</v>
      </c>
      <c r="D71" s="159">
        <f ca="1">IFERROR(D52+D63+D69,0)</f>
        <v>18.952227094747943</v>
      </c>
      <c r="E71" s="160">
        <f ca="1">IFERROR(E52+E63+E69,0)</f>
        <v>189522.27094748078</v>
      </c>
      <c r="F71" s="34"/>
    </row>
    <row r="72" spans="2:6" ht="16.5" thickTop="1">
      <c r="B72" s="155"/>
      <c r="C72" s="20"/>
      <c r="D72" s="156"/>
      <c r="E72" s="139"/>
      <c r="F72" s="34"/>
    </row>
    <row r="73" spans="2:6">
      <c r="B73" s="155"/>
      <c r="C73" s="20" t="s">
        <v>970</v>
      </c>
      <c r="D73" s="216">
        <f>IFERROR(IF($D$6="","Choose $ or ¢",IFERROR(IF($D$6="Cents",100,1)*SpentValue,0)),0)</f>
        <v>5667.6398299406692</v>
      </c>
      <c r="E73" s="217">
        <f>IFERROR(IF($D$9="","Enter time interval",IF($D$9="Annual",1,IF($D$9="Monthly",1/12,IF($D$9="Weekly",1/52,IF($D$9="Daily",1/365,0))))*SpentValue*ActualProduction),0)</f>
        <v>56676398.299406692</v>
      </c>
      <c r="F73" s="34"/>
    </row>
    <row r="74" spans="2:6" ht="16.5" thickBot="1">
      <c r="B74" s="155"/>
      <c r="C74" s="157" t="s">
        <v>971</v>
      </c>
      <c r="D74" s="159">
        <f ca="1">IFERROR(D71-D73,0)</f>
        <v>-5648.687602845921</v>
      </c>
      <c r="E74" s="160">
        <f ca="1">IFERROR(E71-E73,0)</f>
        <v>-56486876.028459214</v>
      </c>
      <c r="F74" s="34"/>
    </row>
    <row r="75" spans="2:6" ht="17.25" thickTop="1" thickBot="1">
      <c r="B75" s="39"/>
      <c r="C75" s="40"/>
      <c r="D75" s="40"/>
      <c r="E75" s="40"/>
      <c r="F75" s="41"/>
    </row>
    <row r="76" spans="2:6">
      <c r="B76" s="152"/>
      <c r="C76" s="153"/>
      <c r="D76" s="153"/>
      <c r="E76" s="153"/>
      <c r="F76" s="154"/>
    </row>
    <row r="77" spans="2:6">
      <c r="B77" s="32"/>
      <c r="C77" s="436" t="s">
        <v>1849</v>
      </c>
      <c r="D77" s="436"/>
      <c r="E77" s="436"/>
      <c r="F77" s="34"/>
    </row>
    <row r="78" spans="2:6">
      <c r="B78" s="32"/>
      <c r="C78" s="436"/>
      <c r="D78" s="436"/>
      <c r="E78" s="436"/>
      <c r="F78" s="34"/>
    </row>
    <row r="79" spans="2:6">
      <c r="B79" s="32"/>
      <c r="C79" s="436"/>
      <c r="D79" s="436"/>
      <c r="E79" s="436"/>
      <c r="F79" s="34"/>
    </row>
    <row r="80" spans="2:6">
      <c r="B80" s="32"/>
      <c r="C80" s="436"/>
      <c r="D80" s="436"/>
      <c r="E80" s="436"/>
      <c r="F80" s="34"/>
    </row>
    <row r="81" spans="2:6" ht="16.5" thickBot="1">
      <c r="B81" s="39"/>
      <c r="C81" s="40"/>
      <c r="D81" s="40"/>
      <c r="E81" s="40"/>
      <c r="F81" s="41"/>
    </row>
    <row r="82" spans="2:6">
      <c r="B82" s="32"/>
      <c r="C82" s="33"/>
      <c r="D82" s="33"/>
      <c r="E82" s="33"/>
      <c r="F82" s="34"/>
    </row>
    <row r="83" spans="2:6" ht="20.25">
      <c r="B83" s="32"/>
      <c r="C83" s="435" t="s">
        <v>1802</v>
      </c>
      <c r="D83" s="435"/>
      <c r="E83" s="435"/>
      <c r="F83" s="34"/>
    </row>
    <row r="84" spans="2:6" ht="21" thickBot="1">
      <c r="B84" s="32"/>
      <c r="C84" s="434" t="str">
        <f>IF(EstimateName="","",EstimateName)</f>
        <v>Test1</v>
      </c>
      <c r="D84" s="434"/>
      <c r="E84" s="434"/>
      <c r="F84" s="34"/>
    </row>
    <row r="85" spans="2:6">
      <c r="B85" s="32"/>
      <c r="C85" s="20"/>
      <c r="D85" s="20"/>
      <c r="E85" s="20"/>
      <c r="F85" s="34"/>
    </row>
    <row r="86" spans="2:6">
      <c r="B86" s="32"/>
      <c r="C86" s="158" t="s">
        <v>966</v>
      </c>
      <c r="D86" s="158">
        <f>IF(BasisYear="","-----",BasisYear)</f>
        <v>2016</v>
      </c>
      <c r="E86" s="158"/>
      <c r="F86" s="34"/>
    </row>
    <row r="87" spans="2:6">
      <c r="B87" s="32"/>
      <c r="C87" s="20" t="s">
        <v>1790</v>
      </c>
      <c r="D87" s="20"/>
      <c r="E87" s="20"/>
      <c r="F87" s="34"/>
    </row>
    <row r="88" spans="2:6">
      <c r="B88" s="32"/>
      <c r="C88" s="138" t="s">
        <v>1788</v>
      </c>
      <c r="D88" s="20">
        <f>IF(StepOrderSize="","-----",StepOrderSize)</f>
        <v>100</v>
      </c>
      <c r="E88" s="20" t="s">
        <v>401</v>
      </c>
      <c r="F88" s="34"/>
    </row>
    <row r="89" spans="2:6">
      <c r="B89" s="32"/>
      <c r="C89" s="138" t="s">
        <v>1839</v>
      </c>
      <c r="D89" s="379">
        <f>IF(OR(ActualProduction=0,StepOrderSizeOut="-----"),"-----",ActualProduction/StepOrderSizeOut)</f>
        <v>0.11023113109243879</v>
      </c>
      <c r="E89" s="20"/>
      <c r="F89" s="34"/>
    </row>
    <row r="90" spans="2:6">
      <c r="B90" s="32"/>
      <c r="C90" s="120" t="s">
        <v>1791</v>
      </c>
      <c r="D90" s="20"/>
      <c r="E90" s="20"/>
      <c r="F90" s="34"/>
    </row>
    <row r="91" spans="2:6">
      <c r="B91" s="32"/>
      <c r="C91" s="138" t="s">
        <v>12</v>
      </c>
      <c r="D91" s="173">
        <f>IF('1 Inputs'!$K$37=0,"-----",'1 Inputs'!$K$37)</f>
        <v>10000</v>
      </c>
      <c r="E91" s="20" t="str">
        <f>IF(OutMassUnit="","",OutMassUnit)</f>
        <v>kg</v>
      </c>
      <c r="F91" s="34"/>
    </row>
    <row r="92" spans="2:6">
      <c r="B92" s="32"/>
      <c r="C92" s="376" t="s">
        <v>14</v>
      </c>
      <c r="D92" s="373">
        <f>IF(ActualProduction=0,"-----",ActualProduction)</f>
        <v>10000</v>
      </c>
      <c r="E92" s="346" t="str">
        <f>IF(OutMassUnit="","",OutMassUnit)</f>
        <v>kg</v>
      </c>
      <c r="F92" s="34"/>
    </row>
    <row r="93" spans="2:6">
      <c r="B93" s="32"/>
      <c r="C93" s="33"/>
      <c r="D93" s="33"/>
      <c r="E93" s="33"/>
      <c r="F93" s="34"/>
    </row>
    <row r="94" spans="2:6">
      <c r="B94" s="32"/>
      <c r="C94" s="17" t="s">
        <v>385</v>
      </c>
      <c r="D94" s="161" t="s">
        <v>417</v>
      </c>
      <c r="E94" s="161" t="str">
        <f>IF($D$9="","Enter time interval",$D$9&amp;" Cost")</f>
        <v>Annual Cost</v>
      </c>
      <c r="F94" s="34"/>
    </row>
    <row r="95" spans="2:6">
      <c r="B95" s="32"/>
      <c r="C95" s="33"/>
      <c r="D95" s="162" t="str">
        <f>IF($D$6="","Choose $ or ¢",IF($D$6="Cents","¢/"&amp;OutMassUnit&amp;" catalyst",CurrencySymbol&amp;"/"&amp;OutMassUnit&amp;" catalyst"))</f>
        <v>$/kg catalyst</v>
      </c>
      <c r="E95" s="162" t="str">
        <f>IF($D$9="","Enter time interval",IF($D$9="Annual",CurrencySymbol&amp;"/year",IF($D$9="Monthly",CurrencySymbol&amp;"/month",IF($D$9="Weekly",CurrencySymbol&amp;"/week",IF($D$9="Daily",CurrencySymbol&amp;"/day","")))))</f>
        <v>$/year</v>
      </c>
      <c r="F95" s="34"/>
    </row>
    <row r="96" spans="2:6">
      <c r="B96" s="32"/>
      <c r="C96" s="17" t="s">
        <v>1792</v>
      </c>
      <c r="D96" s="162"/>
      <c r="E96" s="162"/>
      <c r="F96" s="34"/>
    </row>
    <row r="97" spans="2:6">
      <c r="B97" s="32"/>
      <c r="C97" s="33" t="s">
        <v>965</v>
      </c>
      <c r="D97" s="381">
        <f ca="1">IF($D$6="","Choose $ or ¢",IFERROR(IF($D$6="Cents",100,1)*StepUnitTotal,0))</f>
        <v>3.0864888781738191</v>
      </c>
      <c r="E97" s="271">
        <f ca="1">IF($D$9="","Enter time interval",IFERROR(IF($D$9="Annual",1,IF($D$9="Monthly",1/12,IF($D$9="Weekly",1/52,IF($D$9="Daily",1/365,0))))*StepUnitTotal*ActualProduction,0))</f>
        <v>30864.888781738191</v>
      </c>
      <c r="F97" s="34"/>
    </row>
    <row r="98" spans="2:6">
      <c r="B98" s="32"/>
      <c r="C98" s="33" t="s">
        <v>1782</v>
      </c>
      <c r="D98" s="381"/>
      <c r="E98" s="271"/>
      <c r="F98" s="34"/>
    </row>
    <row r="99" spans="2:6">
      <c r="B99" s="32"/>
      <c r="C99" s="234" t="s">
        <v>1736</v>
      </c>
      <c r="D99" s="381">
        <f ca="1">IF($D$6="","Choose $ or ¢",IFERROR(StepGnA/100*D97,0))</f>
        <v>0.15432444390869096</v>
      </c>
      <c r="E99" s="271">
        <f ca="1">IFERROR(IF($D$9="","Enter time interval",StepGnA/100*E97),0)</f>
        <v>1543.2444390869096</v>
      </c>
      <c r="F99" s="34"/>
    </row>
    <row r="100" spans="2:6">
      <c r="B100" s="32"/>
      <c r="C100" s="234" t="s">
        <v>1780</v>
      </c>
      <c r="D100" s="381">
        <f ca="1">IF($D$6="","Choose $ or ¢",IFERROR(StepSARD/100*(D97+D99),0))</f>
        <v>0.16204066610412551</v>
      </c>
      <c r="E100" s="271">
        <f ca="1">IFERROR(IF($D$9="","Enter time interval",StepSARD/100*(E97+E99)),0)</f>
        <v>1620.4066610412551</v>
      </c>
      <c r="F100" s="34"/>
    </row>
    <row r="101" spans="2:6">
      <c r="B101" s="32"/>
      <c r="C101" s="273" t="s">
        <v>909</v>
      </c>
      <c r="D101" s="382">
        <f ca="1">IF($D$6="","Choose $ or ¢",IFERROR(StepMargin/100*(D97+D99+D100),0))</f>
        <v>0.55508852041951051</v>
      </c>
      <c r="E101" s="272">
        <f ca="1">IFERROR(IF($D$9="","Enter time interval",StepMargin/100*(E97+E99+E100)),0)</f>
        <v>5550.885204195105</v>
      </c>
      <c r="F101" s="34"/>
    </row>
    <row r="102" spans="2:6">
      <c r="B102" s="32"/>
      <c r="C102" s="20" t="s">
        <v>1793</v>
      </c>
      <c r="D102" s="383">
        <f ca="1">SUM(D97:D101)</f>
        <v>3.9579425086061462</v>
      </c>
      <c r="E102" s="168">
        <f ca="1">SUM(E97:E101)</f>
        <v>39579.425086061456</v>
      </c>
      <c r="F102" s="34"/>
    </row>
    <row r="103" spans="2:6">
      <c r="B103" s="32"/>
      <c r="C103" s="20"/>
      <c r="D103" s="372"/>
      <c r="E103" s="168"/>
      <c r="F103" s="34"/>
    </row>
    <row r="104" spans="2:6">
      <c r="B104" s="32"/>
      <c r="C104" s="17" t="s">
        <v>1794</v>
      </c>
      <c r="D104" s="35"/>
      <c r="E104" s="35"/>
      <c r="F104" s="34"/>
    </row>
    <row r="105" spans="2:6">
      <c r="B105" s="32"/>
      <c r="C105" s="137" t="s">
        <v>386</v>
      </c>
      <c r="D105" s="163">
        <f ca="1">IF($D$6="","Choose $ or ¢",IFERROR(IF($D$6="Cents",100,1)*FCI/PlantLife/ActualProduction,0))</f>
        <v>3.3910191009808579</v>
      </c>
      <c r="E105" s="164">
        <f ca="1">IF($D$9="","Enter time interval",IFERROR(IF($D$9="Annual",1,IF($D$9="Monthly",1/12,IF($D$9="Weekly",1/52,IF($D$9="Daily",1/365,0))))*FCI/PlantLife,0))</f>
        <v>33910.191009808579</v>
      </c>
      <c r="F105" s="34"/>
    </row>
    <row r="106" spans="2:6">
      <c r="B106" s="32"/>
      <c r="C106" s="148" t="s">
        <v>204</v>
      </c>
      <c r="D106" s="165">
        <f ca="1">IF($D$6="","Choose $ or ¢",IFERROR(IF($D$6="Cents",100,1)*WorkingCapital/PlantLife/ActualProduction,0))</f>
        <v>0.63581608143391077</v>
      </c>
      <c r="E106" s="166">
        <f ca="1">IF($D$9="","Enter time interval",IFERROR(IF($D$9="Annual",1,IF($D$9="Monthly",1/12,IF($D$9="Weekly",1/52,IF($D$9="Daily",1/365,0))))*WorkingCapital/PlantLife,0))</f>
        <v>6358.1608143391077</v>
      </c>
      <c r="F106" s="34"/>
    </row>
    <row r="107" spans="2:6">
      <c r="B107" s="32"/>
      <c r="C107" s="20" t="s">
        <v>1797</v>
      </c>
      <c r="D107" s="167">
        <f ca="1">SUM(D105:D106)</f>
        <v>4.0268351824147688</v>
      </c>
      <c r="E107" s="168">
        <f ca="1">SUM(E105:E106)</f>
        <v>40268.351824147685</v>
      </c>
      <c r="F107" s="34"/>
    </row>
    <row r="108" spans="2:6">
      <c r="B108" s="32"/>
      <c r="C108" s="33"/>
      <c r="D108" s="35"/>
      <c r="E108" s="35"/>
      <c r="F108" s="34"/>
    </row>
    <row r="109" spans="2:6">
      <c r="B109" s="32"/>
      <c r="C109" s="17" t="s">
        <v>1795</v>
      </c>
      <c r="D109" s="35"/>
      <c r="E109" s="35"/>
      <c r="F109" s="34"/>
    </row>
    <row r="110" spans="2:6">
      <c r="B110" s="32"/>
      <c r="C110" s="18" t="s">
        <v>392</v>
      </c>
      <c r="D110" s="163"/>
      <c r="E110" s="164"/>
      <c r="F110" s="34"/>
    </row>
    <row r="111" spans="2:6">
      <c r="B111" s="32"/>
      <c r="C111" s="123" t="s">
        <v>393</v>
      </c>
      <c r="D111" s="163">
        <f>IFERROR(IF($D$6="","Choose $ or ¢",IF($D$6="Cents",100,1)*MaterialsUnitCost),0)</f>
        <v>730.71759744270571</v>
      </c>
      <c r="E111" s="164">
        <f>IFERROR(IF($D$9="","Enter time interval",IF($D$9="Annual",1,IF($D$9="Monthly",1/12,IF($D$9="Weekly",1/52,IF($D$9="Daily",1/365,0))))*MaterialsAnnualCost),0)</f>
        <v>7307175.9744270574</v>
      </c>
      <c r="F111" s="34"/>
    </row>
    <row r="112" spans="2:6">
      <c r="B112" s="32"/>
      <c r="C112" s="123" t="s">
        <v>394</v>
      </c>
      <c r="D112" s="163">
        <f ca="1">IFERROR(IF($D$6="","Choose $ or ¢",IF($D$6="Cents",100,1)*UtilitiesUnitCost),0)</f>
        <v>2.9103050986842103E-2</v>
      </c>
      <c r="E112" s="164">
        <f ca="1">IFERROR(IF($D$9="","Enter time interval",IF($D$9="Annual",1,IF($D$9="Monthly",1/12,IF($D$9="Weekly",1/52,IF($D$9="Daily",1/365,0))))*UtilitiesAnnualCost),0)</f>
        <v>291.03050986842101</v>
      </c>
      <c r="F112" s="34"/>
    </row>
    <row r="113" spans="2:6">
      <c r="B113" s="32"/>
      <c r="C113" s="123" t="s">
        <v>395</v>
      </c>
      <c r="D113" s="163">
        <f ca="1">IFERROR(IF($D$6="","Choose $ or ¢",IF($D$6="Cents",100,1)*LSM/ActualProduction),0)</f>
        <v>57.87367598306399</v>
      </c>
      <c r="E113" s="164">
        <f ca="1">IFERROR(IF($D$9="","Enter time interval",IF($D$9="Annual",1,IF($D$9="Monthly",1/12,IF($D$9="Weekly",1/52,IF($D$9="Daily",1/365,0))))*LSM),0)</f>
        <v>578736.75983063993</v>
      </c>
      <c r="F113" s="34"/>
    </row>
    <row r="114" spans="2:6">
      <c r="B114" s="32"/>
      <c r="C114" s="18" t="s">
        <v>396</v>
      </c>
      <c r="D114" s="163"/>
      <c r="E114" s="164"/>
      <c r="F114" s="34"/>
    </row>
    <row r="115" spans="2:6">
      <c r="B115" s="32"/>
      <c r="C115" s="123" t="s">
        <v>397</v>
      </c>
      <c r="D115" s="163">
        <f ca="1">IFERROR(IF($D$6="","Choose $ or ¢",IF($D$6="Cents",100,1)*TIRO/ActualProduction),0)</f>
        <v>35.894107179676794</v>
      </c>
      <c r="E115" s="164">
        <f ca="1">IFERROR(IF($D$9="","Enter time interval",IF($D$9="Annual",1,IF($D$9="Monthly",1/12,IF($D$9="Weekly",1/52,IF($D$9="Daily",1/365,0))))*TIRO),0)</f>
        <v>358941.07179676794</v>
      </c>
      <c r="F115" s="34"/>
    </row>
    <row r="116" spans="2:6">
      <c r="B116" s="32"/>
      <c r="C116" s="18" t="s">
        <v>398</v>
      </c>
      <c r="D116" s="163"/>
      <c r="E116" s="164"/>
      <c r="F116" s="34"/>
    </row>
    <row r="117" spans="2:6">
      <c r="B117" s="32"/>
      <c r="C117" s="148" t="s">
        <v>399</v>
      </c>
      <c r="D117" s="165">
        <f ca="1">IFERROR(IF($D$6="","Choose $ or ¢",IF($D$6="Cents",100,1)*GeneralExp/ActualProduction),0)</f>
        <v>-819.65617970013705</v>
      </c>
      <c r="E117" s="166">
        <f ca="1">IFERROR(IF($D$9="","Enter time interval",IF($D$9="Annual",1,IF($D$9="Monthly",1/12,IF($D$9="Weekly",1/52,IF($D$9="Daily",1/365,0))))*GeneralExp),0)</f>
        <v>-8196561.7970013702</v>
      </c>
      <c r="F117" s="34"/>
    </row>
    <row r="118" spans="2:6">
      <c r="B118" s="32"/>
      <c r="C118" s="158" t="s">
        <v>1798</v>
      </c>
      <c r="D118" s="171">
        <f ca="1">SUM(D111:D117)</f>
        <v>4.858303956296254</v>
      </c>
      <c r="E118" s="172">
        <f ca="1">SUM(E111:E117)</f>
        <v>48583.039562963881</v>
      </c>
      <c r="F118" s="34"/>
    </row>
    <row r="119" spans="2:6">
      <c r="B119" s="32"/>
      <c r="C119" s="20"/>
      <c r="D119" s="372"/>
      <c r="E119" s="168"/>
      <c r="F119" s="34"/>
    </row>
    <row r="120" spans="2:6">
      <c r="B120" s="32"/>
      <c r="C120" s="17" t="s">
        <v>1796</v>
      </c>
      <c r="D120" s="372"/>
      <c r="E120" s="168"/>
      <c r="F120" s="34"/>
    </row>
    <row r="121" spans="2:6">
      <c r="B121" s="32"/>
      <c r="C121" s="33" t="s">
        <v>405</v>
      </c>
      <c r="D121" s="35"/>
      <c r="E121" s="35"/>
      <c r="F121" s="34"/>
    </row>
    <row r="122" spans="2:6">
      <c r="B122" s="32"/>
      <c r="C122" s="33" t="str">
        <f>"     ("&amp;IFERROR(IF('1 Inputs'!$K$51&lt;&gt;"% of costs",ROI&amp;"%/yr of total capital invested)","disabled)"),"")</f>
        <v xml:space="preserve">     (25%/yr of total capital invested)</v>
      </c>
      <c r="D122" s="169">
        <f ca="1">IFERROR(IF($D$6="","Choose $ or ¢",IF($D$6="Cents",100,1)*TCI*IF('1 Inputs'!$K$51&lt;&gt;"% of costs",ROI,0)/100/ActualProduction),0)</f>
        <v>10.067087956036922</v>
      </c>
      <c r="E122" s="170">
        <f ca="1">IFERROR(IF($D$9="","Enter time interval",IF($D$9="Annual",1,IF($D$9="Monthly",1/12,IF($D$9="Weekly",1/52,IF($D$9="Daily",1/365,0))))*TCI*IF('1 Inputs'!$K$51&lt;&gt;"% of costs",ROI,0)/100),0)</f>
        <v>100670.87956036921</v>
      </c>
      <c r="F122" s="34"/>
    </row>
    <row r="123" spans="2:6">
      <c r="B123" s="32"/>
      <c r="C123" s="371" t="str">
        <f>"Flat Margin ("&amp;IFERROR(IF('1 Inputs'!$K$51&lt;&gt;"ROI",FlatMargin&amp;"% of costs excl. PGM)","disabled)"),"")</f>
        <v>Flat Margin (disabled)</v>
      </c>
      <c r="D123" s="374">
        <f ca="1">IFERROR(IF($D$6="","Choose $ or ¢",(D107+D118-IFERROR(IF(VLOOKUP('4 Spent Catalyst'!$D$6,Spent2[],6,FALSE)="Yes",'4 Spent Catalyst'!$D$16*'4 Spent Catalyst'!$D$32,0),0))*IF('1 Inputs'!$K$51&lt;&gt;"ROI",FlatMargin,0)/100),0)</f>
        <v>0</v>
      </c>
      <c r="E123" s="375">
        <f ca="1">IFERROR(IF($D$9="","Enter time interval",(E107+E118-IFERROR(IF(VLOOKUP('4 Spent Catalyst'!$D$6,Spent2[],6,FALSE)="Yes",'4 Spent Catalyst'!$D$16*'4 Spent Catalyst'!$D$32,0),0))*IF('1 Inputs'!$K$51&lt;&gt;"ROI",FlatMargin,0)/100),0)</f>
        <v>0</v>
      </c>
      <c r="F123" s="34"/>
    </row>
    <row r="124" spans="2:6">
      <c r="B124" s="32"/>
      <c r="C124" s="20" t="s">
        <v>1799</v>
      </c>
      <c r="D124" s="171">
        <f ca="1">SUM(D122:D123)</f>
        <v>10.067087956036922</v>
      </c>
      <c r="E124" s="172">
        <f ca="1">SUM(E122:E123)</f>
        <v>100670.87956036921</v>
      </c>
      <c r="F124" s="34"/>
    </row>
    <row r="125" spans="2:6">
      <c r="B125" s="32"/>
      <c r="C125" s="33"/>
      <c r="D125" s="35"/>
      <c r="E125" s="35"/>
      <c r="F125" s="34"/>
    </row>
    <row r="126" spans="2:6" ht="16.5" thickBot="1">
      <c r="B126" s="155"/>
      <c r="C126" s="157" t="s">
        <v>409</v>
      </c>
      <c r="D126" s="159">
        <f ca="1">IFERROR(D102+D107+D118+D124,0)</f>
        <v>22.910169603354092</v>
      </c>
      <c r="E126" s="160">
        <f ca="1">IFERROR(E102+E107+E118+E124,0)</f>
        <v>229101.69603354222</v>
      </c>
      <c r="F126" s="34"/>
    </row>
    <row r="127" spans="2:6" ht="16.5" thickTop="1">
      <c r="B127" s="155"/>
      <c r="C127" s="20"/>
      <c r="D127" s="156"/>
      <c r="E127" s="139"/>
      <c r="F127" s="34"/>
    </row>
    <row r="128" spans="2:6">
      <c r="B128" s="155"/>
      <c r="C128" s="20" t="s">
        <v>970</v>
      </c>
      <c r="D128" s="216">
        <f>IFERROR(IF($D$6="","Choose $ or ¢",IFERROR(IF($D$6="Cents",100,1)*SpentValue,0)),0)</f>
        <v>5667.6398299406692</v>
      </c>
      <c r="E128" s="217">
        <f>IFERROR(IF($D$9="","Enter time interval",IF($D$9="Annual",1,IF($D$9="Monthly",1/12,IF($D$9="Weekly",1/52,IF($D$9="Daily",1/365,0))))*SpentValue*ActualProduction),0)</f>
        <v>56676398.299406692</v>
      </c>
      <c r="F128" s="34"/>
    </row>
    <row r="129" spans="2:6" ht="16.5" thickBot="1">
      <c r="B129" s="155"/>
      <c r="C129" s="157" t="s">
        <v>971</v>
      </c>
      <c r="D129" s="159">
        <f ca="1">IFERROR(D126-D128,0)</f>
        <v>-5644.7296603373152</v>
      </c>
      <c r="E129" s="160">
        <f ca="1">IFERROR(E126-E128,0)</f>
        <v>-56447296.603373148</v>
      </c>
      <c r="F129" s="34"/>
    </row>
    <row r="130" spans="2:6" ht="17.25" thickTop="1" thickBot="1">
      <c r="B130" s="39"/>
      <c r="C130" s="40"/>
      <c r="D130" s="40"/>
      <c r="E130" s="40"/>
      <c r="F130" s="41"/>
    </row>
  </sheetData>
  <mergeCells count="8">
    <mergeCell ref="C84:E84"/>
    <mergeCell ref="B3:D3"/>
    <mergeCell ref="C40:E40"/>
    <mergeCell ref="C12:E12"/>
    <mergeCell ref="C83:E83"/>
    <mergeCell ref="C77:E80"/>
    <mergeCell ref="C41:E41"/>
    <mergeCell ref="C13:E13"/>
  </mergeCells>
  <conditionalFormatting sqref="D6 D9">
    <cfRule type="containsBlanks" dxfId="113" priority="3">
      <formula>LEN(TRIM(D6))=0</formula>
    </cfRule>
  </conditionalFormatting>
  <dataValidations count="2">
    <dataValidation type="list" allowBlank="1" showInputMessage="1" showErrorMessage="1" sqref="D6" xr:uid="{00000000-0002-0000-0B00-000000000000}">
      <formula1>"Cents,Dollars"</formula1>
    </dataValidation>
    <dataValidation type="list" allowBlank="1" showInputMessage="1" showErrorMessage="1" sqref="D9" xr:uid="{00000000-0002-0000-0B00-000001000000}">
      <formula1>"Annual,Monthly,Weekly,Daily"</formula1>
    </dataValidation>
  </dataValidations>
  <pageMargins left="0.75" right="0.75" top="1" bottom="1" header="0.5" footer="0.5"/>
  <pageSetup orientation="portrait" horizontalDpi="4294967292" verticalDpi="4294967292"/>
  <ignoredErrors>
    <ignoredError sqref="A1:XFD4 A18:XFD18 A38:XFD39 D44:E45 A7:XFD8 A6:C6 E6:XFD6 A33:XFD33 A29:C29 A23:B23 A21:D22 F23 A27:B28 A30:B32 F29:XFD32 D27:XFD27 A35:XFD35 A34:C34 F34:XFD34 A46:G47 A37:C37 A36:D36 F36:XFD37 A50:C51 A72:G72 A52:G55 C13 A49:B49 D49:G49 F28:G28 I28:XFD28 A10:XFD11 D16 A40:B40 F40:XFD40 A59:G59 A56:C58 F56:G58 A61:G61 A60:C60 F60:G60 A63:G63 A62:C62 F62:G62 A75:G75 A73:C74 F73:G74 A131:XFD1048576 A91:A93 G91:G93 G82:G83 A82:A83 D90:E92 D102 D95 A48:D48 F48:G48 A5:G5 I5:XFD5 A12:B12 D12:XFD12 F50:G51 A70:G70 I74:XFD75 I91:XFD93 I82:XFD83 I46:XFD63 A71:C71 F71:G71 A20:F20 F21 F22 I20:XFD23 J70:XFD73 D88 A19:D19 F19:XFD19" emptyCellReferenc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EX621"/>
  <sheetViews>
    <sheetView tabSelected="1" zoomScaleNormal="100" workbookViewId="0">
      <pane xSplit="1" topLeftCell="B1" activePane="topRight" state="frozenSplit"/>
      <selection pane="topRight"/>
    </sheetView>
  </sheetViews>
  <sheetFormatPr defaultColWidth="11" defaultRowHeight="15.75" outlineLevelCol="1"/>
  <cols>
    <col min="1" max="1" width="72.625" customWidth="1"/>
    <col min="2" max="2" width="15.5" bestFit="1" customWidth="1"/>
    <col min="3" max="3" width="14.875" bestFit="1" customWidth="1"/>
    <col min="4" max="4" width="16" customWidth="1"/>
    <col min="5" max="5" width="18.875" customWidth="1"/>
    <col min="6" max="6" width="18.375" customWidth="1"/>
    <col min="7" max="10" width="15.875" hidden="1" customWidth="1" outlineLevel="1"/>
    <col min="11" max="11" width="11.5" hidden="1" customWidth="1" outlineLevel="1"/>
    <col min="12" max="15" width="12.625" hidden="1" customWidth="1" outlineLevel="1"/>
    <col min="16" max="16" width="20.375" customWidth="1" collapsed="1"/>
    <col min="17" max="17" width="20.875" customWidth="1"/>
    <col min="18" max="18" width="17.875" customWidth="1"/>
    <col min="19" max="19" width="13.125" customWidth="1"/>
    <col min="20" max="20" width="15" customWidth="1"/>
    <col min="21" max="21" width="19.375" customWidth="1"/>
    <col min="22" max="22" width="43.125" customWidth="1"/>
    <col min="23" max="23" width="17.625" hidden="1" customWidth="1" outlineLevel="1"/>
    <col min="24" max="27" width="20.625" hidden="1" customWidth="1" outlineLevel="1"/>
    <col min="28" max="31" width="13.625" hidden="1" customWidth="1" outlineLevel="1"/>
    <col min="32" max="32" width="18.5" hidden="1" customWidth="1" outlineLevel="1"/>
    <col min="33" max="33" width="21.5" hidden="1" customWidth="1" outlineLevel="1"/>
    <col min="34" max="34" width="11.5" hidden="1" customWidth="1" outlineLevel="1"/>
    <col min="35" max="35" width="40.125" hidden="1" customWidth="1" outlineLevel="1"/>
    <col min="36" max="36" width="39" hidden="1" customWidth="1" outlineLevel="1"/>
    <col min="37" max="37" width="25.125" hidden="1" customWidth="1" outlineLevel="1"/>
    <col min="38" max="38" width="13.625" bestFit="1" customWidth="1" collapsed="1"/>
    <col min="39" max="39" width="23.5" bestFit="1" customWidth="1"/>
    <col min="42" max="42" width="32.625" customWidth="1"/>
    <col min="43" max="43" width="23.375" customWidth="1"/>
    <col min="44" max="44" width="11.875" customWidth="1"/>
    <col min="45" max="45" width="21.875" customWidth="1"/>
    <col min="46" max="46" width="27.5" customWidth="1"/>
    <col min="47" max="55" width="11" customWidth="1"/>
    <col min="56" max="145" width="12" customWidth="1"/>
    <col min="146" max="1045" width="13" customWidth="1"/>
    <col min="1046" max="10045" width="14" customWidth="1"/>
    <col min="10046" max="16384" width="15" customWidth="1"/>
  </cols>
  <sheetData>
    <row r="1" spans="1:16378" s="10" customFormat="1">
      <c r="P1" s="10" t="s">
        <v>166</v>
      </c>
      <c r="AL1" s="10" t="s">
        <v>165</v>
      </c>
    </row>
    <row r="2" spans="1:16378" s="10" customFormat="1">
      <c r="A2" s="265" t="s">
        <v>28</v>
      </c>
    </row>
    <row r="3" spans="1:16378" s="10" customFormat="1">
      <c r="A3" s="266" t="s">
        <v>29</v>
      </c>
      <c r="B3" s="45">
        <v>24789.598000000002</v>
      </c>
      <c r="C3" s="47" t="s">
        <v>31</v>
      </c>
    </row>
    <row r="4" spans="1:16378" s="10" customFormat="1">
      <c r="A4" s="10" t="s">
        <v>30</v>
      </c>
    </row>
    <row r="5" spans="1:16378" s="10" customFormat="1"/>
    <row r="6" spans="1:16378" s="10" customFormat="1">
      <c r="A6" s="266" t="s">
        <v>32</v>
      </c>
      <c r="B6" s="45">
        <v>8314.4599999999991</v>
      </c>
      <c r="C6" s="47" t="s">
        <v>954</v>
      </c>
    </row>
    <row r="7" spans="1:16378" s="10" customFormat="1"/>
    <row r="8" spans="1:16378" s="10" customFormat="1">
      <c r="A8" s="266" t="s">
        <v>29</v>
      </c>
      <c r="B8" s="45">
        <f>B6*294.3/101.35</f>
        <v>24143.518283177109</v>
      </c>
      <c r="C8" s="47" t="s">
        <v>31</v>
      </c>
    </row>
    <row r="9" spans="1:16378" s="10" customFormat="1">
      <c r="A9" s="267" t="s">
        <v>168</v>
      </c>
    </row>
    <row r="10" spans="1:16378" s="10" customFormat="1"/>
    <row r="11" spans="1:16378" s="10" customFormat="1">
      <c r="A11" s="265" t="s">
        <v>1110</v>
      </c>
      <c r="D11" s="270" t="s">
        <v>19</v>
      </c>
    </row>
    <row r="12" spans="1:16378" s="10" customFormat="1">
      <c r="A12" s="266" t="s">
        <v>4</v>
      </c>
      <c r="B12" s="45">
        <v>5000</v>
      </c>
      <c r="C12" s="268" t="s">
        <v>20</v>
      </c>
      <c r="D12" s="269">
        <f>B12*VLOOKUP(C12,UnitConv[],5,FALSE)/VLOOKUP(OutMassUnit,UnitConv[],5,FALSE)</f>
        <v>2267.9618500000001</v>
      </c>
      <c r="E12" s="270" t="str">
        <f>OutMassUnit</f>
        <v>kg</v>
      </c>
    </row>
    <row r="13" spans="1:16378" s="10" customFormat="1">
      <c r="A13" s="266" t="s">
        <v>3</v>
      </c>
      <c r="B13" s="45">
        <v>2000</v>
      </c>
      <c r="C13" s="268" t="s">
        <v>20</v>
      </c>
      <c r="D13" s="269">
        <f>B13*VLOOKUP(C13,UnitConv[],5,FALSE)/VLOOKUP(OutMassUnit,UnitConv[],5,FALSE)</f>
        <v>907.18474000000003</v>
      </c>
      <c r="E13" s="270" t="str">
        <f>OutMassUnit</f>
        <v>kg</v>
      </c>
    </row>
    <row r="14" spans="1:16378" s="10" customFormat="1">
      <c r="F14" s="10" t="s">
        <v>167</v>
      </c>
      <c r="P14" s="10" t="s">
        <v>166</v>
      </c>
    </row>
    <row r="15" spans="1:16378" s="258" customFormat="1">
      <c r="A15" s="254" t="s">
        <v>17</v>
      </c>
      <c r="B15" s="255" t="s">
        <v>123</v>
      </c>
      <c r="C15" s="255" t="s">
        <v>124</v>
      </c>
      <c r="D15" s="255" t="s">
        <v>125</v>
      </c>
      <c r="E15" s="255" t="s">
        <v>126</v>
      </c>
      <c r="F15" s="255" t="s">
        <v>127</v>
      </c>
      <c r="G15" s="255" t="s">
        <v>128</v>
      </c>
      <c r="H15" s="255" t="s">
        <v>129</v>
      </c>
      <c r="I15" s="255" t="s">
        <v>130</v>
      </c>
      <c r="J15" s="255" t="s">
        <v>131</v>
      </c>
      <c r="K15" s="255" t="s">
        <v>132</v>
      </c>
      <c r="L15" s="255" t="s">
        <v>133</v>
      </c>
      <c r="M15" s="255" t="s">
        <v>134</v>
      </c>
      <c r="N15" s="255" t="s">
        <v>135</v>
      </c>
      <c r="O15" s="255" t="s">
        <v>136</v>
      </c>
      <c r="P15" s="255" t="s">
        <v>149</v>
      </c>
      <c r="Q15" s="255" t="s">
        <v>150</v>
      </c>
      <c r="R15" s="255" t="s">
        <v>151</v>
      </c>
      <c r="S15" s="255" t="s">
        <v>152</v>
      </c>
      <c r="T15" s="255" t="s">
        <v>153</v>
      </c>
      <c r="U15" s="255" t="s">
        <v>154</v>
      </c>
      <c r="V15" s="254" t="s">
        <v>158</v>
      </c>
      <c r="W15" s="255" t="s">
        <v>137</v>
      </c>
      <c r="X15" s="255" t="s">
        <v>138</v>
      </c>
      <c r="Y15" s="255" t="s">
        <v>139</v>
      </c>
      <c r="Z15" s="255" t="s">
        <v>140</v>
      </c>
      <c r="AA15" s="255" t="s">
        <v>141</v>
      </c>
      <c r="AB15" s="255" t="s">
        <v>142</v>
      </c>
      <c r="AC15" s="255" t="s">
        <v>143</v>
      </c>
      <c r="AD15" s="255" t="s">
        <v>144</v>
      </c>
      <c r="AE15" s="255" t="s">
        <v>145</v>
      </c>
      <c r="AF15" s="255" t="s">
        <v>146</v>
      </c>
      <c r="AG15" s="255" t="s">
        <v>147</v>
      </c>
      <c r="AH15" s="255" t="s">
        <v>148</v>
      </c>
      <c r="AI15" s="255" t="s">
        <v>164</v>
      </c>
      <c r="AJ15" s="255" t="s">
        <v>1843</v>
      </c>
      <c r="AK15" s="255" t="s">
        <v>155</v>
      </c>
      <c r="AL15" s="255" t="s">
        <v>156</v>
      </c>
      <c r="AM15" s="256" t="s">
        <v>157</v>
      </c>
      <c r="AN15" s="257"/>
      <c r="AO15" s="257"/>
      <c r="AP15" s="257"/>
      <c r="AQ15" s="257"/>
      <c r="AR15" s="257"/>
      <c r="AS15" s="257"/>
      <c r="AT15" s="257"/>
      <c r="AU15" s="257"/>
      <c r="AV15" s="257"/>
      <c r="AW15" s="257"/>
      <c r="AX15" s="257"/>
      <c r="AY15" s="257"/>
      <c r="AZ15" s="257"/>
      <c r="BA15" s="257"/>
      <c r="BB15" s="257"/>
      <c r="BC15" s="257"/>
      <c r="BD15" s="257"/>
      <c r="BE15" s="257"/>
      <c r="BF15" s="257"/>
      <c r="BG15" s="257"/>
      <c r="BH15" s="257"/>
      <c r="BI15" s="257"/>
      <c r="BJ15" s="257"/>
      <c r="BK15" s="257"/>
      <c r="BL15" s="257"/>
      <c r="BM15" s="257"/>
      <c r="BN15" s="257"/>
      <c r="BO15" s="257"/>
      <c r="BP15" s="257"/>
      <c r="BQ15" s="257"/>
      <c r="BR15" s="257"/>
      <c r="BS15" s="257"/>
      <c r="BT15" s="257"/>
      <c r="BU15" s="257"/>
      <c r="BV15" s="257"/>
      <c r="BW15" s="257"/>
      <c r="BX15" s="257"/>
      <c r="BY15" s="257"/>
      <c r="BZ15" s="257"/>
      <c r="CA15" s="257"/>
      <c r="CB15" s="257"/>
      <c r="CC15" s="257"/>
      <c r="CD15" s="257"/>
      <c r="CE15" s="257"/>
      <c r="CF15" s="257"/>
      <c r="CG15" s="257"/>
      <c r="CH15" s="257"/>
      <c r="CI15" s="257"/>
      <c r="CJ15" s="257"/>
      <c r="CK15" s="257"/>
      <c r="CL15" s="257"/>
      <c r="CM15" s="257"/>
      <c r="CN15" s="257"/>
      <c r="CO15" s="257"/>
      <c r="CP15" s="257"/>
      <c r="CQ15" s="257"/>
      <c r="CR15" s="257"/>
      <c r="CS15" s="257"/>
      <c r="CT15" s="257"/>
      <c r="CU15" s="257"/>
      <c r="CV15" s="257"/>
      <c r="CW15" s="257"/>
      <c r="CX15" s="257"/>
      <c r="CY15" s="257"/>
      <c r="CZ15" s="257"/>
      <c r="DA15" s="257"/>
      <c r="DB15" s="257"/>
      <c r="DC15" s="257"/>
      <c r="DD15" s="257"/>
      <c r="DE15" s="257"/>
      <c r="DF15" s="257"/>
      <c r="DG15" s="257"/>
      <c r="DH15" s="257"/>
      <c r="DI15" s="257"/>
      <c r="DJ15" s="257"/>
      <c r="DK15" s="257"/>
      <c r="DL15" s="257"/>
      <c r="DM15" s="257"/>
      <c r="DN15" s="257"/>
      <c r="DO15" s="257"/>
      <c r="DP15" s="257"/>
      <c r="DQ15" s="257"/>
      <c r="DR15" s="257"/>
      <c r="DS15" s="257"/>
      <c r="DT15" s="257"/>
      <c r="DU15" s="257"/>
      <c r="DV15" s="257"/>
      <c r="DW15" s="257"/>
      <c r="DX15" s="257"/>
      <c r="DY15" s="257"/>
      <c r="DZ15" s="257"/>
      <c r="EA15" s="257"/>
      <c r="EB15" s="257"/>
      <c r="EC15" s="257"/>
      <c r="ED15" s="257"/>
      <c r="EE15" s="257"/>
      <c r="EF15" s="257"/>
      <c r="EG15" s="257"/>
      <c r="EH15" s="257"/>
      <c r="EI15" s="257"/>
      <c r="EJ15" s="257"/>
      <c r="EK15" s="257"/>
      <c r="EL15" s="257"/>
      <c r="EM15" s="257"/>
      <c r="EN15" s="257"/>
      <c r="EO15" s="257"/>
      <c r="EP15" s="257"/>
      <c r="EQ15" s="257"/>
      <c r="ER15" s="257"/>
      <c r="ES15" s="257"/>
      <c r="ET15" s="257"/>
      <c r="EU15" s="257"/>
      <c r="EV15" s="257"/>
      <c r="EW15" s="257"/>
      <c r="EX15" s="257"/>
      <c r="EY15" s="257"/>
      <c r="EZ15" s="257"/>
      <c r="FA15" s="257"/>
      <c r="FB15" s="257"/>
      <c r="FC15" s="257"/>
      <c r="FD15" s="257"/>
      <c r="FE15" s="257"/>
      <c r="FF15" s="257"/>
      <c r="FG15" s="257"/>
      <c r="FH15" s="257"/>
      <c r="FI15" s="257"/>
      <c r="FJ15" s="257"/>
      <c r="FK15" s="257"/>
      <c r="FL15" s="257"/>
      <c r="FM15" s="257"/>
      <c r="FN15" s="257"/>
      <c r="FO15" s="257"/>
      <c r="FP15" s="257"/>
      <c r="FQ15" s="257"/>
      <c r="FR15" s="257"/>
      <c r="FS15" s="257"/>
      <c r="FT15" s="257"/>
      <c r="FU15" s="257"/>
      <c r="FV15" s="257"/>
      <c r="FW15" s="257"/>
      <c r="FX15" s="257"/>
      <c r="FY15" s="257"/>
      <c r="FZ15" s="257"/>
      <c r="GA15" s="257"/>
      <c r="GB15" s="257"/>
      <c r="GC15" s="257"/>
      <c r="GD15" s="257"/>
      <c r="GE15" s="257"/>
      <c r="GF15" s="257"/>
      <c r="GG15" s="257"/>
      <c r="GH15" s="257"/>
      <c r="GI15" s="257"/>
      <c r="GJ15" s="257"/>
      <c r="GK15" s="257"/>
      <c r="GL15" s="257"/>
      <c r="GM15" s="257"/>
      <c r="GN15" s="257"/>
      <c r="GO15" s="257"/>
      <c r="GP15" s="257"/>
      <c r="GQ15" s="257"/>
      <c r="GR15" s="257"/>
      <c r="GS15" s="257"/>
      <c r="GT15" s="257"/>
      <c r="GU15" s="257"/>
      <c r="GV15" s="257"/>
      <c r="GW15" s="257"/>
      <c r="GX15" s="257"/>
      <c r="GY15" s="257"/>
      <c r="GZ15" s="257"/>
      <c r="HA15" s="257"/>
      <c r="HB15" s="257"/>
      <c r="HC15" s="257"/>
      <c r="HD15" s="257"/>
      <c r="HE15" s="257"/>
      <c r="HF15" s="257"/>
      <c r="HG15" s="257"/>
      <c r="HH15" s="257"/>
      <c r="HI15" s="257"/>
      <c r="HJ15" s="257"/>
      <c r="HK15" s="257"/>
      <c r="HL15" s="257"/>
      <c r="HM15" s="257"/>
      <c r="HN15" s="257"/>
      <c r="HO15" s="257"/>
      <c r="HP15" s="257"/>
      <c r="HQ15" s="257"/>
      <c r="HR15" s="257"/>
      <c r="HS15" s="257"/>
      <c r="HT15" s="257"/>
      <c r="HU15" s="257"/>
      <c r="HV15" s="257"/>
      <c r="HW15" s="257"/>
      <c r="HX15" s="257"/>
      <c r="HY15" s="257"/>
      <c r="HZ15" s="257"/>
      <c r="IA15" s="257"/>
      <c r="IB15" s="257"/>
      <c r="IC15" s="257"/>
      <c r="ID15" s="257"/>
      <c r="IE15" s="257"/>
      <c r="IF15" s="257"/>
      <c r="IG15" s="257"/>
      <c r="IH15" s="257"/>
      <c r="II15" s="257"/>
      <c r="IJ15" s="257"/>
      <c r="IK15" s="257"/>
      <c r="IL15" s="257"/>
      <c r="IM15" s="257"/>
      <c r="IN15" s="257"/>
      <c r="IO15" s="257"/>
      <c r="IP15" s="257"/>
      <c r="IQ15" s="257"/>
      <c r="IR15" s="257"/>
      <c r="IS15" s="257"/>
      <c r="IT15" s="257"/>
      <c r="IU15" s="257"/>
      <c r="IV15" s="257"/>
      <c r="IW15" s="257"/>
      <c r="IX15" s="257"/>
      <c r="IY15" s="257"/>
      <c r="IZ15" s="257"/>
      <c r="JA15" s="257"/>
      <c r="JB15" s="257"/>
      <c r="JC15" s="257"/>
      <c r="JD15" s="257"/>
      <c r="JE15" s="257"/>
      <c r="JF15" s="257"/>
      <c r="JG15" s="257"/>
      <c r="JH15" s="257"/>
      <c r="JI15" s="257"/>
      <c r="JJ15" s="257"/>
      <c r="JK15" s="257"/>
      <c r="JL15" s="257"/>
      <c r="JM15" s="257"/>
      <c r="JN15" s="257"/>
      <c r="JO15" s="257"/>
      <c r="JP15" s="257"/>
      <c r="JQ15" s="257"/>
      <c r="JR15" s="257"/>
      <c r="JS15" s="257"/>
      <c r="JT15" s="257"/>
      <c r="JU15" s="257"/>
      <c r="JV15" s="257"/>
      <c r="JW15" s="257"/>
      <c r="JX15" s="257"/>
      <c r="JY15" s="257"/>
      <c r="JZ15" s="257"/>
      <c r="KA15" s="257"/>
      <c r="KB15" s="257"/>
      <c r="KC15" s="257"/>
      <c r="KD15" s="257"/>
      <c r="KE15" s="257"/>
      <c r="KF15" s="257"/>
      <c r="KG15" s="257"/>
      <c r="KH15" s="257"/>
      <c r="KI15" s="257"/>
      <c r="KJ15" s="257"/>
      <c r="KK15" s="257"/>
      <c r="KL15" s="257"/>
      <c r="KM15" s="257"/>
      <c r="KN15" s="257"/>
      <c r="KO15" s="257"/>
      <c r="KP15" s="257"/>
      <c r="KQ15" s="257"/>
      <c r="KR15" s="257"/>
      <c r="KS15" s="257"/>
      <c r="KT15" s="257"/>
      <c r="KU15" s="257"/>
      <c r="KV15" s="257"/>
      <c r="KW15" s="257"/>
      <c r="KX15" s="257"/>
      <c r="KY15" s="257"/>
      <c r="KZ15" s="257"/>
      <c r="LA15" s="257"/>
      <c r="LB15" s="257"/>
      <c r="LC15" s="257"/>
      <c r="LD15" s="257"/>
      <c r="LE15" s="257"/>
      <c r="LF15" s="257"/>
      <c r="LG15" s="257"/>
      <c r="LH15" s="257"/>
      <c r="LI15" s="257"/>
      <c r="LJ15" s="257"/>
      <c r="LK15" s="257"/>
      <c r="LL15" s="257"/>
      <c r="LM15" s="257"/>
      <c r="LN15" s="257"/>
      <c r="LO15" s="257"/>
      <c r="LP15" s="257"/>
      <c r="LQ15" s="257"/>
      <c r="LR15" s="257"/>
      <c r="LS15" s="257"/>
      <c r="LT15" s="257"/>
      <c r="LU15" s="257"/>
      <c r="LV15" s="257"/>
      <c r="LW15" s="257"/>
      <c r="LX15" s="257"/>
      <c r="LY15" s="257"/>
      <c r="LZ15" s="257"/>
      <c r="MA15" s="257"/>
      <c r="MB15" s="257"/>
      <c r="MC15" s="257"/>
      <c r="MD15" s="257"/>
      <c r="ME15" s="257"/>
      <c r="MF15" s="257"/>
      <c r="MG15" s="257"/>
      <c r="MH15" s="257"/>
      <c r="MI15" s="257"/>
      <c r="MJ15" s="257"/>
      <c r="MK15" s="257"/>
      <c r="ML15" s="257"/>
      <c r="MM15" s="257"/>
      <c r="MN15" s="257"/>
      <c r="MO15" s="257"/>
      <c r="MP15" s="257"/>
      <c r="MQ15" s="257"/>
      <c r="MR15" s="257"/>
      <c r="MS15" s="257"/>
      <c r="MT15" s="257"/>
      <c r="MU15" s="257"/>
      <c r="MV15" s="257"/>
      <c r="MW15" s="257"/>
      <c r="MX15" s="257"/>
      <c r="MY15" s="257"/>
      <c r="MZ15" s="257"/>
      <c r="NA15" s="257"/>
      <c r="NB15" s="257"/>
      <c r="NC15" s="257"/>
      <c r="ND15" s="257"/>
      <c r="NE15" s="257"/>
      <c r="NF15" s="257"/>
      <c r="NG15" s="257"/>
      <c r="NH15" s="257"/>
      <c r="NI15" s="257"/>
      <c r="NJ15" s="257"/>
      <c r="NK15" s="257"/>
      <c r="NL15" s="257"/>
      <c r="NM15" s="257"/>
      <c r="NN15" s="257"/>
      <c r="NO15" s="257"/>
      <c r="NP15" s="257"/>
      <c r="NQ15" s="257"/>
      <c r="NR15" s="257"/>
      <c r="NS15" s="257"/>
      <c r="NT15" s="257"/>
      <c r="NU15" s="257"/>
      <c r="NV15" s="257"/>
      <c r="NW15" s="257"/>
      <c r="NX15" s="257"/>
      <c r="NY15" s="257"/>
      <c r="NZ15" s="257"/>
      <c r="OA15" s="257"/>
      <c r="OB15" s="257"/>
      <c r="OC15" s="257"/>
      <c r="OD15" s="257"/>
      <c r="OE15" s="257"/>
      <c r="OF15" s="257"/>
      <c r="OG15" s="257"/>
      <c r="OH15" s="257"/>
      <c r="OI15" s="257"/>
      <c r="OJ15" s="257"/>
      <c r="OK15" s="257"/>
      <c r="OL15" s="257"/>
      <c r="OM15" s="257"/>
      <c r="ON15" s="257"/>
      <c r="OO15" s="257"/>
      <c r="OP15" s="257"/>
      <c r="OQ15" s="257"/>
      <c r="OR15" s="257"/>
      <c r="OS15" s="257"/>
      <c r="OT15" s="257"/>
      <c r="OU15" s="257"/>
      <c r="OV15" s="257"/>
      <c r="OW15" s="257"/>
      <c r="OX15" s="257"/>
      <c r="OY15" s="257"/>
      <c r="OZ15" s="257"/>
      <c r="PA15" s="257"/>
      <c r="PB15" s="257"/>
      <c r="PC15" s="257"/>
      <c r="PD15" s="257"/>
      <c r="PE15" s="257"/>
      <c r="PF15" s="257"/>
      <c r="PG15" s="257"/>
      <c r="PH15" s="257"/>
      <c r="PI15" s="257"/>
      <c r="PJ15" s="257"/>
      <c r="PK15" s="257"/>
      <c r="PL15" s="257"/>
      <c r="PM15" s="257"/>
      <c r="PN15" s="257"/>
      <c r="PO15" s="257"/>
      <c r="PP15" s="257"/>
      <c r="PQ15" s="257"/>
      <c r="PR15" s="257"/>
      <c r="PS15" s="257"/>
      <c r="PT15" s="257"/>
      <c r="PU15" s="257"/>
      <c r="PV15" s="257"/>
      <c r="PW15" s="257"/>
      <c r="PX15" s="257"/>
      <c r="PY15" s="257"/>
      <c r="PZ15" s="257"/>
      <c r="QA15" s="257"/>
      <c r="QB15" s="257"/>
      <c r="QC15" s="257"/>
      <c r="QD15" s="257"/>
      <c r="QE15" s="257"/>
      <c r="QF15" s="257"/>
      <c r="QG15" s="257"/>
      <c r="QH15" s="257"/>
      <c r="QI15" s="257"/>
      <c r="QJ15" s="257"/>
      <c r="QK15" s="257"/>
      <c r="QL15" s="257"/>
      <c r="QM15" s="257"/>
      <c r="QN15" s="257"/>
      <c r="QO15" s="257"/>
      <c r="QP15" s="257"/>
      <c r="QQ15" s="257"/>
      <c r="QR15" s="257"/>
      <c r="QS15" s="257"/>
      <c r="QT15" s="257"/>
      <c r="QU15" s="257"/>
      <c r="QV15" s="257"/>
      <c r="QW15" s="257"/>
      <c r="QX15" s="257"/>
      <c r="QY15" s="257"/>
      <c r="QZ15" s="257"/>
      <c r="RA15" s="257"/>
      <c r="RB15" s="257"/>
      <c r="RC15" s="257"/>
      <c r="RD15" s="257"/>
      <c r="RE15" s="257"/>
      <c r="RF15" s="257"/>
      <c r="RG15" s="257"/>
      <c r="RH15" s="257"/>
      <c r="RI15" s="257"/>
      <c r="RJ15" s="257"/>
      <c r="RK15" s="257"/>
      <c r="RL15" s="257"/>
      <c r="RM15" s="257"/>
      <c r="RN15" s="257"/>
      <c r="RO15" s="257"/>
      <c r="RP15" s="257"/>
      <c r="RQ15" s="257"/>
      <c r="RR15" s="257"/>
      <c r="RS15" s="257"/>
      <c r="RT15" s="257"/>
      <c r="RU15" s="257"/>
      <c r="RV15" s="257"/>
      <c r="RW15" s="257"/>
      <c r="RX15" s="257"/>
      <c r="RY15" s="257"/>
      <c r="RZ15" s="257"/>
      <c r="SA15" s="257"/>
      <c r="SB15" s="257"/>
      <c r="SC15" s="257"/>
      <c r="SD15" s="257"/>
      <c r="SE15" s="257"/>
      <c r="SF15" s="257"/>
      <c r="SG15" s="257"/>
      <c r="SH15" s="257"/>
      <c r="SI15" s="257"/>
      <c r="SJ15" s="257"/>
      <c r="SK15" s="257"/>
      <c r="SL15" s="257"/>
      <c r="SM15" s="257"/>
      <c r="SN15" s="257"/>
      <c r="SO15" s="257"/>
      <c r="SP15" s="257"/>
      <c r="SQ15" s="257"/>
      <c r="SR15" s="257"/>
      <c r="SS15" s="257"/>
      <c r="ST15" s="257"/>
      <c r="SU15" s="257"/>
      <c r="SV15" s="257"/>
      <c r="SW15" s="257"/>
      <c r="SX15" s="257"/>
      <c r="SY15" s="257"/>
      <c r="SZ15" s="257"/>
      <c r="TA15" s="257"/>
      <c r="TB15" s="257"/>
      <c r="TC15" s="257"/>
      <c r="TD15" s="257"/>
      <c r="TE15" s="257"/>
      <c r="TF15" s="257"/>
      <c r="TG15" s="257"/>
      <c r="TH15" s="257"/>
      <c r="TI15" s="257"/>
      <c r="TJ15" s="257"/>
      <c r="TK15" s="257"/>
      <c r="TL15" s="257"/>
      <c r="TM15" s="257"/>
      <c r="TN15" s="257"/>
      <c r="TO15" s="257"/>
      <c r="TP15" s="257"/>
      <c r="TQ15" s="257"/>
      <c r="TR15" s="257"/>
      <c r="TS15" s="257"/>
      <c r="TT15" s="257"/>
      <c r="TU15" s="257"/>
      <c r="TV15" s="257"/>
      <c r="TW15" s="257"/>
      <c r="TX15" s="257"/>
      <c r="TY15" s="257"/>
      <c r="TZ15" s="257"/>
      <c r="UA15" s="257"/>
      <c r="UB15" s="257"/>
      <c r="UC15" s="257"/>
      <c r="UD15" s="257"/>
      <c r="UE15" s="257"/>
      <c r="UF15" s="257"/>
      <c r="UG15" s="257"/>
      <c r="UH15" s="257"/>
      <c r="UI15" s="257"/>
      <c r="UJ15" s="257"/>
      <c r="UK15" s="257"/>
      <c r="UL15" s="257"/>
      <c r="UM15" s="257"/>
      <c r="UN15" s="257"/>
      <c r="UO15" s="257"/>
      <c r="UP15" s="257"/>
      <c r="UQ15" s="257"/>
      <c r="UR15" s="257"/>
      <c r="US15" s="257"/>
      <c r="UT15" s="257"/>
      <c r="UU15" s="257"/>
      <c r="UV15" s="257"/>
      <c r="UW15" s="257"/>
      <c r="UX15" s="257"/>
      <c r="UY15" s="257"/>
      <c r="UZ15" s="257"/>
      <c r="VA15" s="257"/>
      <c r="VB15" s="257"/>
      <c r="VC15" s="257"/>
      <c r="VD15" s="257"/>
      <c r="VE15" s="257"/>
      <c r="VF15" s="257"/>
      <c r="VG15" s="257"/>
      <c r="VH15" s="257"/>
      <c r="VI15" s="257"/>
      <c r="VJ15" s="257"/>
      <c r="VK15" s="257"/>
      <c r="VL15" s="257"/>
      <c r="VM15" s="257"/>
      <c r="VN15" s="257"/>
      <c r="VO15" s="257"/>
      <c r="VP15" s="257"/>
      <c r="VQ15" s="257"/>
      <c r="VR15" s="257"/>
      <c r="VS15" s="257"/>
      <c r="VT15" s="257"/>
      <c r="VU15" s="257"/>
      <c r="VV15" s="257"/>
      <c r="VW15" s="257"/>
      <c r="VX15" s="257"/>
      <c r="VY15" s="257"/>
      <c r="VZ15" s="257"/>
      <c r="WA15" s="257"/>
      <c r="WB15" s="257"/>
      <c r="WC15" s="257"/>
      <c r="WD15" s="257"/>
      <c r="WE15" s="257"/>
      <c r="WF15" s="257"/>
      <c r="WG15" s="257"/>
      <c r="WH15" s="257"/>
      <c r="WI15" s="257"/>
      <c r="WJ15" s="257"/>
      <c r="WK15" s="257"/>
      <c r="WL15" s="257"/>
      <c r="WM15" s="257"/>
      <c r="WN15" s="257"/>
      <c r="WO15" s="257"/>
      <c r="WP15" s="257"/>
      <c r="WQ15" s="257"/>
      <c r="WR15" s="257"/>
      <c r="WS15" s="257"/>
      <c r="WT15" s="257"/>
      <c r="WU15" s="257"/>
      <c r="WV15" s="257"/>
      <c r="WW15" s="257"/>
      <c r="WX15" s="257"/>
      <c r="WY15" s="257"/>
      <c r="WZ15" s="257"/>
      <c r="XA15" s="257"/>
      <c r="XB15" s="257"/>
      <c r="XC15" s="257"/>
      <c r="XD15" s="257"/>
      <c r="XE15" s="257"/>
      <c r="XF15" s="257"/>
      <c r="XG15" s="257"/>
      <c r="XH15" s="257"/>
      <c r="XI15" s="257"/>
      <c r="XJ15" s="257"/>
      <c r="XK15" s="257"/>
      <c r="XL15" s="257"/>
      <c r="XM15" s="257"/>
      <c r="XN15" s="257"/>
      <c r="XO15" s="257"/>
      <c r="XP15" s="257"/>
      <c r="XQ15" s="257"/>
      <c r="XR15" s="257"/>
      <c r="XS15" s="257"/>
      <c r="XT15" s="257"/>
      <c r="XU15" s="257"/>
      <c r="XV15" s="257"/>
      <c r="XW15" s="257"/>
      <c r="XX15" s="257"/>
      <c r="XY15" s="257"/>
      <c r="XZ15" s="257"/>
      <c r="YA15" s="257"/>
      <c r="YB15" s="257"/>
      <c r="YC15" s="257"/>
      <c r="YD15" s="257"/>
      <c r="YE15" s="257"/>
      <c r="YF15" s="257"/>
      <c r="YG15" s="257"/>
      <c r="YH15" s="257"/>
      <c r="YI15" s="257"/>
      <c r="YJ15" s="257"/>
      <c r="YK15" s="257"/>
      <c r="YL15" s="257"/>
      <c r="YM15" s="257"/>
      <c r="YN15" s="257"/>
      <c r="YO15" s="257"/>
      <c r="YP15" s="257"/>
      <c r="YQ15" s="257"/>
      <c r="YR15" s="257"/>
      <c r="YS15" s="257"/>
      <c r="YT15" s="257"/>
      <c r="YU15" s="257"/>
      <c r="YV15" s="257"/>
      <c r="YW15" s="257"/>
      <c r="YX15" s="257"/>
      <c r="YY15" s="257"/>
      <c r="YZ15" s="257"/>
      <c r="ZA15" s="257"/>
      <c r="ZB15" s="257"/>
      <c r="ZC15" s="257"/>
      <c r="ZD15" s="257"/>
      <c r="ZE15" s="257"/>
      <c r="ZF15" s="257"/>
      <c r="ZG15" s="257"/>
      <c r="ZH15" s="257"/>
      <c r="ZI15" s="257"/>
      <c r="ZJ15" s="257"/>
      <c r="ZK15" s="257"/>
      <c r="ZL15" s="257"/>
      <c r="ZM15" s="257"/>
      <c r="ZN15" s="257"/>
      <c r="ZO15" s="257"/>
      <c r="ZP15" s="257"/>
      <c r="ZQ15" s="257"/>
      <c r="ZR15" s="257"/>
      <c r="ZS15" s="257"/>
      <c r="ZT15" s="257"/>
      <c r="ZU15" s="257"/>
      <c r="ZV15" s="257"/>
      <c r="ZW15" s="257"/>
      <c r="ZX15" s="257"/>
      <c r="ZY15" s="257"/>
      <c r="ZZ15" s="257"/>
      <c r="AAA15" s="257"/>
      <c r="AAB15" s="257"/>
      <c r="AAC15" s="257"/>
      <c r="AAD15" s="257"/>
      <c r="AAE15" s="257"/>
      <c r="AAF15" s="257"/>
      <c r="AAG15" s="257"/>
      <c r="AAH15" s="257"/>
      <c r="AAI15" s="257"/>
      <c r="AAJ15" s="257"/>
      <c r="AAK15" s="257"/>
      <c r="AAL15" s="257"/>
      <c r="AAM15" s="257"/>
      <c r="AAN15" s="257"/>
      <c r="AAO15" s="257"/>
      <c r="AAP15" s="257"/>
      <c r="AAQ15" s="257"/>
      <c r="AAR15" s="257"/>
      <c r="AAS15" s="257"/>
      <c r="AAT15" s="257"/>
      <c r="AAU15" s="257"/>
      <c r="AAV15" s="257"/>
      <c r="AAW15" s="257"/>
      <c r="AAX15" s="257"/>
      <c r="AAY15" s="257"/>
      <c r="AAZ15" s="257"/>
      <c r="ABA15" s="257"/>
      <c r="ABB15" s="257"/>
      <c r="ABC15" s="257"/>
      <c r="ABD15" s="257"/>
      <c r="ABE15" s="257"/>
      <c r="ABF15" s="257"/>
      <c r="ABG15" s="257"/>
      <c r="ABH15" s="257"/>
      <c r="ABI15" s="257"/>
      <c r="ABJ15" s="257"/>
      <c r="ABK15" s="257"/>
      <c r="ABL15" s="257"/>
      <c r="ABM15" s="257"/>
      <c r="ABN15" s="257"/>
      <c r="ABO15" s="257"/>
      <c r="ABP15" s="257"/>
      <c r="ABQ15" s="257"/>
      <c r="ABR15" s="257"/>
      <c r="ABS15" s="257"/>
      <c r="ABT15" s="257"/>
      <c r="ABU15" s="257"/>
      <c r="ABV15" s="257"/>
      <c r="ABW15" s="257"/>
      <c r="ABX15" s="257"/>
      <c r="ABY15" s="257"/>
      <c r="ABZ15" s="257"/>
      <c r="ACA15" s="257"/>
      <c r="ACB15" s="257"/>
      <c r="ACC15" s="257"/>
      <c r="ACD15" s="257"/>
      <c r="ACE15" s="257"/>
      <c r="ACF15" s="257"/>
      <c r="ACG15" s="257"/>
      <c r="ACH15" s="257"/>
      <c r="ACI15" s="257"/>
      <c r="ACJ15" s="257"/>
      <c r="ACK15" s="257"/>
      <c r="ACL15" s="257"/>
      <c r="ACM15" s="257"/>
      <c r="ACN15" s="257"/>
      <c r="ACO15" s="257"/>
      <c r="ACP15" s="257"/>
      <c r="ACQ15" s="257"/>
      <c r="ACR15" s="257"/>
      <c r="ACS15" s="257"/>
      <c r="ACT15" s="257"/>
      <c r="ACU15" s="257"/>
      <c r="ACV15" s="257"/>
      <c r="ACW15" s="257"/>
      <c r="ACX15" s="257"/>
      <c r="ACY15" s="257"/>
      <c r="ACZ15" s="257"/>
      <c r="ADA15" s="257"/>
      <c r="ADB15" s="257"/>
      <c r="ADC15" s="257"/>
      <c r="ADD15" s="257"/>
      <c r="ADE15" s="257"/>
      <c r="ADF15" s="257"/>
      <c r="ADG15" s="257"/>
      <c r="ADH15" s="257"/>
      <c r="ADI15" s="257"/>
      <c r="ADJ15" s="257"/>
      <c r="ADK15" s="257"/>
      <c r="ADL15" s="257"/>
      <c r="ADM15" s="257"/>
      <c r="ADN15" s="257"/>
      <c r="ADO15" s="257"/>
      <c r="ADP15" s="257"/>
      <c r="ADQ15" s="257"/>
      <c r="ADR15" s="257"/>
      <c r="ADS15" s="257"/>
      <c r="ADT15" s="257"/>
      <c r="ADU15" s="257"/>
      <c r="ADV15" s="257"/>
      <c r="ADW15" s="257"/>
      <c r="ADX15" s="257"/>
      <c r="ADY15" s="257"/>
      <c r="ADZ15" s="257"/>
      <c r="AEA15" s="257"/>
      <c r="AEB15" s="257"/>
      <c r="AEC15" s="257"/>
      <c r="AED15" s="257"/>
      <c r="AEE15" s="257"/>
      <c r="AEF15" s="257"/>
      <c r="AEG15" s="257"/>
      <c r="AEH15" s="257"/>
      <c r="AEI15" s="257"/>
      <c r="AEJ15" s="257"/>
      <c r="AEK15" s="257"/>
      <c r="AEL15" s="257"/>
      <c r="AEM15" s="257"/>
      <c r="AEN15" s="257"/>
      <c r="AEO15" s="257"/>
      <c r="AEP15" s="257"/>
      <c r="AEQ15" s="257"/>
      <c r="AER15" s="257"/>
      <c r="AES15" s="257"/>
      <c r="AET15" s="257"/>
      <c r="AEU15" s="257"/>
      <c r="AEV15" s="257"/>
      <c r="AEW15" s="257"/>
      <c r="AEX15" s="257"/>
      <c r="AEY15" s="257"/>
      <c r="AEZ15" s="257"/>
      <c r="AFA15" s="257"/>
      <c r="AFB15" s="257"/>
      <c r="AFC15" s="257"/>
      <c r="AFD15" s="257"/>
      <c r="AFE15" s="257"/>
      <c r="AFF15" s="257"/>
      <c r="AFG15" s="257"/>
      <c r="AFH15" s="257"/>
      <c r="AFI15" s="257"/>
      <c r="AFJ15" s="257"/>
      <c r="AFK15" s="257"/>
      <c r="AFL15" s="257"/>
      <c r="AFM15" s="257"/>
      <c r="AFN15" s="257"/>
      <c r="AFO15" s="257"/>
      <c r="AFP15" s="257"/>
      <c r="AFQ15" s="257"/>
      <c r="AFR15" s="257"/>
      <c r="AFS15" s="257"/>
      <c r="AFT15" s="257"/>
      <c r="AFU15" s="257"/>
      <c r="AFV15" s="257"/>
      <c r="AFW15" s="257"/>
      <c r="AFX15" s="257"/>
      <c r="AFY15" s="257"/>
      <c r="AFZ15" s="257"/>
      <c r="AGA15" s="257"/>
      <c r="AGB15" s="257"/>
      <c r="AGC15" s="257"/>
      <c r="AGD15" s="257"/>
      <c r="AGE15" s="257"/>
      <c r="AGF15" s="257"/>
      <c r="AGG15" s="257"/>
      <c r="AGH15" s="257"/>
      <c r="AGI15" s="257"/>
      <c r="AGJ15" s="257"/>
      <c r="AGK15" s="257"/>
      <c r="AGL15" s="257"/>
      <c r="AGM15" s="257"/>
      <c r="AGN15" s="257"/>
      <c r="AGO15" s="257"/>
      <c r="AGP15" s="257"/>
      <c r="AGQ15" s="257"/>
      <c r="AGR15" s="257"/>
      <c r="AGS15" s="257"/>
      <c r="AGT15" s="257"/>
      <c r="AGU15" s="257"/>
      <c r="AGV15" s="257"/>
      <c r="AGW15" s="257"/>
      <c r="AGX15" s="257"/>
      <c r="AGY15" s="257"/>
      <c r="AGZ15" s="257"/>
      <c r="AHA15" s="257"/>
      <c r="AHB15" s="257"/>
      <c r="AHC15" s="257"/>
      <c r="AHD15" s="257"/>
      <c r="AHE15" s="257"/>
      <c r="AHF15" s="257"/>
      <c r="AHG15" s="257"/>
      <c r="AHH15" s="257"/>
      <c r="AHI15" s="257"/>
      <c r="AHJ15" s="257"/>
      <c r="AHK15" s="257"/>
      <c r="AHL15" s="257"/>
      <c r="AHM15" s="257"/>
      <c r="AHN15" s="257"/>
      <c r="AHO15" s="257"/>
      <c r="AHP15" s="257"/>
      <c r="AHQ15" s="257"/>
      <c r="AHR15" s="257"/>
      <c r="AHS15" s="257"/>
      <c r="AHT15" s="257"/>
      <c r="AHU15" s="257"/>
      <c r="AHV15" s="257"/>
      <c r="AHW15" s="257"/>
      <c r="AHX15" s="257"/>
      <c r="AHY15" s="257"/>
      <c r="AHZ15" s="257"/>
      <c r="AIA15" s="257"/>
      <c r="AIB15" s="257"/>
      <c r="AIC15" s="257"/>
      <c r="AID15" s="257"/>
      <c r="AIE15" s="257"/>
      <c r="AIF15" s="257"/>
      <c r="AIG15" s="257"/>
      <c r="AIH15" s="257"/>
      <c r="AII15" s="257"/>
      <c r="AIJ15" s="257"/>
      <c r="AIK15" s="257"/>
      <c r="AIL15" s="257"/>
      <c r="AIM15" s="257"/>
      <c r="AIN15" s="257"/>
      <c r="AIO15" s="257"/>
      <c r="AIP15" s="257"/>
      <c r="AIQ15" s="257"/>
      <c r="AIR15" s="257"/>
      <c r="AIS15" s="257"/>
      <c r="AIT15" s="257"/>
      <c r="AIU15" s="257"/>
      <c r="AIV15" s="257"/>
      <c r="AIW15" s="257"/>
      <c r="AIX15" s="257"/>
      <c r="AIY15" s="257"/>
      <c r="AIZ15" s="257"/>
      <c r="AJA15" s="257"/>
      <c r="AJB15" s="257"/>
      <c r="AJC15" s="257"/>
      <c r="AJD15" s="257"/>
      <c r="AJE15" s="257"/>
      <c r="AJF15" s="257"/>
      <c r="AJG15" s="257"/>
      <c r="AJH15" s="257"/>
      <c r="AJI15" s="257"/>
      <c r="AJJ15" s="257"/>
      <c r="AJK15" s="257"/>
      <c r="AJL15" s="257"/>
      <c r="AJM15" s="257"/>
      <c r="AJN15" s="257"/>
      <c r="AJO15" s="257"/>
      <c r="AJP15" s="257"/>
      <c r="AJQ15" s="257"/>
      <c r="AJR15" s="257"/>
      <c r="AJS15" s="257"/>
      <c r="AJT15" s="257"/>
      <c r="AJU15" s="257"/>
      <c r="AJV15" s="257"/>
      <c r="AJW15" s="257"/>
      <c r="AJX15" s="257"/>
      <c r="AJY15" s="257"/>
      <c r="AJZ15" s="257"/>
      <c r="AKA15" s="257"/>
      <c r="AKB15" s="257"/>
      <c r="AKC15" s="257"/>
      <c r="AKD15" s="257"/>
      <c r="AKE15" s="257"/>
      <c r="AKF15" s="257"/>
      <c r="AKG15" s="257"/>
      <c r="AKH15" s="257"/>
      <c r="AKI15" s="257"/>
      <c r="AKJ15" s="257"/>
      <c r="AKK15" s="257"/>
      <c r="AKL15" s="257"/>
      <c r="AKM15" s="257"/>
      <c r="AKN15" s="257"/>
      <c r="AKO15" s="257"/>
      <c r="AKP15" s="257"/>
      <c r="AKQ15" s="257"/>
      <c r="AKR15" s="257"/>
      <c r="AKS15" s="257"/>
      <c r="AKT15" s="257"/>
      <c r="AKU15" s="257"/>
      <c r="AKV15" s="257"/>
      <c r="AKW15" s="257"/>
      <c r="AKX15" s="257"/>
      <c r="AKY15" s="257"/>
      <c r="AKZ15" s="257"/>
      <c r="ALA15" s="257"/>
      <c r="ALB15" s="257"/>
      <c r="ALC15" s="257"/>
      <c r="ALD15" s="257"/>
      <c r="ALE15" s="257"/>
      <c r="ALF15" s="257"/>
      <c r="ALG15" s="257"/>
      <c r="ALH15" s="257"/>
      <c r="ALI15" s="257"/>
      <c r="ALJ15" s="257"/>
      <c r="ALK15" s="257"/>
      <c r="ALL15" s="257"/>
      <c r="ALM15" s="257"/>
      <c r="ALN15" s="257"/>
      <c r="ALO15" s="257"/>
      <c r="ALP15" s="257"/>
      <c r="ALQ15" s="257"/>
      <c r="ALR15" s="257"/>
      <c r="ALS15" s="257"/>
      <c r="ALT15" s="257"/>
      <c r="ALU15" s="257"/>
      <c r="ALV15" s="257"/>
      <c r="ALW15" s="257"/>
      <c r="ALX15" s="257"/>
      <c r="ALY15" s="257"/>
      <c r="ALZ15" s="257"/>
      <c r="AMA15" s="257"/>
      <c r="AMB15" s="257"/>
      <c r="AMC15" s="257"/>
      <c r="AMD15" s="257"/>
      <c r="AME15" s="257"/>
      <c r="AMF15" s="257"/>
      <c r="AMG15" s="257"/>
      <c r="AMH15" s="257"/>
      <c r="AMI15" s="257"/>
      <c r="AMJ15" s="257"/>
      <c r="AMK15" s="257"/>
      <c r="AML15" s="257"/>
      <c r="AMM15" s="257"/>
      <c r="AMN15" s="257"/>
      <c r="AMO15" s="257"/>
      <c r="AMP15" s="257"/>
      <c r="AMQ15" s="257"/>
      <c r="AMR15" s="257"/>
      <c r="AMS15" s="257"/>
      <c r="AMT15" s="257"/>
      <c r="AMU15" s="257"/>
      <c r="AMV15" s="257"/>
      <c r="AMW15" s="257"/>
      <c r="AMX15" s="257"/>
      <c r="AMY15" s="257"/>
      <c r="AMZ15" s="257"/>
      <c r="ANA15" s="257"/>
      <c r="ANB15" s="257"/>
      <c r="ANC15" s="257"/>
      <c r="AND15" s="257"/>
      <c r="ANE15" s="257"/>
      <c r="ANF15" s="257"/>
      <c r="ANG15" s="257"/>
      <c r="ANH15" s="257"/>
      <c r="ANI15" s="257"/>
      <c r="ANJ15" s="257"/>
      <c r="ANK15" s="257"/>
      <c r="ANL15" s="257"/>
      <c r="ANM15" s="257"/>
      <c r="ANN15" s="257"/>
      <c r="ANO15" s="257"/>
      <c r="ANP15" s="257"/>
      <c r="ANQ15" s="257"/>
      <c r="ANR15" s="257"/>
      <c r="ANS15" s="257"/>
      <c r="ANT15" s="257"/>
      <c r="ANU15" s="257"/>
      <c r="ANV15" s="257"/>
      <c r="ANW15" s="257"/>
      <c r="ANX15" s="257"/>
      <c r="ANY15" s="257"/>
      <c r="ANZ15" s="257"/>
      <c r="AOA15" s="257"/>
      <c r="AOB15" s="257"/>
      <c r="AOC15" s="257"/>
      <c r="AOD15" s="257"/>
      <c r="AOE15" s="257"/>
      <c r="AOF15" s="257"/>
      <c r="AOG15" s="257"/>
      <c r="AOH15" s="257"/>
      <c r="AOI15" s="257"/>
      <c r="AOJ15" s="257"/>
      <c r="AOK15" s="257"/>
      <c r="AOL15" s="257"/>
      <c r="AOM15" s="257"/>
      <c r="AON15" s="257"/>
      <c r="AOO15" s="257"/>
      <c r="AOP15" s="257"/>
      <c r="AOQ15" s="257"/>
      <c r="AOR15" s="257"/>
      <c r="AOS15" s="257"/>
      <c r="AOT15" s="257"/>
      <c r="AOU15" s="257"/>
      <c r="AOV15" s="257"/>
      <c r="AOW15" s="257"/>
      <c r="AOX15" s="257"/>
      <c r="AOY15" s="257"/>
      <c r="AOZ15" s="257"/>
      <c r="APA15" s="257"/>
      <c r="APB15" s="257"/>
      <c r="APC15" s="257"/>
      <c r="APD15" s="257"/>
      <c r="APE15" s="257"/>
      <c r="APF15" s="257"/>
      <c r="APG15" s="257"/>
      <c r="APH15" s="257"/>
      <c r="API15" s="257"/>
      <c r="APJ15" s="257"/>
      <c r="APK15" s="257"/>
      <c r="APL15" s="257"/>
      <c r="APM15" s="257"/>
      <c r="APN15" s="257"/>
      <c r="APO15" s="257"/>
      <c r="APP15" s="257"/>
      <c r="APQ15" s="257"/>
      <c r="APR15" s="257"/>
      <c r="APS15" s="257"/>
      <c r="APT15" s="257"/>
      <c r="APU15" s="257"/>
      <c r="APV15" s="257"/>
      <c r="APW15" s="257"/>
      <c r="APX15" s="257"/>
      <c r="APY15" s="257"/>
      <c r="APZ15" s="257"/>
      <c r="AQA15" s="257"/>
      <c r="AQB15" s="257"/>
      <c r="AQC15" s="257"/>
      <c r="AQD15" s="257"/>
      <c r="AQE15" s="257"/>
      <c r="AQF15" s="257"/>
      <c r="AQG15" s="257"/>
      <c r="AQH15" s="257"/>
      <c r="AQI15" s="257"/>
      <c r="AQJ15" s="257"/>
      <c r="AQK15" s="257"/>
      <c r="AQL15" s="257"/>
      <c r="AQM15" s="257"/>
      <c r="AQN15" s="257"/>
      <c r="AQO15" s="257"/>
      <c r="AQP15" s="257"/>
      <c r="AQQ15" s="257"/>
      <c r="AQR15" s="257"/>
      <c r="AQS15" s="257"/>
      <c r="AQT15" s="257"/>
      <c r="AQU15" s="257"/>
      <c r="AQV15" s="257"/>
      <c r="AQW15" s="257"/>
      <c r="AQX15" s="257"/>
      <c r="AQY15" s="257"/>
      <c r="AQZ15" s="257"/>
      <c r="ARA15" s="257"/>
      <c r="ARB15" s="257"/>
      <c r="ARC15" s="257"/>
      <c r="ARD15" s="257"/>
      <c r="ARE15" s="257"/>
      <c r="ARF15" s="257"/>
      <c r="ARG15" s="257"/>
      <c r="ARH15" s="257"/>
      <c r="ARI15" s="257"/>
      <c r="ARJ15" s="257"/>
      <c r="ARK15" s="257"/>
      <c r="ARL15" s="257"/>
      <c r="ARM15" s="257"/>
      <c r="ARN15" s="257"/>
      <c r="ARO15" s="257"/>
      <c r="ARP15" s="257"/>
      <c r="ARQ15" s="257"/>
      <c r="ARR15" s="257"/>
      <c r="ARS15" s="257"/>
      <c r="ART15" s="257"/>
      <c r="ARU15" s="257"/>
      <c r="ARV15" s="257"/>
      <c r="ARW15" s="257"/>
      <c r="ARX15" s="257"/>
      <c r="ARY15" s="257"/>
      <c r="ARZ15" s="257"/>
      <c r="ASA15" s="257"/>
      <c r="ASB15" s="257"/>
      <c r="ASC15" s="257"/>
      <c r="ASD15" s="257"/>
      <c r="ASE15" s="257"/>
      <c r="ASF15" s="257"/>
      <c r="ASG15" s="257"/>
      <c r="ASH15" s="257"/>
      <c r="ASI15" s="257"/>
      <c r="ASJ15" s="257"/>
      <c r="ASK15" s="257"/>
      <c r="ASL15" s="257"/>
      <c r="ASM15" s="257"/>
      <c r="ASN15" s="257"/>
      <c r="ASO15" s="257"/>
      <c r="ASP15" s="257"/>
      <c r="ASQ15" s="257"/>
      <c r="ASR15" s="257"/>
      <c r="ASS15" s="257"/>
      <c r="AST15" s="257"/>
      <c r="ASU15" s="257"/>
      <c r="ASV15" s="257"/>
      <c r="ASW15" s="257"/>
      <c r="ASX15" s="257"/>
      <c r="ASY15" s="257"/>
      <c r="ASZ15" s="257"/>
      <c r="ATA15" s="257"/>
      <c r="ATB15" s="257"/>
      <c r="ATC15" s="257"/>
      <c r="ATD15" s="257"/>
      <c r="ATE15" s="257"/>
      <c r="ATF15" s="257"/>
      <c r="ATG15" s="257"/>
      <c r="ATH15" s="257"/>
      <c r="ATI15" s="257"/>
      <c r="ATJ15" s="257"/>
      <c r="ATK15" s="257"/>
      <c r="ATL15" s="257"/>
      <c r="ATM15" s="257"/>
      <c r="ATN15" s="257"/>
      <c r="ATO15" s="257"/>
      <c r="ATP15" s="257"/>
      <c r="ATQ15" s="257"/>
      <c r="ATR15" s="257"/>
      <c r="ATS15" s="257"/>
      <c r="ATT15" s="257"/>
      <c r="ATU15" s="257"/>
      <c r="ATV15" s="257"/>
      <c r="ATW15" s="257"/>
      <c r="ATX15" s="257"/>
      <c r="ATY15" s="257"/>
      <c r="ATZ15" s="257"/>
      <c r="AUA15" s="257"/>
      <c r="AUB15" s="257"/>
      <c r="AUC15" s="257"/>
      <c r="AUD15" s="257"/>
      <c r="AUE15" s="257"/>
      <c r="AUF15" s="257"/>
      <c r="AUG15" s="257"/>
      <c r="AUH15" s="257"/>
      <c r="AUI15" s="257"/>
      <c r="AUJ15" s="257"/>
      <c r="AUK15" s="257"/>
      <c r="AUL15" s="257"/>
      <c r="AUM15" s="257"/>
      <c r="AUN15" s="257"/>
      <c r="AUO15" s="257"/>
      <c r="AUP15" s="257"/>
      <c r="AUQ15" s="257"/>
      <c r="AUR15" s="257"/>
      <c r="AUS15" s="257"/>
      <c r="AUT15" s="257"/>
      <c r="AUU15" s="257"/>
      <c r="AUV15" s="257"/>
      <c r="AUW15" s="257"/>
      <c r="AUX15" s="257"/>
      <c r="AUY15" s="257"/>
      <c r="AUZ15" s="257"/>
      <c r="AVA15" s="257"/>
      <c r="AVB15" s="257"/>
      <c r="AVC15" s="257"/>
      <c r="AVD15" s="257"/>
      <c r="AVE15" s="257"/>
      <c r="AVF15" s="257"/>
      <c r="AVG15" s="257"/>
      <c r="AVH15" s="257"/>
      <c r="AVI15" s="257"/>
      <c r="AVJ15" s="257"/>
      <c r="AVK15" s="257"/>
      <c r="AVL15" s="257"/>
      <c r="AVM15" s="257"/>
      <c r="AVN15" s="257"/>
      <c r="AVO15" s="257"/>
      <c r="AVP15" s="257"/>
      <c r="AVQ15" s="257"/>
      <c r="AVR15" s="257"/>
      <c r="AVS15" s="257"/>
      <c r="AVT15" s="257"/>
      <c r="AVU15" s="257"/>
      <c r="AVV15" s="257"/>
      <c r="AVW15" s="257"/>
      <c r="AVX15" s="257"/>
      <c r="AVY15" s="257"/>
      <c r="AVZ15" s="257"/>
      <c r="AWA15" s="257"/>
      <c r="AWB15" s="257"/>
      <c r="AWC15" s="257"/>
      <c r="AWD15" s="257"/>
      <c r="AWE15" s="257"/>
      <c r="AWF15" s="257"/>
      <c r="AWG15" s="257"/>
      <c r="AWH15" s="257"/>
      <c r="AWI15" s="257"/>
      <c r="AWJ15" s="257"/>
      <c r="AWK15" s="257"/>
      <c r="AWL15" s="257"/>
      <c r="AWM15" s="257"/>
      <c r="AWN15" s="257"/>
      <c r="AWO15" s="257"/>
      <c r="AWP15" s="257"/>
      <c r="AWQ15" s="257"/>
      <c r="AWR15" s="257"/>
      <c r="AWS15" s="257"/>
      <c r="AWT15" s="257"/>
      <c r="AWU15" s="257"/>
      <c r="AWV15" s="257"/>
      <c r="AWW15" s="257"/>
      <c r="AWX15" s="257"/>
      <c r="AWY15" s="257"/>
      <c r="AWZ15" s="257"/>
      <c r="AXA15" s="257"/>
      <c r="AXB15" s="257"/>
      <c r="AXC15" s="257"/>
      <c r="AXD15" s="257"/>
      <c r="AXE15" s="257"/>
      <c r="AXF15" s="257"/>
      <c r="AXG15" s="257"/>
      <c r="AXH15" s="257"/>
      <c r="AXI15" s="257"/>
      <c r="AXJ15" s="257"/>
      <c r="AXK15" s="257"/>
      <c r="AXL15" s="257"/>
      <c r="AXM15" s="257"/>
      <c r="AXN15" s="257"/>
      <c r="AXO15" s="257"/>
      <c r="AXP15" s="257"/>
      <c r="AXQ15" s="257"/>
      <c r="AXR15" s="257"/>
      <c r="AXS15" s="257"/>
      <c r="AXT15" s="257"/>
      <c r="AXU15" s="257"/>
      <c r="AXV15" s="257"/>
      <c r="AXW15" s="257"/>
      <c r="AXX15" s="257"/>
      <c r="AXY15" s="257"/>
      <c r="AXZ15" s="257"/>
      <c r="AYA15" s="257"/>
      <c r="AYB15" s="257"/>
      <c r="AYC15" s="257"/>
      <c r="AYD15" s="257"/>
      <c r="AYE15" s="257"/>
      <c r="AYF15" s="257"/>
      <c r="AYG15" s="257"/>
      <c r="AYH15" s="257"/>
      <c r="AYI15" s="257"/>
      <c r="AYJ15" s="257"/>
      <c r="AYK15" s="257"/>
      <c r="AYL15" s="257"/>
      <c r="AYM15" s="257"/>
      <c r="AYN15" s="257"/>
      <c r="AYO15" s="257"/>
      <c r="AYP15" s="257"/>
      <c r="AYQ15" s="257"/>
      <c r="AYR15" s="257"/>
      <c r="AYS15" s="257"/>
      <c r="AYT15" s="257"/>
      <c r="AYU15" s="257"/>
      <c r="AYV15" s="257"/>
      <c r="AYW15" s="257"/>
      <c r="AYX15" s="257"/>
      <c r="AYY15" s="257"/>
      <c r="AYZ15" s="257"/>
      <c r="AZA15" s="257"/>
      <c r="AZB15" s="257"/>
      <c r="AZC15" s="257"/>
      <c r="AZD15" s="257"/>
      <c r="AZE15" s="257"/>
      <c r="AZF15" s="257"/>
      <c r="AZG15" s="257"/>
      <c r="AZH15" s="257"/>
      <c r="AZI15" s="257"/>
      <c r="AZJ15" s="257"/>
      <c r="AZK15" s="257"/>
      <c r="AZL15" s="257"/>
      <c r="AZM15" s="257"/>
      <c r="AZN15" s="257"/>
      <c r="AZO15" s="257"/>
      <c r="AZP15" s="257"/>
      <c r="AZQ15" s="257"/>
      <c r="AZR15" s="257"/>
      <c r="AZS15" s="257"/>
      <c r="AZT15" s="257"/>
      <c r="AZU15" s="257"/>
      <c r="AZV15" s="257"/>
      <c r="AZW15" s="257"/>
      <c r="AZX15" s="257"/>
      <c r="AZY15" s="257"/>
      <c r="AZZ15" s="257"/>
      <c r="BAA15" s="257"/>
      <c r="BAB15" s="257"/>
      <c r="BAC15" s="257"/>
      <c r="BAD15" s="257"/>
      <c r="BAE15" s="257"/>
      <c r="BAF15" s="257"/>
      <c r="BAG15" s="257"/>
      <c r="BAH15" s="257"/>
      <c r="BAI15" s="257"/>
      <c r="BAJ15" s="257"/>
      <c r="BAK15" s="257"/>
      <c r="BAL15" s="257"/>
      <c r="BAM15" s="257"/>
      <c r="BAN15" s="257"/>
      <c r="BAO15" s="257"/>
      <c r="BAP15" s="257"/>
      <c r="BAQ15" s="257"/>
      <c r="BAR15" s="257"/>
      <c r="BAS15" s="257"/>
      <c r="BAT15" s="257"/>
      <c r="BAU15" s="257"/>
      <c r="BAV15" s="257"/>
      <c r="BAW15" s="257"/>
      <c r="BAX15" s="257"/>
      <c r="BAY15" s="257"/>
      <c r="BAZ15" s="257"/>
      <c r="BBA15" s="257"/>
      <c r="BBB15" s="257"/>
      <c r="BBC15" s="257"/>
      <c r="BBD15" s="257"/>
      <c r="BBE15" s="257"/>
      <c r="BBF15" s="257"/>
      <c r="BBG15" s="257"/>
      <c r="BBH15" s="257"/>
      <c r="BBI15" s="257"/>
      <c r="BBJ15" s="257"/>
      <c r="BBK15" s="257"/>
      <c r="BBL15" s="257"/>
      <c r="BBM15" s="257"/>
      <c r="BBN15" s="257"/>
      <c r="BBO15" s="257"/>
      <c r="BBP15" s="257"/>
      <c r="BBQ15" s="257"/>
      <c r="BBR15" s="257"/>
      <c r="BBS15" s="257"/>
      <c r="BBT15" s="257"/>
      <c r="BBU15" s="257"/>
      <c r="BBV15" s="257"/>
      <c r="BBW15" s="257"/>
      <c r="BBX15" s="257"/>
      <c r="BBY15" s="257"/>
      <c r="BBZ15" s="257"/>
      <c r="BCA15" s="257"/>
      <c r="BCB15" s="257"/>
      <c r="BCC15" s="257"/>
      <c r="BCD15" s="257"/>
      <c r="BCE15" s="257"/>
      <c r="BCF15" s="257"/>
      <c r="BCG15" s="257"/>
      <c r="BCH15" s="257"/>
      <c r="BCI15" s="257"/>
      <c r="BCJ15" s="257"/>
      <c r="BCK15" s="257"/>
      <c r="BCL15" s="257"/>
      <c r="BCM15" s="257"/>
      <c r="BCN15" s="257"/>
      <c r="BCO15" s="257"/>
      <c r="BCP15" s="257"/>
      <c r="BCQ15" s="257"/>
      <c r="BCR15" s="257"/>
      <c r="BCS15" s="257"/>
      <c r="BCT15" s="257"/>
      <c r="BCU15" s="257"/>
      <c r="BCV15" s="257"/>
      <c r="BCW15" s="257"/>
      <c r="BCX15" s="257"/>
      <c r="BCY15" s="257"/>
      <c r="BCZ15" s="257"/>
      <c r="BDA15" s="257"/>
      <c r="BDB15" s="257"/>
      <c r="BDC15" s="257"/>
      <c r="BDD15" s="257"/>
      <c r="BDE15" s="257"/>
      <c r="BDF15" s="257"/>
      <c r="BDG15" s="257"/>
      <c r="BDH15" s="257"/>
      <c r="BDI15" s="257"/>
      <c r="BDJ15" s="257"/>
      <c r="BDK15" s="257"/>
      <c r="BDL15" s="257"/>
      <c r="BDM15" s="257"/>
      <c r="BDN15" s="257"/>
      <c r="BDO15" s="257"/>
      <c r="BDP15" s="257"/>
      <c r="BDQ15" s="257"/>
      <c r="BDR15" s="257"/>
      <c r="BDS15" s="257"/>
      <c r="BDT15" s="257"/>
      <c r="BDU15" s="257"/>
      <c r="BDV15" s="257"/>
      <c r="BDW15" s="257"/>
      <c r="BDX15" s="257"/>
      <c r="BDY15" s="257"/>
      <c r="BDZ15" s="257"/>
      <c r="BEA15" s="257"/>
      <c r="BEB15" s="257"/>
      <c r="BEC15" s="257"/>
      <c r="BED15" s="257"/>
      <c r="BEE15" s="257"/>
      <c r="BEF15" s="257"/>
      <c r="BEG15" s="257"/>
      <c r="BEH15" s="257"/>
      <c r="BEI15" s="257"/>
      <c r="BEJ15" s="257"/>
      <c r="BEK15" s="257"/>
      <c r="BEL15" s="257"/>
      <c r="BEM15" s="257"/>
      <c r="BEN15" s="257"/>
      <c r="BEO15" s="257"/>
      <c r="BEP15" s="257"/>
      <c r="BEQ15" s="257"/>
      <c r="BER15" s="257"/>
      <c r="BES15" s="257"/>
      <c r="BET15" s="257"/>
      <c r="BEU15" s="257"/>
      <c r="BEV15" s="257"/>
      <c r="BEW15" s="257"/>
      <c r="BEX15" s="257"/>
      <c r="BEY15" s="257"/>
      <c r="BEZ15" s="257"/>
      <c r="BFA15" s="257"/>
      <c r="BFB15" s="257"/>
      <c r="BFC15" s="257"/>
      <c r="BFD15" s="257"/>
      <c r="BFE15" s="257"/>
      <c r="BFF15" s="257"/>
      <c r="BFG15" s="257"/>
      <c r="BFH15" s="257"/>
      <c r="BFI15" s="257"/>
      <c r="BFJ15" s="257"/>
      <c r="BFK15" s="257"/>
      <c r="BFL15" s="257"/>
      <c r="BFM15" s="257"/>
      <c r="BFN15" s="257"/>
      <c r="BFO15" s="257"/>
      <c r="BFP15" s="257"/>
      <c r="BFQ15" s="257"/>
      <c r="BFR15" s="257"/>
      <c r="BFS15" s="257"/>
      <c r="BFT15" s="257"/>
      <c r="BFU15" s="257"/>
      <c r="BFV15" s="257"/>
      <c r="BFW15" s="257"/>
      <c r="BFX15" s="257"/>
      <c r="BFY15" s="257"/>
      <c r="BFZ15" s="257"/>
      <c r="BGA15" s="257"/>
      <c r="BGB15" s="257"/>
      <c r="BGC15" s="257"/>
      <c r="BGD15" s="257"/>
      <c r="BGE15" s="257"/>
      <c r="BGF15" s="257"/>
      <c r="BGG15" s="257"/>
      <c r="BGH15" s="257"/>
      <c r="BGI15" s="257"/>
      <c r="BGJ15" s="257"/>
      <c r="BGK15" s="257"/>
      <c r="BGL15" s="257"/>
      <c r="BGM15" s="257"/>
      <c r="BGN15" s="257"/>
      <c r="BGO15" s="257"/>
      <c r="BGP15" s="257"/>
      <c r="BGQ15" s="257"/>
      <c r="BGR15" s="257"/>
      <c r="BGS15" s="257"/>
      <c r="BGT15" s="257"/>
      <c r="BGU15" s="257"/>
      <c r="BGV15" s="257"/>
      <c r="BGW15" s="257"/>
      <c r="BGX15" s="257"/>
      <c r="BGY15" s="257"/>
      <c r="BGZ15" s="257"/>
      <c r="BHA15" s="257"/>
      <c r="BHB15" s="257"/>
      <c r="BHC15" s="257"/>
      <c r="BHD15" s="257"/>
      <c r="BHE15" s="257"/>
      <c r="BHF15" s="257"/>
      <c r="BHG15" s="257"/>
      <c r="BHH15" s="257"/>
      <c r="BHI15" s="257"/>
      <c r="BHJ15" s="257"/>
      <c r="BHK15" s="257"/>
      <c r="BHL15" s="257"/>
      <c r="BHM15" s="257"/>
      <c r="BHN15" s="257"/>
      <c r="BHO15" s="257"/>
      <c r="BHP15" s="257"/>
      <c r="BHQ15" s="257"/>
      <c r="BHR15" s="257"/>
      <c r="BHS15" s="257"/>
      <c r="BHT15" s="257"/>
      <c r="BHU15" s="257"/>
      <c r="BHV15" s="257"/>
      <c r="BHW15" s="257"/>
      <c r="BHX15" s="257"/>
      <c r="BHY15" s="257"/>
      <c r="BHZ15" s="257"/>
      <c r="BIA15" s="257"/>
      <c r="BIB15" s="257"/>
      <c r="BIC15" s="257"/>
      <c r="BID15" s="257"/>
      <c r="BIE15" s="257"/>
      <c r="BIF15" s="257"/>
      <c r="BIG15" s="257"/>
      <c r="BIH15" s="257"/>
      <c r="BII15" s="257"/>
      <c r="BIJ15" s="257"/>
      <c r="BIK15" s="257"/>
      <c r="BIL15" s="257"/>
      <c r="BIM15" s="257"/>
      <c r="BIN15" s="257"/>
      <c r="BIO15" s="257"/>
      <c r="BIP15" s="257"/>
      <c r="BIQ15" s="257"/>
      <c r="BIR15" s="257"/>
      <c r="BIS15" s="257"/>
      <c r="BIT15" s="257"/>
      <c r="BIU15" s="257"/>
      <c r="BIV15" s="257"/>
      <c r="BIW15" s="257"/>
      <c r="BIX15" s="257"/>
      <c r="BIY15" s="257"/>
      <c r="BIZ15" s="257"/>
      <c r="BJA15" s="257"/>
      <c r="BJB15" s="257"/>
      <c r="BJC15" s="257"/>
      <c r="BJD15" s="257"/>
      <c r="BJE15" s="257"/>
      <c r="BJF15" s="257"/>
      <c r="BJG15" s="257"/>
      <c r="BJH15" s="257"/>
      <c r="BJI15" s="257"/>
      <c r="BJJ15" s="257"/>
      <c r="BJK15" s="257"/>
      <c r="BJL15" s="257"/>
      <c r="BJM15" s="257"/>
      <c r="BJN15" s="257"/>
      <c r="BJO15" s="257"/>
      <c r="BJP15" s="257"/>
      <c r="BJQ15" s="257"/>
      <c r="BJR15" s="257"/>
      <c r="BJS15" s="257"/>
      <c r="BJT15" s="257"/>
      <c r="BJU15" s="257"/>
      <c r="BJV15" s="257"/>
      <c r="BJW15" s="257"/>
      <c r="BJX15" s="257"/>
      <c r="BJY15" s="257"/>
      <c r="BJZ15" s="257"/>
      <c r="BKA15" s="257"/>
      <c r="BKB15" s="257"/>
      <c r="BKC15" s="257"/>
      <c r="BKD15" s="257"/>
      <c r="BKE15" s="257"/>
      <c r="BKF15" s="257"/>
      <c r="BKG15" s="257"/>
      <c r="BKH15" s="257"/>
      <c r="BKI15" s="257"/>
      <c r="BKJ15" s="257"/>
      <c r="BKK15" s="257"/>
      <c r="BKL15" s="257"/>
      <c r="BKM15" s="257"/>
      <c r="BKN15" s="257"/>
      <c r="BKO15" s="257"/>
      <c r="BKP15" s="257"/>
      <c r="BKQ15" s="257"/>
      <c r="BKR15" s="257"/>
      <c r="BKS15" s="257"/>
      <c r="BKT15" s="257"/>
      <c r="BKU15" s="257"/>
      <c r="BKV15" s="257"/>
      <c r="BKW15" s="257"/>
      <c r="BKX15" s="257"/>
      <c r="BKY15" s="257"/>
      <c r="BKZ15" s="257"/>
      <c r="BLA15" s="257"/>
      <c r="BLB15" s="257"/>
      <c r="BLC15" s="257"/>
      <c r="BLD15" s="257"/>
      <c r="BLE15" s="257"/>
      <c r="BLF15" s="257"/>
      <c r="BLG15" s="257"/>
      <c r="BLH15" s="257"/>
      <c r="BLI15" s="257"/>
      <c r="BLJ15" s="257"/>
      <c r="BLK15" s="257"/>
      <c r="BLL15" s="257"/>
      <c r="BLM15" s="257"/>
      <c r="BLN15" s="257"/>
      <c r="BLO15" s="257"/>
      <c r="BLP15" s="257"/>
      <c r="BLQ15" s="257"/>
      <c r="BLR15" s="257"/>
      <c r="BLS15" s="257"/>
      <c r="BLT15" s="257"/>
      <c r="BLU15" s="257"/>
      <c r="BLV15" s="257"/>
      <c r="BLW15" s="257"/>
      <c r="BLX15" s="257"/>
      <c r="BLY15" s="257"/>
      <c r="BLZ15" s="257"/>
      <c r="BMA15" s="257"/>
      <c r="BMB15" s="257"/>
      <c r="BMC15" s="257"/>
      <c r="BMD15" s="257"/>
      <c r="BME15" s="257"/>
      <c r="BMF15" s="257"/>
      <c r="BMG15" s="257"/>
      <c r="BMH15" s="257"/>
      <c r="BMI15" s="257"/>
      <c r="BMJ15" s="257"/>
      <c r="BMK15" s="257"/>
      <c r="BML15" s="257"/>
      <c r="BMM15" s="257"/>
      <c r="BMN15" s="257"/>
      <c r="BMO15" s="257"/>
      <c r="BMP15" s="257"/>
      <c r="BMQ15" s="257"/>
      <c r="BMR15" s="257"/>
      <c r="BMS15" s="257"/>
      <c r="BMT15" s="257"/>
      <c r="BMU15" s="257"/>
      <c r="BMV15" s="257"/>
      <c r="BMW15" s="257"/>
      <c r="BMX15" s="257"/>
      <c r="BMY15" s="257"/>
      <c r="BMZ15" s="257"/>
      <c r="BNA15" s="257"/>
      <c r="BNB15" s="257"/>
      <c r="BNC15" s="257"/>
      <c r="BND15" s="257"/>
      <c r="BNE15" s="257"/>
      <c r="BNF15" s="257"/>
      <c r="BNG15" s="257"/>
      <c r="BNH15" s="257"/>
      <c r="BNI15" s="257"/>
      <c r="BNJ15" s="257"/>
      <c r="BNK15" s="257"/>
      <c r="BNL15" s="257"/>
      <c r="BNM15" s="257"/>
      <c r="BNN15" s="257"/>
      <c r="BNO15" s="257"/>
      <c r="BNP15" s="257"/>
      <c r="BNQ15" s="257"/>
      <c r="BNR15" s="257"/>
      <c r="BNS15" s="257"/>
      <c r="BNT15" s="257"/>
      <c r="BNU15" s="257"/>
      <c r="BNV15" s="257"/>
      <c r="BNW15" s="257"/>
      <c r="BNX15" s="257"/>
      <c r="BNY15" s="257"/>
      <c r="BNZ15" s="257"/>
      <c r="BOA15" s="257"/>
      <c r="BOB15" s="257"/>
      <c r="BOC15" s="257"/>
      <c r="BOD15" s="257"/>
      <c r="BOE15" s="257"/>
      <c r="BOF15" s="257"/>
      <c r="BOG15" s="257"/>
      <c r="BOH15" s="257"/>
      <c r="BOI15" s="257"/>
      <c r="BOJ15" s="257"/>
      <c r="BOK15" s="257"/>
      <c r="BOL15" s="257"/>
      <c r="BOM15" s="257"/>
      <c r="BON15" s="257"/>
      <c r="BOO15" s="257"/>
      <c r="BOP15" s="257"/>
      <c r="BOQ15" s="257"/>
      <c r="BOR15" s="257"/>
      <c r="BOS15" s="257"/>
      <c r="BOT15" s="257"/>
      <c r="BOU15" s="257"/>
      <c r="BOV15" s="257"/>
      <c r="BOW15" s="257"/>
      <c r="BOX15" s="257"/>
      <c r="BOY15" s="257"/>
      <c r="BOZ15" s="257"/>
      <c r="BPA15" s="257"/>
      <c r="BPB15" s="257"/>
      <c r="BPC15" s="257"/>
      <c r="BPD15" s="257"/>
      <c r="BPE15" s="257"/>
      <c r="BPF15" s="257"/>
      <c r="BPG15" s="257"/>
      <c r="BPH15" s="257"/>
      <c r="BPI15" s="257"/>
      <c r="BPJ15" s="257"/>
      <c r="BPK15" s="257"/>
      <c r="BPL15" s="257"/>
      <c r="BPM15" s="257"/>
      <c r="BPN15" s="257"/>
      <c r="BPO15" s="257"/>
      <c r="BPP15" s="257"/>
      <c r="BPQ15" s="257"/>
      <c r="BPR15" s="257"/>
      <c r="BPS15" s="257"/>
      <c r="BPT15" s="257"/>
      <c r="BPU15" s="257"/>
      <c r="BPV15" s="257"/>
      <c r="BPW15" s="257"/>
      <c r="BPX15" s="257"/>
      <c r="BPY15" s="257"/>
      <c r="BPZ15" s="257"/>
      <c r="BQA15" s="257"/>
      <c r="BQB15" s="257"/>
      <c r="BQC15" s="257"/>
      <c r="BQD15" s="257"/>
      <c r="BQE15" s="257"/>
      <c r="BQF15" s="257"/>
      <c r="BQG15" s="257"/>
      <c r="BQH15" s="257"/>
      <c r="BQI15" s="257"/>
      <c r="BQJ15" s="257"/>
      <c r="BQK15" s="257"/>
      <c r="BQL15" s="257"/>
      <c r="BQM15" s="257"/>
      <c r="BQN15" s="257"/>
      <c r="BQO15" s="257"/>
      <c r="BQP15" s="257"/>
      <c r="BQQ15" s="257"/>
      <c r="BQR15" s="257"/>
      <c r="BQS15" s="257"/>
      <c r="BQT15" s="257"/>
      <c r="BQU15" s="257"/>
      <c r="BQV15" s="257"/>
      <c r="BQW15" s="257"/>
      <c r="BQX15" s="257"/>
      <c r="BQY15" s="257"/>
      <c r="BQZ15" s="257"/>
      <c r="BRA15" s="257"/>
      <c r="BRB15" s="257"/>
      <c r="BRC15" s="257"/>
      <c r="BRD15" s="257"/>
      <c r="BRE15" s="257"/>
      <c r="BRF15" s="257"/>
      <c r="BRG15" s="257"/>
      <c r="BRH15" s="257"/>
      <c r="BRI15" s="257"/>
      <c r="BRJ15" s="257"/>
      <c r="BRK15" s="257"/>
      <c r="BRL15" s="257"/>
      <c r="BRM15" s="257"/>
      <c r="BRN15" s="257"/>
      <c r="BRO15" s="257"/>
      <c r="BRP15" s="257"/>
      <c r="BRQ15" s="257"/>
      <c r="BRR15" s="257"/>
      <c r="BRS15" s="257"/>
      <c r="BRT15" s="257"/>
      <c r="BRU15" s="257"/>
      <c r="BRV15" s="257"/>
      <c r="BRW15" s="257"/>
      <c r="BRX15" s="257"/>
      <c r="BRY15" s="257"/>
      <c r="BRZ15" s="257"/>
      <c r="BSA15" s="257"/>
      <c r="BSB15" s="257"/>
      <c r="BSC15" s="257"/>
      <c r="BSD15" s="257"/>
      <c r="BSE15" s="257"/>
      <c r="BSF15" s="257"/>
      <c r="BSG15" s="257"/>
      <c r="BSH15" s="257"/>
      <c r="BSI15" s="257"/>
      <c r="BSJ15" s="257"/>
      <c r="BSK15" s="257"/>
      <c r="BSL15" s="257"/>
      <c r="BSM15" s="257"/>
      <c r="BSN15" s="257"/>
      <c r="BSO15" s="257"/>
      <c r="BSP15" s="257"/>
      <c r="BSQ15" s="257"/>
      <c r="BSR15" s="257"/>
      <c r="BSS15" s="257"/>
      <c r="BST15" s="257"/>
      <c r="BSU15" s="257"/>
      <c r="BSV15" s="257"/>
      <c r="BSW15" s="257"/>
      <c r="BSX15" s="257"/>
      <c r="BSY15" s="257"/>
      <c r="BSZ15" s="257"/>
      <c r="BTA15" s="257"/>
      <c r="BTB15" s="257"/>
      <c r="BTC15" s="257"/>
      <c r="BTD15" s="257"/>
      <c r="BTE15" s="257"/>
      <c r="BTF15" s="257"/>
      <c r="BTG15" s="257"/>
      <c r="BTH15" s="257"/>
      <c r="BTI15" s="257"/>
      <c r="BTJ15" s="257"/>
      <c r="BTK15" s="257"/>
      <c r="BTL15" s="257"/>
      <c r="BTM15" s="257"/>
      <c r="BTN15" s="257"/>
      <c r="BTO15" s="257"/>
      <c r="BTP15" s="257"/>
      <c r="BTQ15" s="257"/>
      <c r="BTR15" s="257"/>
      <c r="BTS15" s="257"/>
      <c r="BTT15" s="257"/>
      <c r="BTU15" s="257"/>
      <c r="BTV15" s="257"/>
      <c r="BTW15" s="257"/>
      <c r="BTX15" s="257"/>
      <c r="BTY15" s="257"/>
      <c r="BTZ15" s="257"/>
      <c r="BUA15" s="257"/>
      <c r="BUB15" s="257"/>
      <c r="BUC15" s="257"/>
      <c r="BUD15" s="257"/>
      <c r="BUE15" s="257"/>
      <c r="BUF15" s="257"/>
      <c r="BUG15" s="257"/>
      <c r="BUH15" s="257"/>
      <c r="BUI15" s="257"/>
      <c r="BUJ15" s="257"/>
      <c r="BUK15" s="257"/>
      <c r="BUL15" s="257"/>
      <c r="BUM15" s="257"/>
      <c r="BUN15" s="257"/>
      <c r="BUO15" s="257"/>
      <c r="BUP15" s="257"/>
      <c r="BUQ15" s="257"/>
      <c r="BUR15" s="257"/>
      <c r="BUS15" s="257"/>
      <c r="BUT15" s="257"/>
      <c r="BUU15" s="257"/>
      <c r="BUV15" s="257"/>
      <c r="BUW15" s="257"/>
      <c r="BUX15" s="257"/>
      <c r="BUY15" s="257"/>
      <c r="BUZ15" s="257"/>
      <c r="BVA15" s="257"/>
      <c r="BVB15" s="257"/>
      <c r="BVC15" s="257"/>
      <c r="BVD15" s="257"/>
      <c r="BVE15" s="257"/>
      <c r="BVF15" s="257"/>
      <c r="BVG15" s="257"/>
      <c r="BVH15" s="257"/>
      <c r="BVI15" s="257"/>
      <c r="BVJ15" s="257"/>
      <c r="BVK15" s="257"/>
      <c r="BVL15" s="257"/>
      <c r="BVM15" s="257"/>
      <c r="BVN15" s="257"/>
      <c r="BVO15" s="257"/>
      <c r="BVP15" s="257"/>
      <c r="BVQ15" s="257"/>
      <c r="BVR15" s="257"/>
      <c r="BVS15" s="257"/>
      <c r="BVT15" s="257"/>
      <c r="BVU15" s="257"/>
      <c r="BVV15" s="257"/>
      <c r="BVW15" s="257"/>
      <c r="BVX15" s="257"/>
      <c r="BVY15" s="257"/>
      <c r="BVZ15" s="257"/>
      <c r="BWA15" s="257"/>
      <c r="BWB15" s="257"/>
      <c r="BWC15" s="257"/>
      <c r="BWD15" s="257"/>
      <c r="BWE15" s="257"/>
      <c r="BWF15" s="257"/>
      <c r="BWG15" s="257"/>
      <c r="BWH15" s="257"/>
      <c r="BWI15" s="257"/>
      <c r="BWJ15" s="257"/>
      <c r="BWK15" s="257"/>
      <c r="BWL15" s="257"/>
      <c r="BWM15" s="257"/>
      <c r="BWN15" s="257"/>
      <c r="BWO15" s="257"/>
      <c r="BWP15" s="257"/>
      <c r="BWQ15" s="257"/>
      <c r="BWR15" s="257"/>
      <c r="BWS15" s="257"/>
      <c r="BWT15" s="257"/>
      <c r="BWU15" s="257"/>
      <c r="BWV15" s="257"/>
      <c r="BWW15" s="257"/>
      <c r="BWX15" s="257"/>
      <c r="BWY15" s="257"/>
      <c r="BWZ15" s="257"/>
      <c r="BXA15" s="257"/>
      <c r="BXB15" s="257"/>
      <c r="BXC15" s="257"/>
      <c r="BXD15" s="257"/>
      <c r="BXE15" s="257"/>
      <c r="BXF15" s="257"/>
      <c r="BXG15" s="257"/>
      <c r="BXH15" s="257"/>
      <c r="BXI15" s="257"/>
      <c r="BXJ15" s="257"/>
      <c r="BXK15" s="257"/>
      <c r="BXL15" s="257"/>
      <c r="BXM15" s="257"/>
      <c r="BXN15" s="257"/>
      <c r="BXO15" s="257"/>
      <c r="BXP15" s="257"/>
      <c r="BXQ15" s="257"/>
      <c r="BXR15" s="257"/>
      <c r="BXS15" s="257"/>
      <c r="BXT15" s="257"/>
      <c r="BXU15" s="257"/>
      <c r="BXV15" s="257"/>
      <c r="BXW15" s="257"/>
      <c r="BXX15" s="257"/>
      <c r="BXY15" s="257"/>
      <c r="BXZ15" s="257"/>
      <c r="BYA15" s="257"/>
      <c r="BYB15" s="257"/>
      <c r="BYC15" s="257"/>
      <c r="BYD15" s="257"/>
      <c r="BYE15" s="257"/>
      <c r="BYF15" s="257"/>
      <c r="BYG15" s="257"/>
      <c r="BYH15" s="257"/>
      <c r="BYI15" s="257"/>
      <c r="BYJ15" s="257"/>
      <c r="BYK15" s="257"/>
      <c r="BYL15" s="257"/>
      <c r="BYM15" s="257"/>
      <c r="BYN15" s="257"/>
      <c r="BYO15" s="257"/>
      <c r="BYP15" s="257"/>
      <c r="BYQ15" s="257"/>
      <c r="BYR15" s="257"/>
      <c r="BYS15" s="257"/>
      <c r="BYT15" s="257"/>
      <c r="BYU15" s="257"/>
      <c r="BYV15" s="257"/>
      <c r="BYW15" s="257"/>
      <c r="BYX15" s="257"/>
      <c r="BYY15" s="257"/>
      <c r="BYZ15" s="257"/>
      <c r="BZA15" s="257"/>
      <c r="BZB15" s="257"/>
      <c r="BZC15" s="257"/>
      <c r="BZD15" s="257"/>
      <c r="BZE15" s="257"/>
      <c r="BZF15" s="257"/>
      <c r="BZG15" s="257"/>
      <c r="BZH15" s="257"/>
      <c r="BZI15" s="257"/>
      <c r="BZJ15" s="257"/>
      <c r="BZK15" s="257"/>
      <c r="BZL15" s="257"/>
      <c r="BZM15" s="257"/>
      <c r="BZN15" s="257"/>
      <c r="BZO15" s="257"/>
      <c r="BZP15" s="257"/>
      <c r="BZQ15" s="257"/>
      <c r="BZR15" s="257"/>
      <c r="BZS15" s="257"/>
      <c r="BZT15" s="257"/>
      <c r="BZU15" s="257"/>
      <c r="BZV15" s="257"/>
      <c r="BZW15" s="257"/>
      <c r="BZX15" s="257"/>
      <c r="BZY15" s="257"/>
      <c r="BZZ15" s="257"/>
      <c r="CAA15" s="257"/>
      <c r="CAB15" s="257"/>
      <c r="CAC15" s="257"/>
      <c r="CAD15" s="257"/>
      <c r="CAE15" s="257"/>
      <c r="CAF15" s="257"/>
      <c r="CAG15" s="257"/>
      <c r="CAH15" s="257"/>
      <c r="CAI15" s="257"/>
      <c r="CAJ15" s="257"/>
      <c r="CAK15" s="257"/>
      <c r="CAL15" s="257"/>
      <c r="CAM15" s="257"/>
      <c r="CAN15" s="257"/>
      <c r="CAO15" s="257"/>
      <c r="CAP15" s="257"/>
      <c r="CAQ15" s="257"/>
      <c r="CAR15" s="257"/>
      <c r="CAS15" s="257"/>
      <c r="CAT15" s="257"/>
      <c r="CAU15" s="257"/>
      <c r="CAV15" s="257"/>
      <c r="CAW15" s="257"/>
      <c r="CAX15" s="257"/>
      <c r="CAY15" s="257"/>
      <c r="CAZ15" s="257"/>
      <c r="CBA15" s="257"/>
      <c r="CBB15" s="257"/>
      <c r="CBC15" s="257"/>
      <c r="CBD15" s="257"/>
      <c r="CBE15" s="257"/>
      <c r="CBF15" s="257"/>
      <c r="CBG15" s="257"/>
      <c r="CBH15" s="257"/>
      <c r="CBI15" s="257"/>
      <c r="CBJ15" s="257"/>
      <c r="CBK15" s="257"/>
      <c r="CBL15" s="257"/>
      <c r="CBM15" s="257"/>
      <c r="CBN15" s="257"/>
      <c r="CBO15" s="257"/>
      <c r="CBP15" s="257"/>
      <c r="CBQ15" s="257"/>
      <c r="CBR15" s="257"/>
      <c r="CBS15" s="257"/>
      <c r="CBT15" s="257"/>
      <c r="CBU15" s="257"/>
      <c r="CBV15" s="257"/>
      <c r="CBW15" s="257"/>
      <c r="CBX15" s="257"/>
      <c r="CBY15" s="257"/>
      <c r="CBZ15" s="257"/>
      <c r="CCA15" s="257"/>
      <c r="CCB15" s="257"/>
      <c r="CCC15" s="257"/>
      <c r="CCD15" s="257"/>
      <c r="CCE15" s="257"/>
      <c r="CCF15" s="257"/>
      <c r="CCG15" s="257"/>
      <c r="CCH15" s="257"/>
      <c r="CCI15" s="257"/>
      <c r="CCJ15" s="257"/>
      <c r="CCK15" s="257"/>
      <c r="CCL15" s="257"/>
      <c r="CCM15" s="257"/>
      <c r="CCN15" s="257"/>
      <c r="CCO15" s="257"/>
      <c r="CCP15" s="257"/>
      <c r="CCQ15" s="257"/>
      <c r="CCR15" s="257"/>
      <c r="CCS15" s="257"/>
      <c r="CCT15" s="257"/>
      <c r="CCU15" s="257"/>
      <c r="CCV15" s="257"/>
      <c r="CCW15" s="257"/>
      <c r="CCX15" s="257"/>
      <c r="CCY15" s="257"/>
      <c r="CCZ15" s="257"/>
      <c r="CDA15" s="257"/>
      <c r="CDB15" s="257"/>
      <c r="CDC15" s="257"/>
      <c r="CDD15" s="257"/>
      <c r="CDE15" s="257"/>
      <c r="CDF15" s="257"/>
      <c r="CDG15" s="257"/>
      <c r="CDH15" s="257"/>
      <c r="CDI15" s="257"/>
      <c r="CDJ15" s="257"/>
      <c r="CDK15" s="257"/>
      <c r="CDL15" s="257"/>
      <c r="CDM15" s="257"/>
      <c r="CDN15" s="257"/>
      <c r="CDO15" s="257"/>
      <c r="CDP15" s="257"/>
      <c r="CDQ15" s="257"/>
      <c r="CDR15" s="257"/>
      <c r="CDS15" s="257"/>
      <c r="CDT15" s="257"/>
      <c r="CDU15" s="257"/>
      <c r="CDV15" s="257"/>
      <c r="CDW15" s="257"/>
      <c r="CDX15" s="257"/>
      <c r="CDY15" s="257"/>
      <c r="CDZ15" s="257"/>
      <c r="CEA15" s="257"/>
      <c r="CEB15" s="257"/>
      <c r="CEC15" s="257"/>
      <c r="CED15" s="257"/>
      <c r="CEE15" s="257"/>
      <c r="CEF15" s="257"/>
      <c r="CEG15" s="257"/>
      <c r="CEH15" s="257"/>
      <c r="CEI15" s="257"/>
      <c r="CEJ15" s="257"/>
      <c r="CEK15" s="257"/>
      <c r="CEL15" s="257"/>
      <c r="CEM15" s="257"/>
      <c r="CEN15" s="257"/>
      <c r="CEO15" s="257"/>
      <c r="CEP15" s="257"/>
      <c r="CEQ15" s="257"/>
      <c r="CER15" s="257"/>
      <c r="CES15" s="257"/>
      <c r="CET15" s="257"/>
      <c r="CEU15" s="257"/>
      <c r="CEV15" s="257"/>
      <c r="CEW15" s="257"/>
      <c r="CEX15" s="257"/>
      <c r="CEY15" s="257"/>
      <c r="CEZ15" s="257"/>
      <c r="CFA15" s="257"/>
      <c r="CFB15" s="257"/>
      <c r="CFC15" s="257"/>
      <c r="CFD15" s="257"/>
      <c r="CFE15" s="257"/>
      <c r="CFF15" s="257"/>
      <c r="CFG15" s="257"/>
      <c r="CFH15" s="257"/>
      <c r="CFI15" s="257"/>
      <c r="CFJ15" s="257"/>
      <c r="CFK15" s="257"/>
      <c r="CFL15" s="257"/>
      <c r="CFM15" s="257"/>
      <c r="CFN15" s="257"/>
      <c r="CFO15" s="257"/>
      <c r="CFP15" s="257"/>
      <c r="CFQ15" s="257"/>
      <c r="CFR15" s="257"/>
      <c r="CFS15" s="257"/>
      <c r="CFT15" s="257"/>
      <c r="CFU15" s="257"/>
      <c r="CFV15" s="257"/>
      <c r="CFW15" s="257"/>
      <c r="CFX15" s="257"/>
      <c r="CFY15" s="257"/>
      <c r="CFZ15" s="257"/>
      <c r="CGA15" s="257"/>
      <c r="CGB15" s="257"/>
      <c r="CGC15" s="257"/>
      <c r="CGD15" s="257"/>
      <c r="CGE15" s="257"/>
      <c r="CGF15" s="257"/>
      <c r="CGG15" s="257"/>
      <c r="CGH15" s="257"/>
      <c r="CGI15" s="257"/>
      <c r="CGJ15" s="257"/>
      <c r="CGK15" s="257"/>
      <c r="CGL15" s="257"/>
      <c r="CGM15" s="257"/>
      <c r="CGN15" s="257"/>
      <c r="CGO15" s="257"/>
      <c r="CGP15" s="257"/>
      <c r="CGQ15" s="257"/>
      <c r="CGR15" s="257"/>
      <c r="CGS15" s="257"/>
      <c r="CGT15" s="257"/>
      <c r="CGU15" s="257"/>
      <c r="CGV15" s="257"/>
      <c r="CGW15" s="257"/>
      <c r="CGX15" s="257"/>
      <c r="CGY15" s="257"/>
      <c r="CGZ15" s="257"/>
      <c r="CHA15" s="257"/>
      <c r="CHB15" s="257"/>
      <c r="CHC15" s="257"/>
      <c r="CHD15" s="257"/>
      <c r="CHE15" s="257"/>
      <c r="CHF15" s="257"/>
      <c r="CHG15" s="257"/>
      <c r="CHH15" s="257"/>
      <c r="CHI15" s="257"/>
      <c r="CHJ15" s="257"/>
      <c r="CHK15" s="257"/>
      <c r="CHL15" s="257"/>
      <c r="CHM15" s="257"/>
      <c r="CHN15" s="257"/>
      <c r="CHO15" s="257"/>
      <c r="CHP15" s="257"/>
      <c r="CHQ15" s="257"/>
      <c r="CHR15" s="257"/>
      <c r="CHS15" s="257"/>
      <c r="CHT15" s="257"/>
      <c r="CHU15" s="257"/>
      <c r="CHV15" s="257"/>
      <c r="CHW15" s="257"/>
      <c r="CHX15" s="257"/>
      <c r="CHY15" s="257"/>
      <c r="CHZ15" s="257"/>
      <c r="CIA15" s="257"/>
      <c r="CIB15" s="257"/>
      <c r="CIC15" s="257"/>
      <c r="CID15" s="257"/>
      <c r="CIE15" s="257"/>
      <c r="CIF15" s="257"/>
      <c r="CIG15" s="257"/>
      <c r="CIH15" s="257"/>
      <c r="CII15" s="257"/>
      <c r="CIJ15" s="257"/>
      <c r="CIK15" s="257"/>
      <c r="CIL15" s="257"/>
      <c r="CIM15" s="257"/>
      <c r="CIN15" s="257"/>
      <c r="CIO15" s="257"/>
      <c r="CIP15" s="257"/>
      <c r="CIQ15" s="257"/>
      <c r="CIR15" s="257"/>
      <c r="CIS15" s="257"/>
      <c r="CIT15" s="257"/>
      <c r="CIU15" s="257"/>
      <c r="CIV15" s="257"/>
      <c r="CIW15" s="257"/>
      <c r="CIX15" s="257"/>
      <c r="CIY15" s="257"/>
      <c r="CIZ15" s="257"/>
      <c r="CJA15" s="257"/>
      <c r="CJB15" s="257"/>
      <c r="CJC15" s="257"/>
      <c r="CJD15" s="257"/>
      <c r="CJE15" s="257"/>
      <c r="CJF15" s="257"/>
      <c r="CJG15" s="257"/>
      <c r="CJH15" s="257"/>
      <c r="CJI15" s="257"/>
      <c r="CJJ15" s="257"/>
      <c r="CJK15" s="257"/>
      <c r="CJL15" s="257"/>
      <c r="CJM15" s="257"/>
      <c r="CJN15" s="257"/>
      <c r="CJO15" s="257"/>
      <c r="CJP15" s="257"/>
      <c r="CJQ15" s="257"/>
      <c r="CJR15" s="257"/>
      <c r="CJS15" s="257"/>
      <c r="CJT15" s="257"/>
      <c r="CJU15" s="257"/>
      <c r="CJV15" s="257"/>
      <c r="CJW15" s="257"/>
      <c r="CJX15" s="257"/>
      <c r="CJY15" s="257"/>
      <c r="CJZ15" s="257"/>
      <c r="CKA15" s="257"/>
      <c r="CKB15" s="257"/>
      <c r="CKC15" s="257"/>
      <c r="CKD15" s="257"/>
      <c r="CKE15" s="257"/>
      <c r="CKF15" s="257"/>
      <c r="CKG15" s="257"/>
      <c r="CKH15" s="257"/>
      <c r="CKI15" s="257"/>
      <c r="CKJ15" s="257"/>
      <c r="CKK15" s="257"/>
      <c r="CKL15" s="257"/>
      <c r="CKM15" s="257"/>
      <c r="CKN15" s="257"/>
      <c r="CKO15" s="257"/>
      <c r="CKP15" s="257"/>
      <c r="CKQ15" s="257"/>
      <c r="CKR15" s="257"/>
      <c r="CKS15" s="257"/>
      <c r="CKT15" s="257"/>
      <c r="CKU15" s="257"/>
      <c r="CKV15" s="257"/>
      <c r="CKW15" s="257"/>
      <c r="CKX15" s="257"/>
      <c r="CKY15" s="257"/>
      <c r="CKZ15" s="257"/>
      <c r="CLA15" s="257"/>
      <c r="CLB15" s="257"/>
      <c r="CLC15" s="257"/>
      <c r="CLD15" s="257"/>
      <c r="CLE15" s="257"/>
      <c r="CLF15" s="257"/>
      <c r="CLG15" s="257"/>
      <c r="CLH15" s="257"/>
      <c r="CLI15" s="257"/>
      <c r="CLJ15" s="257"/>
      <c r="CLK15" s="257"/>
      <c r="CLL15" s="257"/>
      <c r="CLM15" s="257"/>
      <c r="CLN15" s="257"/>
      <c r="CLO15" s="257"/>
      <c r="CLP15" s="257"/>
      <c r="CLQ15" s="257"/>
      <c r="CLR15" s="257"/>
      <c r="CLS15" s="257"/>
      <c r="CLT15" s="257"/>
      <c r="CLU15" s="257"/>
      <c r="CLV15" s="257"/>
      <c r="CLW15" s="257"/>
      <c r="CLX15" s="257"/>
      <c r="CLY15" s="257"/>
      <c r="CLZ15" s="257"/>
      <c r="CMA15" s="257"/>
      <c r="CMB15" s="257"/>
      <c r="CMC15" s="257"/>
      <c r="CMD15" s="257"/>
      <c r="CME15" s="257"/>
      <c r="CMF15" s="257"/>
      <c r="CMG15" s="257"/>
      <c r="CMH15" s="257"/>
      <c r="CMI15" s="257"/>
      <c r="CMJ15" s="257"/>
      <c r="CMK15" s="257"/>
      <c r="CML15" s="257"/>
      <c r="CMM15" s="257"/>
      <c r="CMN15" s="257"/>
      <c r="CMO15" s="257"/>
      <c r="CMP15" s="257"/>
      <c r="CMQ15" s="257"/>
      <c r="CMR15" s="257"/>
      <c r="CMS15" s="257"/>
      <c r="CMT15" s="257"/>
      <c r="CMU15" s="257"/>
      <c r="CMV15" s="257"/>
      <c r="CMW15" s="257"/>
      <c r="CMX15" s="257"/>
      <c r="CMY15" s="257"/>
      <c r="CMZ15" s="257"/>
      <c r="CNA15" s="257"/>
      <c r="CNB15" s="257"/>
      <c r="CNC15" s="257"/>
      <c r="CND15" s="257"/>
      <c r="CNE15" s="257"/>
      <c r="CNF15" s="257"/>
      <c r="CNG15" s="257"/>
      <c r="CNH15" s="257"/>
      <c r="CNI15" s="257"/>
      <c r="CNJ15" s="257"/>
      <c r="CNK15" s="257"/>
      <c r="CNL15" s="257"/>
      <c r="CNM15" s="257"/>
      <c r="CNN15" s="257"/>
      <c r="CNO15" s="257"/>
      <c r="CNP15" s="257"/>
      <c r="CNQ15" s="257"/>
      <c r="CNR15" s="257"/>
      <c r="CNS15" s="257"/>
      <c r="CNT15" s="257"/>
      <c r="CNU15" s="257"/>
      <c r="CNV15" s="257"/>
      <c r="CNW15" s="257"/>
      <c r="CNX15" s="257"/>
      <c r="CNY15" s="257"/>
      <c r="CNZ15" s="257"/>
      <c r="COA15" s="257"/>
      <c r="COB15" s="257"/>
      <c r="COC15" s="257"/>
      <c r="COD15" s="257"/>
      <c r="COE15" s="257"/>
      <c r="COF15" s="257"/>
      <c r="COG15" s="257"/>
      <c r="COH15" s="257"/>
      <c r="COI15" s="257"/>
      <c r="COJ15" s="257"/>
      <c r="COK15" s="257"/>
      <c r="COL15" s="257"/>
      <c r="COM15" s="257"/>
      <c r="CON15" s="257"/>
      <c r="COO15" s="257"/>
      <c r="COP15" s="257"/>
      <c r="COQ15" s="257"/>
      <c r="COR15" s="257"/>
      <c r="COS15" s="257"/>
      <c r="COT15" s="257"/>
      <c r="COU15" s="257"/>
      <c r="COV15" s="257"/>
      <c r="COW15" s="257"/>
      <c r="COX15" s="257"/>
      <c r="COY15" s="257"/>
      <c r="COZ15" s="257"/>
      <c r="CPA15" s="257"/>
      <c r="CPB15" s="257"/>
      <c r="CPC15" s="257"/>
      <c r="CPD15" s="257"/>
      <c r="CPE15" s="257"/>
      <c r="CPF15" s="257"/>
      <c r="CPG15" s="257"/>
      <c r="CPH15" s="257"/>
      <c r="CPI15" s="257"/>
      <c r="CPJ15" s="257"/>
      <c r="CPK15" s="257"/>
      <c r="CPL15" s="257"/>
      <c r="CPM15" s="257"/>
      <c r="CPN15" s="257"/>
      <c r="CPO15" s="257"/>
      <c r="CPP15" s="257"/>
      <c r="CPQ15" s="257"/>
      <c r="CPR15" s="257"/>
      <c r="CPS15" s="257"/>
      <c r="CPT15" s="257"/>
      <c r="CPU15" s="257"/>
      <c r="CPV15" s="257"/>
      <c r="CPW15" s="257"/>
      <c r="CPX15" s="257"/>
      <c r="CPY15" s="257"/>
      <c r="CPZ15" s="257"/>
      <c r="CQA15" s="257"/>
      <c r="CQB15" s="257"/>
      <c r="CQC15" s="257"/>
      <c r="CQD15" s="257"/>
      <c r="CQE15" s="257"/>
      <c r="CQF15" s="257"/>
      <c r="CQG15" s="257"/>
      <c r="CQH15" s="257"/>
      <c r="CQI15" s="257"/>
      <c r="CQJ15" s="257"/>
      <c r="CQK15" s="257"/>
      <c r="CQL15" s="257"/>
      <c r="CQM15" s="257"/>
      <c r="CQN15" s="257"/>
      <c r="CQO15" s="257"/>
      <c r="CQP15" s="257"/>
      <c r="CQQ15" s="257"/>
      <c r="CQR15" s="257"/>
      <c r="CQS15" s="257"/>
      <c r="CQT15" s="257"/>
      <c r="CQU15" s="257"/>
      <c r="CQV15" s="257"/>
      <c r="CQW15" s="257"/>
      <c r="CQX15" s="257"/>
      <c r="CQY15" s="257"/>
      <c r="CQZ15" s="257"/>
      <c r="CRA15" s="257"/>
      <c r="CRB15" s="257"/>
      <c r="CRC15" s="257"/>
      <c r="CRD15" s="257"/>
      <c r="CRE15" s="257"/>
      <c r="CRF15" s="257"/>
      <c r="CRG15" s="257"/>
      <c r="CRH15" s="257"/>
      <c r="CRI15" s="257"/>
      <c r="CRJ15" s="257"/>
      <c r="CRK15" s="257"/>
      <c r="CRL15" s="257"/>
      <c r="CRM15" s="257"/>
      <c r="CRN15" s="257"/>
      <c r="CRO15" s="257"/>
      <c r="CRP15" s="257"/>
      <c r="CRQ15" s="257"/>
      <c r="CRR15" s="257"/>
      <c r="CRS15" s="257"/>
      <c r="CRT15" s="257"/>
      <c r="CRU15" s="257"/>
      <c r="CRV15" s="257"/>
      <c r="CRW15" s="257"/>
      <c r="CRX15" s="257"/>
      <c r="CRY15" s="257"/>
      <c r="CRZ15" s="257"/>
      <c r="CSA15" s="257"/>
      <c r="CSB15" s="257"/>
      <c r="CSC15" s="257"/>
      <c r="CSD15" s="257"/>
      <c r="CSE15" s="257"/>
      <c r="CSF15" s="257"/>
      <c r="CSG15" s="257"/>
      <c r="CSH15" s="257"/>
      <c r="CSI15" s="257"/>
      <c r="CSJ15" s="257"/>
      <c r="CSK15" s="257"/>
      <c r="CSL15" s="257"/>
      <c r="CSM15" s="257"/>
      <c r="CSN15" s="257"/>
      <c r="CSO15" s="257"/>
      <c r="CSP15" s="257"/>
      <c r="CSQ15" s="257"/>
      <c r="CSR15" s="257"/>
      <c r="CSS15" s="257"/>
      <c r="CST15" s="257"/>
      <c r="CSU15" s="257"/>
      <c r="CSV15" s="257"/>
      <c r="CSW15" s="257"/>
      <c r="CSX15" s="257"/>
      <c r="CSY15" s="257"/>
      <c r="CSZ15" s="257"/>
      <c r="CTA15" s="257"/>
      <c r="CTB15" s="257"/>
      <c r="CTC15" s="257"/>
      <c r="CTD15" s="257"/>
      <c r="CTE15" s="257"/>
      <c r="CTF15" s="257"/>
      <c r="CTG15" s="257"/>
      <c r="CTH15" s="257"/>
      <c r="CTI15" s="257"/>
      <c r="CTJ15" s="257"/>
      <c r="CTK15" s="257"/>
      <c r="CTL15" s="257"/>
      <c r="CTM15" s="257"/>
      <c r="CTN15" s="257"/>
      <c r="CTO15" s="257"/>
      <c r="CTP15" s="257"/>
      <c r="CTQ15" s="257"/>
      <c r="CTR15" s="257"/>
      <c r="CTS15" s="257"/>
      <c r="CTT15" s="257"/>
      <c r="CTU15" s="257"/>
      <c r="CTV15" s="257"/>
      <c r="CTW15" s="257"/>
      <c r="CTX15" s="257"/>
      <c r="CTY15" s="257"/>
      <c r="CTZ15" s="257"/>
      <c r="CUA15" s="257"/>
      <c r="CUB15" s="257"/>
      <c r="CUC15" s="257"/>
      <c r="CUD15" s="257"/>
      <c r="CUE15" s="257"/>
      <c r="CUF15" s="257"/>
      <c r="CUG15" s="257"/>
      <c r="CUH15" s="257"/>
      <c r="CUI15" s="257"/>
      <c r="CUJ15" s="257"/>
      <c r="CUK15" s="257"/>
      <c r="CUL15" s="257"/>
      <c r="CUM15" s="257"/>
      <c r="CUN15" s="257"/>
      <c r="CUO15" s="257"/>
      <c r="CUP15" s="257"/>
      <c r="CUQ15" s="257"/>
      <c r="CUR15" s="257"/>
      <c r="CUS15" s="257"/>
      <c r="CUT15" s="257"/>
      <c r="CUU15" s="257"/>
      <c r="CUV15" s="257"/>
      <c r="CUW15" s="257"/>
      <c r="CUX15" s="257"/>
      <c r="CUY15" s="257"/>
      <c r="CUZ15" s="257"/>
      <c r="CVA15" s="257"/>
      <c r="CVB15" s="257"/>
      <c r="CVC15" s="257"/>
      <c r="CVD15" s="257"/>
      <c r="CVE15" s="257"/>
      <c r="CVF15" s="257"/>
      <c r="CVG15" s="257"/>
      <c r="CVH15" s="257"/>
      <c r="CVI15" s="257"/>
      <c r="CVJ15" s="257"/>
      <c r="CVK15" s="257"/>
      <c r="CVL15" s="257"/>
      <c r="CVM15" s="257"/>
      <c r="CVN15" s="257"/>
      <c r="CVO15" s="257"/>
      <c r="CVP15" s="257"/>
      <c r="CVQ15" s="257"/>
      <c r="CVR15" s="257"/>
      <c r="CVS15" s="257"/>
      <c r="CVT15" s="257"/>
      <c r="CVU15" s="257"/>
      <c r="CVV15" s="257"/>
      <c r="CVW15" s="257"/>
      <c r="CVX15" s="257"/>
      <c r="CVY15" s="257"/>
      <c r="CVZ15" s="257"/>
      <c r="CWA15" s="257"/>
      <c r="CWB15" s="257"/>
      <c r="CWC15" s="257"/>
      <c r="CWD15" s="257"/>
      <c r="CWE15" s="257"/>
      <c r="CWF15" s="257"/>
      <c r="CWG15" s="257"/>
      <c r="CWH15" s="257"/>
      <c r="CWI15" s="257"/>
      <c r="CWJ15" s="257"/>
      <c r="CWK15" s="257"/>
      <c r="CWL15" s="257"/>
      <c r="CWM15" s="257"/>
      <c r="CWN15" s="257"/>
      <c r="CWO15" s="257"/>
      <c r="CWP15" s="257"/>
      <c r="CWQ15" s="257"/>
      <c r="CWR15" s="257"/>
      <c r="CWS15" s="257"/>
      <c r="CWT15" s="257"/>
      <c r="CWU15" s="257"/>
      <c r="CWV15" s="257"/>
      <c r="CWW15" s="257"/>
      <c r="CWX15" s="257"/>
      <c r="CWY15" s="257"/>
      <c r="CWZ15" s="257"/>
      <c r="CXA15" s="257"/>
      <c r="CXB15" s="257"/>
      <c r="CXC15" s="257"/>
      <c r="CXD15" s="257"/>
      <c r="CXE15" s="257"/>
      <c r="CXF15" s="257"/>
      <c r="CXG15" s="257"/>
      <c r="CXH15" s="257"/>
      <c r="CXI15" s="257"/>
      <c r="CXJ15" s="257"/>
      <c r="CXK15" s="257"/>
      <c r="CXL15" s="257"/>
      <c r="CXM15" s="257"/>
      <c r="CXN15" s="257"/>
      <c r="CXO15" s="257"/>
      <c r="CXP15" s="257"/>
      <c r="CXQ15" s="257"/>
      <c r="CXR15" s="257"/>
      <c r="CXS15" s="257"/>
      <c r="CXT15" s="257"/>
      <c r="CXU15" s="257"/>
      <c r="CXV15" s="257"/>
      <c r="CXW15" s="257"/>
      <c r="CXX15" s="257"/>
      <c r="CXY15" s="257"/>
      <c r="CXZ15" s="257"/>
      <c r="CYA15" s="257"/>
      <c r="CYB15" s="257"/>
      <c r="CYC15" s="257"/>
      <c r="CYD15" s="257"/>
      <c r="CYE15" s="257"/>
      <c r="CYF15" s="257"/>
      <c r="CYG15" s="257"/>
      <c r="CYH15" s="257"/>
      <c r="CYI15" s="257"/>
      <c r="CYJ15" s="257"/>
      <c r="CYK15" s="257"/>
      <c r="CYL15" s="257"/>
      <c r="CYM15" s="257"/>
      <c r="CYN15" s="257"/>
      <c r="CYO15" s="257"/>
      <c r="CYP15" s="257"/>
      <c r="CYQ15" s="257"/>
      <c r="CYR15" s="257"/>
      <c r="CYS15" s="257"/>
      <c r="CYT15" s="257"/>
      <c r="CYU15" s="257"/>
      <c r="CYV15" s="257"/>
      <c r="CYW15" s="257"/>
      <c r="CYX15" s="257"/>
      <c r="CYY15" s="257"/>
      <c r="CYZ15" s="257"/>
      <c r="CZA15" s="257"/>
      <c r="CZB15" s="257"/>
      <c r="CZC15" s="257"/>
      <c r="CZD15" s="257"/>
      <c r="CZE15" s="257"/>
      <c r="CZF15" s="257"/>
      <c r="CZG15" s="257"/>
      <c r="CZH15" s="257"/>
      <c r="CZI15" s="257"/>
      <c r="CZJ15" s="257"/>
      <c r="CZK15" s="257"/>
      <c r="CZL15" s="257"/>
      <c r="CZM15" s="257"/>
      <c r="CZN15" s="257"/>
      <c r="CZO15" s="257"/>
      <c r="CZP15" s="257"/>
      <c r="CZQ15" s="257"/>
      <c r="CZR15" s="257"/>
      <c r="CZS15" s="257"/>
      <c r="CZT15" s="257"/>
      <c r="CZU15" s="257"/>
      <c r="CZV15" s="257"/>
      <c r="CZW15" s="257"/>
      <c r="CZX15" s="257"/>
      <c r="CZY15" s="257"/>
      <c r="CZZ15" s="257"/>
      <c r="DAA15" s="257"/>
      <c r="DAB15" s="257"/>
      <c r="DAC15" s="257"/>
      <c r="DAD15" s="257"/>
      <c r="DAE15" s="257"/>
      <c r="DAF15" s="257"/>
      <c r="DAG15" s="257"/>
      <c r="DAH15" s="257"/>
      <c r="DAI15" s="257"/>
      <c r="DAJ15" s="257"/>
      <c r="DAK15" s="257"/>
      <c r="DAL15" s="257"/>
      <c r="DAM15" s="257"/>
      <c r="DAN15" s="257"/>
      <c r="DAO15" s="257"/>
      <c r="DAP15" s="257"/>
      <c r="DAQ15" s="257"/>
      <c r="DAR15" s="257"/>
      <c r="DAS15" s="257"/>
      <c r="DAT15" s="257"/>
      <c r="DAU15" s="257"/>
      <c r="DAV15" s="257"/>
      <c r="DAW15" s="257"/>
      <c r="DAX15" s="257"/>
      <c r="DAY15" s="257"/>
      <c r="DAZ15" s="257"/>
      <c r="DBA15" s="257"/>
      <c r="DBB15" s="257"/>
      <c r="DBC15" s="257"/>
      <c r="DBD15" s="257"/>
      <c r="DBE15" s="257"/>
      <c r="DBF15" s="257"/>
      <c r="DBG15" s="257"/>
      <c r="DBH15" s="257"/>
      <c r="DBI15" s="257"/>
      <c r="DBJ15" s="257"/>
      <c r="DBK15" s="257"/>
      <c r="DBL15" s="257"/>
      <c r="DBM15" s="257"/>
      <c r="DBN15" s="257"/>
      <c r="DBO15" s="257"/>
      <c r="DBP15" s="257"/>
      <c r="DBQ15" s="257"/>
      <c r="DBR15" s="257"/>
      <c r="DBS15" s="257"/>
      <c r="DBT15" s="257"/>
      <c r="DBU15" s="257"/>
      <c r="DBV15" s="257"/>
      <c r="DBW15" s="257"/>
      <c r="DBX15" s="257"/>
      <c r="DBY15" s="257"/>
      <c r="DBZ15" s="257"/>
      <c r="DCA15" s="257"/>
      <c r="DCB15" s="257"/>
      <c r="DCC15" s="257"/>
      <c r="DCD15" s="257"/>
      <c r="DCE15" s="257"/>
      <c r="DCF15" s="257"/>
      <c r="DCG15" s="257"/>
      <c r="DCH15" s="257"/>
      <c r="DCI15" s="257"/>
      <c r="DCJ15" s="257"/>
      <c r="DCK15" s="257"/>
      <c r="DCL15" s="257"/>
      <c r="DCM15" s="257"/>
      <c r="DCN15" s="257"/>
      <c r="DCO15" s="257"/>
      <c r="DCP15" s="257"/>
      <c r="DCQ15" s="257"/>
      <c r="DCR15" s="257"/>
      <c r="DCS15" s="257"/>
      <c r="DCT15" s="257"/>
      <c r="DCU15" s="257"/>
      <c r="DCV15" s="257"/>
      <c r="DCW15" s="257"/>
      <c r="DCX15" s="257"/>
      <c r="DCY15" s="257"/>
      <c r="DCZ15" s="257"/>
      <c r="DDA15" s="257"/>
      <c r="DDB15" s="257"/>
      <c r="DDC15" s="257"/>
      <c r="DDD15" s="257"/>
      <c r="DDE15" s="257"/>
      <c r="DDF15" s="257"/>
      <c r="DDG15" s="257"/>
      <c r="DDH15" s="257"/>
      <c r="DDI15" s="257"/>
      <c r="DDJ15" s="257"/>
      <c r="DDK15" s="257"/>
      <c r="DDL15" s="257"/>
      <c r="DDM15" s="257"/>
      <c r="DDN15" s="257"/>
      <c r="DDO15" s="257"/>
      <c r="DDP15" s="257"/>
      <c r="DDQ15" s="257"/>
      <c r="DDR15" s="257"/>
      <c r="DDS15" s="257"/>
      <c r="DDT15" s="257"/>
      <c r="DDU15" s="257"/>
      <c r="DDV15" s="257"/>
      <c r="DDW15" s="257"/>
      <c r="DDX15" s="257"/>
      <c r="DDY15" s="257"/>
      <c r="DDZ15" s="257"/>
      <c r="DEA15" s="257"/>
      <c r="DEB15" s="257"/>
      <c r="DEC15" s="257"/>
      <c r="DED15" s="257"/>
      <c r="DEE15" s="257"/>
      <c r="DEF15" s="257"/>
      <c r="DEG15" s="257"/>
      <c r="DEH15" s="257"/>
      <c r="DEI15" s="257"/>
      <c r="DEJ15" s="257"/>
      <c r="DEK15" s="257"/>
      <c r="DEL15" s="257"/>
      <c r="DEM15" s="257"/>
      <c r="DEN15" s="257"/>
      <c r="DEO15" s="257"/>
      <c r="DEP15" s="257"/>
      <c r="DEQ15" s="257"/>
      <c r="DER15" s="257"/>
      <c r="DES15" s="257"/>
      <c r="DET15" s="257"/>
      <c r="DEU15" s="257"/>
      <c r="DEV15" s="257"/>
      <c r="DEW15" s="257"/>
      <c r="DEX15" s="257"/>
      <c r="DEY15" s="257"/>
      <c r="DEZ15" s="257"/>
      <c r="DFA15" s="257"/>
      <c r="DFB15" s="257"/>
      <c r="DFC15" s="257"/>
      <c r="DFD15" s="257"/>
      <c r="DFE15" s="257"/>
      <c r="DFF15" s="257"/>
      <c r="DFG15" s="257"/>
      <c r="DFH15" s="257"/>
      <c r="DFI15" s="257"/>
      <c r="DFJ15" s="257"/>
      <c r="DFK15" s="257"/>
      <c r="DFL15" s="257"/>
      <c r="DFM15" s="257"/>
      <c r="DFN15" s="257"/>
      <c r="DFO15" s="257"/>
      <c r="DFP15" s="257"/>
      <c r="DFQ15" s="257"/>
      <c r="DFR15" s="257"/>
      <c r="DFS15" s="257"/>
      <c r="DFT15" s="257"/>
      <c r="DFU15" s="257"/>
      <c r="DFV15" s="257"/>
      <c r="DFW15" s="257"/>
      <c r="DFX15" s="257"/>
      <c r="DFY15" s="257"/>
      <c r="DFZ15" s="257"/>
      <c r="DGA15" s="257"/>
      <c r="DGB15" s="257"/>
      <c r="DGC15" s="257"/>
      <c r="DGD15" s="257"/>
      <c r="DGE15" s="257"/>
      <c r="DGF15" s="257"/>
      <c r="DGG15" s="257"/>
      <c r="DGH15" s="257"/>
      <c r="DGI15" s="257"/>
      <c r="DGJ15" s="257"/>
      <c r="DGK15" s="257"/>
      <c r="DGL15" s="257"/>
      <c r="DGM15" s="257"/>
      <c r="DGN15" s="257"/>
      <c r="DGO15" s="257"/>
      <c r="DGP15" s="257"/>
      <c r="DGQ15" s="257"/>
      <c r="DGR15" s="257"/>
      <c r="DGS15" s="257"/>
      <c r="DGT15" s="257"/>
      <c r="DGU15" s="257"/>
      <c r="DGV15" s="257"/>
      <c r="DGW15" s="257"/>
      <c r="DGX15" s="257"/>
      <c r="DGY15" s="257"/>
      <c r="DGZ15" s="257"/>
      <c r="DHA15" s="257"/>
      <c r="DHB15" s="257"/>
      <c r="DHC15" s="257"/>
      <c r="DHD15" s="257"/>
      <c r="DHE15" s="257"/>
      <c r="DHF15" s="257"/>
      <c r="DHG15" s="257"/>
      <c r="DHH15" s="257"/>
      <c r="DHI15" s="257"/>
      <c r="DHJ15" s="257"/>
      <c r="DHK15" s="257"/>
      <c r="DHL15" s="257"/>
      <c r="DHM15" s="257"/>
      <c r="DHN15" s="257"/>
      <c r="DHO15" s="257"/>
      <c r="DHP15" s="257"/>
      <c r="DHQ15" s="257"/>
      <c r="DHR15" s="257"/>
      <c r="DHS15" s="257"/>
      <c r="DHT15" s="257"/>
      <c r="DHU15" s="257"/>
      <c r="DHV15" s="257"/>
      <c r="DHW15" s="257"/>
      <c r="DHX15" s="257"/>
      <c r="DHY15" s="257"/>
      <c r="DHZ15" s="257"/>
      <c r="DIA15" s="257"/>
      <c r="DIB15" s="257"/>
      <c r="DIC15" s="257"/>
      <c r="DID15" s="257"/>
      <c r="DIE15" s="257"/>
      <c r="DIF15" s="257"/>
      <c r="DIG15" s="257"/>
      <c r="DIH15" s="257"/>
      <c r="DII15" s="257"/>
      <c r="DIJ15" s="257"/>
      <c r="DIK15" s="257"/>
      <c r="DIL15" s="257"/>
      <c r="DIM15" s="257"/>
      <c r="DIN15" s="257"/>
      <c r="DIO15" s="257"/>
      <c r="DIP15" s="257"/>
      <c r="DIQ15" s="257"/>
      <c r="DIR15" s="257"/>
      <c r="DIS15" s="257"/>
      <c r="DIT15" s="257"/>
      <c r="DIU15" s="257"/>
      <c r="DIV15" s="257"/>
      <c r="DIW15" s="257"/>
      <c r="DIX15" s="257"/>
      <c r="DIY15" s="257"/>
      <c r="DIZ15" s="257"/>
      <c r="DJA15" s="257"/>
      <c r="DJB15" s="257"/>
      <c r="DJC15" s="257"/>
      <c r="DJD15" s="257"/>
      <c r="DJE15" s="257"/>
      <c r="DJF15" s="257"/>
      <c r="DJG15" s="257"/>
      <c r="DJH15" s="257"/>
      <c r="DJI15" s="257"/>
      <c r="DJJ15" s="257"/>
      <c r="DJK15" s="257"/>
      <c r="DJL15" s="257"/>
      <c r="DJM15" s="257"/>
      <c r="DJN15" s="257"/>
      <c r="DJO15" s="257"/>
      <c r="DJP15" s="257"/>
      <c r="DJQ15" s="257"/>
      <c r="DJR15" s="257"/>
      <c r="DJS15" s="257"/>
      <c r="DJT15" s="257"/>
      <c r="DJU15" s="257"/>
      <c r="DJV15" s="257"/>
      <c r="DJW15" s="257"/>
      <c r="DJX15" s="257"/>
      <c r="DJY15" s="257"/>
      <c r="DJZ15" s="257"/>
      <c r="DKA15" s="257"/>
      <c r="DKB15" s="257"/>
      <c r="DKC15" s="257"/>
      <c r="DKD15" s="257"/>
      <c r="DKE15" s="257"/>
      <c r="DKF15" s="257"/>
      <c r="DKG15" s="257"/>
      <c r="DKH15" s="257"/>
      <c r="DKI15" s="257"/>
      <c r="DKJ15" s="257"/>
      <c r="DKK15" s="257"/>
      <c r="DKL15" s="257"/>
      <c r="DKM15" s="257"/>
      <c r="DKN15" s="257"/>
      <c r="DKO15" s="257"/>
      <c r="DKP15" s="257"/>
      <c r="DKQ15" s="257"/>
      <c r="DKR15" s="257"/>
      <c r="DKS15" s="257"/>
      <c r="DKT15" s="257"/>
      <c r="DKU15" s="257"/>
      <c r="DKV15" s="257"/>
      <c r="DKW15" s="257"/>
      <c r="DKX15" s="257"/>
      <c r="DKY15" s="257"/>
      <c r="DKZ15" s="257"/>
      <c r="DLA15" s="257"/>
      <c r="DLB15" s="257"/>
      <c r="DLC15" s="257"/>
      <c r="DLD15" s="257"/>
      <c r="DLE15" s="257"/>
      <c r="DLF15" s="257"/>
      <c r="DLG15" s="257"/>
      <c r="DLH15" s="257"/>
      <c r="DLI15" s="257"/>
      <c r="DLJ15" s="257"/>
      <c r="DLK15" s="257"/>
      <c r="DLL15" s="257"/>
      <c r="DLM15" s="257"/>
      <c r="DLN15" s="257"/>
      <c r="DLO15" s="257"/>
      <c r="DLP15" s="257"/>
      <c r="DLQ15" s="257"/>
      <c r="DLR15" s="257"/>
      <c r="DLS15" s="257"/>
      <c r="DLT15" s="257"/>
      <c r="DLU15" s="257"/>
      <c r="DLV15" s="257"/>
      <c r="DLW15" s="257"/>
      <c r="DLX15" s="257"/>
      <c r="DLY15" s="257"/>
      <c r="DLZ15" s="257"/>
      <c r="DMA15" s="257"/>
      <c r="DMB15" s="257"/>
      <c r="DMC15" s="257"/>
      <c r="DMD15" s="257"/>
      <c r="DME15" s="257"/>
      <c r="DMF15" s="257"/>
      <c r="DMG15" s="257"/>
      <c r="DMH15" s="257"/>
      <c r="DMI15" s="257"/>
      <c r="DMJ15" s="257"/>
      <c r="DMK15" s="257"/>
      <c r="DML15" s="257"/>
      <c r="DMM15" s="257"/>
      <c r="DMN15" s="257"/>
      <c r="DMO15" s="257"/>
      <c r="DMP15" s="257"/>
      <c r="DMQ15" s="257"/>
      <c r="DMR15" s="257"/>
      <c r="DMS15" s="257"/>
      <c r="DMT15" s="257"/>
      <c r="DMU15" s="257"/>
      <c r="DMV15" s="257"/>
      <c r="DMW15" s="257"/>
      <c r="DMX15" s="257"/>
      <c r="DMY15" s="257"/>
      <c r="DMZ15" s="257"/>
      <c r="DNA15" s="257"/>
      <c r="DNB15" s="257"/>
      <c r="DNC15" s="257"/>
      <c r="DND15" s="257"/>
      <c r="DNE15" s="257"/>
      <c r="DNF15" s="257"/>
      <c r="DNG15" s="257"/>
      <c r="DNH15" s="257"/>
      <c r="DNI15" s="257"/>
      <c r="DNJ15" s="257"/>
      <c r="DNK15" s="257"/>
      <c r="DNL15" s="257"/>
      <c r="DNM15" s="257"/>
      <c r="DNN15" s="257"/>
      <c r="DNO15" s="257"/>
      <c r="DNP15" s="257"/>
      <c r="DNQ15" s="257"/>
      <c r="DNR15" s="257"/>
      <c r="DNS15" s="257"/>
      <c r="DNT15" s="257"/>
      <c r="DNU15" s="257"/>
      <c r="DNV15" s="257"/>
      <c r="DNW15" s="257"/>
      <c r="DNX15" s="257"/>
      <c r="DNY15" s="257"/>
      <c r="DNZ15" s="257"/>
      <c r="DOA15" s="257"/>
      <c r="DOB15" s="257"/>
      <c r="DOC15" s="257"/>
      <c r="DOD15" s="257"/>
      <c r="DOE15" s="257"/>
      <c r="DOF15" s="257"/>
      <c r="DOG15" s="257"/>
      <c r="DOH15" s="257"/>
      <c r="DOI15" s="257"/>
      <c r="DOJ15" s="257"/>
      <c r="DOK15" s="257"/>
      <c r="DOL15" s="257"/>
      <c r="DOM15" s="257"/>
      <c r="DON15" s="257"/>
      <c r="DOO15" s="257"/>
      <c r="DOP15" s="257"/>
      <c r="DOQ15" s="257"/>
      <c r="DOR15" s="257"/>
      <c r="DOS15" s="257"/>
      <c r="DOT15" s="257"/>
      <c r="DOU15" s="257"/>
      <c r="DOV15" s="257"/>
      <c r="DOW15" s="257"/>
      <c r="DOX15" s="257"/>
      <c r="DOY15" s="257"/>
      <c r="DOZ15" s="257"/>
      <c r="DPA15" s="257"/>
      <c r="DPB15" s="257"/>
      <c r="DPC15" s="257"/>
      <c r="DPD15" s="257"/>
      <c r="DPE15" s="257"/>
      <c r="DPF15" s="257"/>
      <c r="DPG15" s="257"/>
      <c r="DPH15" s="257"/>
      <c r="DPI15" s="257"/>
      <c r="DPJ15" s="257"/>
      <c r="DPK15" s="257"/>
      <c r="DPL15" s="257"/>
      <c r="DPM15" s="257"/>
      <c r="DPN15" s="257"/>
      <c r="DPO15" s="257"/>
      <c r="DPP15" s="257"/>
      <c r="DPQ15" s="257"/>
      <c r="DPR15" s="257"/>
      <c r="DPS15" s="257"/>
      <c r="DPT15" s="257"/>
      <c r="DPU15" s="257"/>
      <c r="DPV15" s="257"/>
      <c r="DPW15" s="257"/>
      <c r="DPX15" s="257"/>
      <c r="DPY15" s="257"/>
      <c r="DPZ15" s="257"/>
      <c r="DQA15" s="257"/>
      <c r="DQB15" s="257"/>
      <c r="DQC15" s="257"/>
      <c r="DQD15" s="257"/>
      <c r="DQE15" s="257"/>
      <c r="DQF15" s="257"/>
      <c r="DQG15" s="257"/>
      <c r="DQH15" s="257"/>
      <c r="DQI15" s="257"/>
      <c r="DQJ15" s="257"/>
      <c r="DQK15" s="257"/>
      <c r="DQL15" s="257"/>
      <c r="DQM15" s="257"/>
      <c r="DQN15" s="257"/>
      <c r="DQO15" s="257"/>
      <c r="DQP15" s="257"/>
      <c r="DQQ15" s="257"/>
      <c r="DQR15" s="257"/>
      <c r="DQS15" s="257"/>
      <c r="DQT15" s="257"/>
      <c r="DQU15" s="257"/>
      <c r="DQV15" s="257"/>
      <c r="DQW15" s="257"/>
      <c r="DQX15" s="257"/>
      <c r="DQY15" s="257"/>
      <c r="DQZ15" s="257"/>
      <c r="DRA15" s="257"/>
      <c r="DRB15" s="257"/>
      <c r="DRC15" s="257"/>
      <c r="DRD15" s="257"/>
      <c r="DRE15" s="257"/>
      <c r="DRF15" s="257"/>
      <c r="DRG15" s="257"/>
      <c r="DRH15" s="257"/>
      <c r="DRI15" s="257"/>
      <c r="DRJ15" s="257"/>
      <c r="DRK15" s="257"/>
      <c r="DRL15" s="257"/>
      <c r="DRM15" s="257"/>
      <c r="DRN15" s="257"/>
      <c r="DRO15" s="257"/>
      <c r="DRP15" s="257"/>
      <c r="DRQ15" s="257"/>
      <c r="DRR15" s="257"/>
      <c r="DRS15" s="257"/>
      <c r="DRT15" s="257"/>
      <c r="DRU15" s="257"/>
      <c r="DRV15" s="257"/>
      <c r="DRW15" s="257"/>
      <c r="DRX15" s="257"/>
      <c r="DRY15" s="257"/>
      <c r="DRZ15" s="257"/>
      <c r="DSA15" s="257"/>
      <c r="DSB15" s="257"/>
      <c r="DSC15" s="257"/>
      <c r="DSD15" s="257"/>
      <c r="DSE15" s="257"/>
      <c r="DSF15" s="257"/>
      <c r="DSG15" s="257"/>
      <c r="DSH15" s="257"/>
      <c r="DSI15" s="257"/>
      <c r="DSJ15" s="257"/>
      <c r="DSK15" s="257"/>
      <c r="DSL15" s="257"/>
      <c r="DSM15" s="257"/>
      <c r="DSN15" s="257"/>
      <c r="DSO15" s="257"/>
      <c r="DSP15" s="257"/>
      <c r="DSQ15" s="257"/>
      <c r="DSR15" s="257"/>
      <c r="DSS15" s="257"/>
      <c r="DST15" s="257"/>
      <c r="DSU15" s="257"/>
      <c r="DSV15" s="257"/>
      <c r="DSW15" s="257"/>
      <c r="DSX15" s="257"/>
      <c r="DSY15" s="257"/>
      <c r="DSZ15" s="257"/>
      <c r="DTA15" s="257"/>
      <c r="DTB15" s="257"/>
      <c r="DTC15" s="257"/>
      <c r="DTD15" s="257"/>
      <c r="DTE15" s="257"/>
      <c r="DTF15" s="257"/>
      <c r="DTG15" s="257"/>
      <c r="DTH15" s="257"/>
      <c r="DTI15" s="257"/>
      <c r="DTJ15" s="257"/>
      <c r="DTK15" s="257"/>
      <c r="DTL15" s="257"/>
      <c r="DTM15" s="257"/>
      <c r="DTN15" s="257"/>
      <c r="DTO15" s="257"/>
      <c r="DTP15" s="257"/>
      <c r="DTQ15" s="257"/>
      <c r="DTR15" s="257"/>
      <c r="DTS15" s="257"/>
      <c r="DTT15" s="257"/>
      <c r="DTU15" s="257"/>
      <c r="DTV15" s="257"/>
      <c r="DTW15" s="257"/>
      <c r="DTX15" s="257"/>
      <c r="DTY15" s="257"/>
      <c r="DTZ15" s="257"/>
      <c r="DUA15" s="257"/>
      <c r="DUB15" s="257"/>
      <c r="DUC15" s="257"/>
      <c r="DUD15" s="257"/>
      <c r="DUE15" s="257"/>
      <c r="DUF15" s="257"/>
      <c r="DUG15" s="257"/>
      <c r="DUH15" s="257"/>
      <c r="DUI15" s="257"/>
      <c r="DUJ15" s="257"/>
      <c r="DUK15" s="257"/>
      <c r="DUL15" s="257"/>
      <c r="DUM15" s="257"/>
      <c r="DUN15" s="257"/>
      <c r="DUO15" s="257"/>
      <c r="DUP15" s="257"/>
      <c r="DUQ15" s="257"/>
      <c r="DUR15" s="257"/>
      <c r="DUS15" s="257"/>
      <c r="DUT15" s="257"/>
      <c r="DUU15" s="257"/>
      <c r="DUV15" s="257"/>
      <c r="DUW15" s="257"/>
      <c r="DUX15" s="257"/>
      <c r="DUY15" s="257"/>
      <c r="DUZ15" s="257"/>
      <c r="DVA15" s="257"/>
      <c r="DVB15" s="257"/>
      <c r="DVC15" s="257"/>
      <c r="DVD15" s="257"/>
      <c r="DVE15" s="257"/>
      <c r="DVF15" s="257"/>
      <c r="DVG15" s="257"/>
      <c r="DVH15" s="257"/>
      <c r="DVI15" s="257"/>
      <c r="DVJ15" s="257"/>
      <c r="DVK15" s="257"/>
      <c r="DVL15" s="257"/>
      <c r="DVM15" s="257"/>
      <c r="DVN15" s="257"/>
      <c r="DVO15" s="257"/>
      <c r="DVP15" s="257"/>
      <c r="DVQ15" s="257"/>
      <c r="DVR15" s="257"/>
      <c r="DVS15" s="257"/>
      <c r="DVT15" s="257"/>
      <c r="DVU15" s="257"/>
      <c r="DVV15" s="257"/>
      <c r="DVW15" s="257"/>
      <c r="DVX15" s="257"/>
      <c r="DVY15" s="257"/>
      <c r="DVZ15" s="257"/>
      <c r="DWA15" s="257"/>
      <c r="DWB15" s="257"/>
      <c r="DWC15" s="257"/>
      <c r="DWD15" s="257"/>
      <c r="DWE15" s="257"/>
      <c r="DWF15" s="257"/>
      <c r="DWG15" s="257"/>
      <c r="DWH15" s="257"/>
      <c r="DWI15" s="257"/>
      <c r="DWJ15" s="257"/>
      <c r="DWK15" s="257"/>
      <c r="DWL15" s="257"/>
      <c r="DWM15" s="257"/>
      <c r="DWN15" s="257"/>
      <c r="DWO15" s="257"/>
      <c r="DWP15" s="257"/>
      <c r="DWQ15" s="257"/>
      <c r="DWR15" s="257"/>
      <c r="DWS15" s="257"/>
      <c r="DWT15" s="257"/>
      <c r="DWU15" s="257"/>
      <c r="DWV15" s="257"/>
      <c r="DWW15" s="257"/>
      <c r="DWX15" s="257"/>
      <c r="DWY15" s="257"/>
      <c r="DWZ15" s="257"/>
      <c r="DXA15" s="257"/>
      <c r="DXB15" s="257"/>
      <c r="DXC15" s="257"/>
      <c r="DXD15" s="257"/>
      <c r="DXE15" s="257"/>
      <c r="DXF15" s="257"/>
      <c r="DXG15" s="257"/>
      <c r="DXH15" s="257"/>
      <c r="DXI15" s="257"/>
      <c r="DXJ15" s="257"/>
      <c r="DXK15" s="257"/>
      <c r="DXL15" s="257"/>
      <c r="DXM15" s="257"/>
      <c r="DXN15" s="257"/>
      <c r="DXO15" s="257"/>
      <c r="DXP15" s="257"/>
      <c r="DXQ15" s="257"/>
      <c r="DXR15" s="257"/>
      <c r="DXS15" s="257"/>
      <c r="DXT15" s="257"/>
      <c r="DXU15" s="257"/>
      <c r="DXV15" s="257"/>
      <c r="DXW15" s="257"/>
      <c r="DXX15" s="257"/>
      <c r="DXY15" s="257"/>
      <c r="DXZ15" s="257"/>
      <c r="DYA15" s="257"/>
      <c r="DYB15" s="257"/>
      <c r="DYC15" s="257"/>
      <c r="DYD15" s="257"/>
      <c r="DYE15" s="257"/>
      <c r="DYF15" s="257"/>
      <c r="DYG15" s="257"/>
      <c r="DYH15" s="257"/>
      <c r="DYI15" s="257"/>
      <c r="DYJ15" s="257"/>
      <c r="DYK15" s="257"/>
      <c r="DYL15" s="257"/>
      <c r="DYM15" s="257"/>
      <c r="DYN15" s="257"/>
      <c r="DYO15" s="257"/>
      <c r="DYP15" s="257"/>
      <c r="DYQ15" s="257"/>
      <c r="DYR15" s="257"/>
      <c r="DYS15" s="257"/>
      <c r="DYT15" s="257"/>
      <c r="DYU15" s="257"/>
      <c r="DYV15" s="257"/>
      <c r="DYW15" s="257"/>
      <c r="DYX15" s="257"/>
      <c r="DYY15" s="257"/>
      <c r="DYZ15" s="257"/>
      <c r="DZA15" s="257"/>
      <c r="DZB15" s="257"/>
      <c r="DZC15" s="257"/>
      <c r="DZD15" s="257"/>
      <c r="DZE15" s="257"/>
      <c r="DZF15" s="257"/>
      <c r="DZG15" s="257"/>
      <c r="DZH15" s="257"/>
      <c r="DZI15" s="257"/>
      <c r="DZJ15" s="257"/>
      <c r="DZK15" s="257"/>
      <c r="DZL15" s="257"/>
      <c r="DZM15" s="257"/>
      <c r="DZN15" s="257"/>
      <c r="DZO15" s="257"/>
      <c r="DZP15" s="257"/>
      <c r="DZQ15" s="257"/>
      <c r="DZR15" s="257"/>
      <c r="DZS15" s="257"/>
      <c r="DZT15" s="257"/>
      <c r="DZU15" s="257"/>
      <c r="DZV15" s="257"/>
      <c r="DZW15" s="257"/>
      <c r="DZX15" s="257"/>
      <c r="DZY15" s="257"/>
      <c r="DZZ15" s="257"/>
      <c r="EAA15" s="257"/>
      <c r="EAB15" s="257"/>
      <c r="EAC15" s="257"/>
      <c r="EAD15" s="257"/>
      <c r="EAE15" s="257"/>
      <c r="EAF15" s="257"/>
      <c r="EAG15" s="257"/>
      <c r="EAH15" s="257"/>
      <c r="EAI15" s="257"/>
      <c r="EAJ15" s="257"/>
      <c r="EAK15" s="257"/>
      <c r="EAL15" s="257"/>
      <c r="EAM15" s="257"/>
      <c r="EAN15" s="257"/>
      <c r="EAO15" s="257"/>
      <c r="EAP15" s="257"/>
      <c r="EAQ15" s="257"/>
      <c r="EAR15" s="257"/>
      <c r="EAS15" s="257"/>
      <c r="EAT15" s="257"/>
      <c r="EAU15" s="257"/>
      <c r="EAV15" s="257"/>
      <c r="EAW15" s="257"/>
      <c r="EAX15" s="257"/>
      <c r="EAY15" s="257"/>
      <c r="EAZ15" s="257"/>
      <c r="EBA15" s="257"/>
      <c r="EBB15" s="257"/>
      <c r="EBC15" s="257"/>
      <c r="EBD15" s="257"/>
      <c r="EBE15" s="257"/>
      <c r="EBF15" s="257"/>
      <c r="EBG15" s="257"/>
      <c r="EBH15" s="257"/>
      <c r="EBI15" s="257"/>
      <c r="EBJ15" s="257"/>
      <c r="EBK15" s="257"/>
      <c r="EBL15" s="257"/>
      <c r="EBM15" s="257"/>
      <c r="EBN15" s="257"/>
      <c r="EBO15" s="257"/>
      <c r="EBP15" s="257"/>
      <c r="EBQ15" s="257"/>
      <c r="EBR15" s="257"/>
      <c r="EBS15" s="257"/>
      <c r="EBT15" s="257"/>
      <c r="EBU15" s="257"/>
      <c r="EBV15" s="257"/>
      <c r="EBW15" s="257"/>
      <c r="EBX15" s="257"/>
      <c r="EBY15" s="257"/>
      <c r="EBZ15" s="257"/>
      <c r="ECA15" s="257"/>
      <c r="ECB15" s="257"/>
      <c r="ECC15" s="257"/>
      <c r="ECD15" s="257"/>
      <c r="ECE15" s="257"/>
      <c r="ECF15" s="257"/>
      <c r="ECG15" s="257"/>
      <c r="ECH15" s="257"/>
      <c r="ECI15" s="257"/>
      <c r="ECJ15" s="257"/>
      <c r="ECK15" s="257"/>
      <c r="ECL15" s="257"/>
      <c r="ECM15" s="257"/>
      <c r="ECN15" s="257"/>
      <c r="ECO15" s="257"/>
      <c r="ECP15" s="257"/>
      <c r="ECQ15" s="257"/>
      <c r="ECR15" s="257"/>
      <c r="ECS15" s="257"/>
      <c r="ECT15" s="257"/>
      <c r="ECU15" s="257"/>
      <c r="ECV15" s="257"/>
      <c r="ECW15" s="257"/>
      <c r="ECX15" s="257"/>
      <c r="ECY15" s="257"/>
      <c r="ECZ15" s="257"/>
      <c r="EDA15" s="257"/>
      <c r="EDB15" s="257"/>
      <c r="EDC15" s="257"/>
      <c r="EDD15" s="257"/>
      <c r="EDE15" s="257"/>
      <c r="EDF15" s="257"/>
      <c r="EDG15" s="257"/>
      <c r="EDH15" s="257"/>
      <c r="EDI15" s="257"/>
      <c r="EDJ15" s="257"/>
      <c r="EDK15" s="257"/>
      <c r="EDL15" s="257"/>
      <c r="EDM15" s="257"/>
      <c r="EDN15" s="257"/>
      <c r="EDO15" s="257"/>
      <c r="EDP15" s="257"/>
      <c r="EDQ15" s="257"/>
      <c r="EDR15" s="257"/>
      <c r="EDS15" s="257"/>
      <c r="EDT15" s="257"/>
      <c r="EDU15" s="257"/>
      <c r="EDV15" s="257"/>
      <c r="EDW15" s="257"/>
      <c r="EDX15" s="257"/>
      <c r="EDY15" s="257"/>
      <c r="EDZ15" s="257"/>
      <c r="EEA15" s="257"/>
      <c r="EEB15" s="257"/>
      <c r="EEC15" s="257"/>
      <c r="EED15" s="257"/>
      <c r="EEE15" s="257"/>
      <c r="EEF15" s="257"/>
      <c r="EEG15" s="257"/>
      <c r="EEH15" s="257"/>
      <c r="EEI15" s="257"/>
      <c r="EEJ15" s="257"/>
      <c r="EEK15" s="257"/>
      <c r="EEL15" s="257"/>
      <c r="EEM15" s="257"/>
      <c r="EEN15" s="257"/>
      <c r="EEO15" s="257"/>
      <c r="EEP15" s="257"/>
      <c r="EEQ15" s="257"/>
      <c r="EER15" s="257"/>
      <c r="EES15" s="257"/>
      <c r="EET15" s="257"/>
      <c r="EEU15" s="257"/>
      <c r="EEV15" s="257"/>
      <c r="EEW15" s="257"/>
      <c r="EEX15" s="257"/>
      <c r="EEY15" s="257"/>
      <c r="EEZ15" s="257"/>
      <c r="EFA15" s="257"/>
      <c r="EFB15" s="257"/>
      <c r="EFC15" s="257"/>
      <c r="EFD15" s="257"/>
      <c r="EFE15" s="257"/>
      <c r="EFF15" s="257"/>
      <c r="EFG15" s="257"/>
      <c r="EFH15" s="257"/>
      <c r="EFI15" s="257"/>
      <c r="EFJ15" s="257"/>
      <c r="EFK15" s="257"/>
      <c r="EFL15" s="257"/>
      <c r="EFM15" s="257"/>
      <c r="EFN15" s="257"/>
      <c r="EFO15" s="257"/>
      <c r="EFP15" s="257"/>
      <c r="EFQ15" s="257"/>
      <c r="EFR15" s="257"/>
      <c r="EFS15" s="257"/>
      <c r="EFT15" s="257"/>
      <c r="EFU15" s="257"/>
      <c r="EFV15" s="257"/>
      <c r="EFW15" s="257"/>
      <c r="EFX15" s="257"/>
      <c r="EFY15" s="257"/>
      <c r="EFZ15" s="257"/>
      <c r="EGA15" s="257"/>
      <c r="EGB15" s="257"/>
      <c r="EGC15" s="257"/>
      <c r="EGD15" s="257"/>
      <c r="EGE15" s="257"/>
      <c r="EGF15" s="257"/>
      <c r="EGG15" s="257"/>
      <c r="EGH15" s="257"/>
      <c r="EGI15" s="257"/>
      <c r="EGJ15" s="257"/>
      <c r="EGK15" s="257"/>
      <c r="EGL15" s="257"/>
      <c r="EGM15" s="257"/>
      <c r="EGN15" s="257"/>
      <c r="EGO15" s="257"/>
      <c r="EGP15" s="257"/>
      <c r="EGQ15" s="257"/>
      <c r="EGR15" s="257"/>
      <c r="EGS15" s="257"/>
      <c r="EGT15" s="257"/>
      <c r="EGU15" s="257"/>
      <c r="EGV15" s="257"/>
      <c r="EGW15" s="257"/>
      <c r="EGX15" s="257"/>
      <c r="EGY15" s="257"/>
      <c r="EGZ15" s="257"/>
      <c r="EHA15" s="257"/>
      <c r="EHB15" s="257"/>
      <c r="EHC15" s="257"/>
      <c r="EHD15" s="257"/>
      <c r="EHE15" s="257"/>
      <c r="EHF15" s="257"/>
      <c r="EHG15" s="257"/>
      <c r="EHH15" s="257"/>
      <c r="EHI15" s="257"/>
      <c r="EHJ15" s="257"/>
      <c r="EHK15" s="257"/>
      <c r="EHL15" s="257"/>
      <c r="EHM15" s="257"/>
      <c r="EHN15" s="257"/>
      <c r="EHO15" s="257"/>
      <c r="EHP15" s="257"/>
      <c r="EHQ15" s="257"/>
      <c r="EHR15" s="257"/>
      <c r="EHS15" s="257"/>
      <c r="EHT15" s="257"/>
      <c r="EHU15" s="257"/>
      <c r="EHV15" s="257"/>
      <c r="EHW15" s="257"/>
      <c r="EHX15" s="257"/>
      <c r="EHY15" s="257"/>
      <c r="EHZ15" s="257"/>
      <c r="EIA15" s="257"/>
      <c r="EIB15" s="257"/>
      <c r="EIC15" s="257"/>
      <c r="EID15" s="257"/>
      <c r="EIE15" s="257"/>
      <c r="EIF15" s="257"/>
      <c r="EIG15" s="257"/>
      <c r="EIH15" s="257"/>
      <c r="EII15" s="257"/>
      <c r="EIJ15" s="257"/>
      <c r="EIK15" s="257"/>
      <c r="EIL15" s="257"/>
      <c r="EIM15" s="257"/>
      <c r="EIN15" s="257"/>
      <c r="EIO15" s="257"/>
      <c r="EIP15" s="257"/>
      <c r="EIQ15" s="257"/>
      <c r="EIR15" s="257"/>
      <c r="EIS15" s="257"/>
      <c r="EIT15" s="257"/>
      <c r="EIU15" s="257"/>
      <c r="EIV15" s="257"/>
      <c r="EIW15" s="257"/>
      <c r="EIX15" s="257"/>
      <c r="EIY15" s="257"/>
      <c r="EIZ15" s="257"/>
      <c r="EJA15" s="257"/>
      <c r="EJB15" s="257"/>
      <c r="EJC15" s="257"/>
      <c r="EJD15" s="257"/>
      <c r="EJE15" s="257"/>
      <c r="EJF15" s="257"/>
      <c r="EJG15" s="257"/>
      <c r="EJH15" s="257"/>
      <c r="EJI15" s="257"/>
      <c r="EJJ15" s="257"/>
      <c r="EJK15" s="257"/>
      <c r="EJL15" s="257"/>
      <c r="EJM15" s="257"/>
      <c r="EJN15" s="257"/>
      <c r="EJO15" s="257"/>
      <c r="EJP15" s="257"/>
      <c r="EJQ15" s="257"/>
      <c r="EJR15" s="257"/>
      <c r="EJS15" s="257"/>
      <c r="EJT15" s="257"/>
      <c r="EJU15" s="257"/>
      <c r="EJV15" s="257"/>
      <c r="EJW15" s="257"/>
      <c r="EJX15" s="257"/>
      <c r="EJY15" s="257"/>
      <c r="EJZ15" s="257"/>
      <c r="EKA15" s="257"/>
      <c r="EKB15" s="257"/>
      <c r="EKC15" s="257"/>
      <c r="EKD15" s="257"/>
      <c r="EKE15" s="257"/>
      <c r="EKF15" s="257"/>
      <c r="EKG15" s="257"/>
      <c r="EKH15" s="257"/>
      <c r="EKI15" s="257"/>
      <c r="EKJ15" s="257"/>
      <c r="EKK15" s="257"/>
      <c r="EKL15" s="257"/>
      <c r="EKM15" s="257"/>
      <c r="EKN15" s="257"/>
      <c r="EKO15" s="257"/>
      <c r="EKP15" s="257"/>
      <c r="EKQ15" s="257"/>
      <c r="EKR15" s="257"/>
      <c r="EKS15" s="257"/>
      <c r="EKT15" s="257"/>
      <c r="EKU15" s="257"/>
      <c r="EKV15" s="257"/>
      <c r="EKW15" s="257"/>
      <c r="EKX15" s="257"/>
      <c r="EKY15" s="257"/>
      <c r="EKZ15" s="257"/>
      <c r="ELA15" s="257"/>
      <c r="ELB15" s="257"/>
      <c r="ELC15" s="257"/>
      <c r="ELD15" s="257"/>
      <c r="ELE15" s="257"/>
      <c r="ELF15" s="257"/>
      <c r="ELG15" s="257"/>
      <c r="ELH15" s="257"/>
      <c r="ELI15" s="257"/>
      <c r="ELJ15" s="257"/>
      <c r="ELK15" s="257"/>
      <c r="ELL15" s="257"/>
      <c r="ELM15" s="257"/>
      <c r="ELN15" s="257"/>
      <c r="ELO15" s="257"/>
      <c r="ELP15" s="257"/>
      <c r="ELQ15" s="257"/>
      <c r="ELR15" s="257"/>
      <c r="ELS15" s="257"/>
      <c r="ELT15" s="257"/>
      <c r="ELU15" s="257"/>
      <c r="ELV15" s="257"/>
      <c r="ELW15" s="257"/>
      <c r="ELX15" s="257"/>
      <c r="ELY15" s="257"/>
      <c r="ELZ15" s="257"/>
      <c r="EMA15" s="257"/>
      <c r="EMB15" s="257"/>
      <c r="EMC15" s="257"/>
      <c r="EMD15" s="257"/>
      <c r="EME15" s="257"/>
      <c r="EMF15" s="257"/>
      <c r="EMG15" s="257"/>
      <c r="EMH15" s="257"/>
      <c r="EMI15" s="257"/>
      <c r="EMJ15" s="257"/>
      <c r="EMK15" s="257"/>
      <c r="EML15" s="257"/>
      <c r="EMM15" s="257"/>
      <c r="EMN15" s="257"/>
      <c r="EMO15" s="257"/>
      <c r="EMP15" s="257"/>
      <c r="EMQ15" s="257"/>
      <c r="EMR15" s="257"/>
      <c r="EMS15" s="257"/>
      <c r="EMT15" s="257"/>
      <c r="EMU15" s="257"/>
      <c r="EMV15" s="257"/>
      <c r="EMW15" s="257"/>
      <c r="EMX15" s="257"/>
      <c r="EMY15" s="257"/>
      <c r="EMZ15" s="257"/>
      <c r="ENA15" s="257"/>
      <c r="ENB15" s="257"/>
      <c r="ENC15" s="257"/>
      <c r="END15" s="257"/>
      <c r="ENE15" s="257"/>
      <c r="ENF15" s="257"/>
      <c r="ENG15" s="257"/>
      <c r="ENH15" s="257"/>
      <c r="ENI15" s="257"/>
      <c r="ENJ15" s="257"/>
      <c r="ENK15" s="257"/>
      <c r="ENL15" s="257"/>
      <c r="ENM15" s="257"/>
      <c r="ENN15" s="257"/>
      <c r="ENO15" s="257"/>
      <c r="ENP15" s="257"/>
      <c r="ENQ15" s="257"/>
      <c r="ENR15" s="257"/>
      <c r="ENS15" s="257"/>
      <c r="ENT15" s="257"/>
      <c r="ENU15" s="257"/>
      <c r="ENV15" s="257"/>
      <c r="ENW15" s="257"/>
      <c r="ENX15" s="257"/>
      <c r="ENY15" s="257"/>
      <c r="ENZ15" s="257"/>
      <c r="EOA15" s="257"/>
      <c r="EOB15" s="257"/>
      <c r="EOC15" s="257"/>
      <c r="EOD15" s="257"/>
      <c r="EOE15" s="257"/>
      <c r="EOF15" s="257"/>
      <c r="EOG15" s="257"/>
      <c r="EOH15" s="257"/>
      <c r="EOI15" s="257"/>
      <c r="EOJ15" s="257"/>
      <c r="EOK15" s="257"/>
      <c r="EOL15" s="257"/>
      <c r="EOM15" s="257"/>
      <c r="EON15" s="257"/>
      <c r="EOO15" s="257"/>
      <c r="EOP15" s="257"/>
      <c r="EOQ15" s="257"/>
      <c r="EOR15" s="257"/>
      <c r="EOS15" s="257"/>
      <c r="EOT15" s="257"/>
      <c r="EOU15" s="257"/>
      <c r="EOV15" s="257"/>
      <c r="EOW15" s="257"/>
      <c r="EOX15" s="257"/>
      <c r="EOY15" s="257"/>
      <c r="EOZ15" s="257"/>
      <c r="EPA15" s="257"/>
      <c r="EPB15" s="257"/>
      <c r="EPC15" s="257"/>
      <c r="EPD15" s="257"/>
      <c r="EPE15" s="257"/>
      <c r="EPF15" s="257"/>
      <c r="EPG15" s="257"/>
      <c r="EPH15" s="257"/>
      <c r="EPI15" s="257"/>
      <c r="EPJ15" s="257"/>
      <c r="EPK15" s="257"/>
      <c r="EPL15" s="257"/>
      <c r="EPM15" s="257"/>
      <c r="EPN15" s="257"/>
      <c r="EPO15" s="257"/>
      <c r="EPP15" s="257"/>
      <c r="EPQ15" s="257"/>
      <c r="EPR15" s="257"/>
      <c r="EPS15" s="257"/>
      <c r="EPT15" s="257"/>
      <c r="EPU15" s="257"/>
      <c r="EPV15" s="257"/>
      <c r="EPW15" s="257"/>
      <c r="EPX15" s="257"/>
      <c r="EPY15" s="257"/>
      <c r="EPZ15" s="257"/>
      <c r="EQA15" s="257"/>
      <c r="EQB15" s="257"/>
      <c r="EQC15" s="257"/>
      <c r="EQD15" s="257"/>
      <c r="EQE15" s="257"/>
      <c r="EQF15" s="257"/>
      <c r="EQG15" s="257"/>
      <c r="EQH15" s="257"/>
      <c r="EQI15" s="257"/>
      <c r="EQJ15" s="257"/>
      <c r="EQK15" s="257"/>
      <c r="EQL15" s="257"/>
      <c r="EQM15" s="257"/>
      <c r="EQN15" s="257"/>
      <c r="EQO15" s="257"/>
      <c r="EQP15" s="257"/>
      <c r="EQQ15" s="257"/>
      <c r="EQR15" s="257"/>
      <c r="EQS15" s="257"/>
      <c r="EQT15" s="257"/>
      <c r="EQU15" s="257"/>
      <c r="EQV15" s="257"/>
      <c r="EQW15" s="257"/>
      <c r="EQX15" s="257"/>
      <c r="EQY15" s="257"/>
      <c r="EQZ15" s="257"/>
      <c r="ERA15" s="257"/>
      <c r="ERB15" s="257"/>
      <c r="ERC15" s="257"/>
      <c r="ERD15" s="257"/>
      <c r="ERE15" s="257"/>
      <c r="ERF15" s="257"/>
      <c r="ERG15" s="257"/>
      <c r="ERH15" s="257"/>
      <c r="ERI15" s="257"/>
      <c r="ERJ15" s="257"/>
      <c r="ERK15" s="257"/>
      <c r="ERL15" s="257"/>
      <c r="ERM15" s="257"/>
      <c r="ERN15" s="257"/>
      <c r="ERO15" s="257"/>
      <c r="ERP15" s="257"/>
      <c r="ERQ15" s="257"/>
      <c r="ERR15" s="257"/>
      <c r="ERS15" s="257"/>
      <c r="ERT15" s="257"/>
      <c r="ERU15" s="257"/>
      <c r="ERV15" s="257"/>
      <c r="ERW15" s="257"/>
      <c r="ERX15" s="257"/>
      <c r="ERY15" s="257"/>
      <c r="ERZ15" s="257"/>
      <c r="ESA15" s="257"/>
      <c r="ESB15" s="257"/>
      <c r="ESC15" s="257"/>
      <c r="ESD15" s="257"/>
      <c r="ESE15" s="257"/>
      <c r="ESF15" s="257"/>
      <c r="ESG15" s="257"/>
      <c r="ESH15" s="257"/>
      <c r="ESI15" s="257"/>
      <c r="ESJ15" s="257"/>
      <c r="ESK15" s="257"/>
      <c r="ESL15" s="257"/>
      <c r="ESM15" s="257"/>
      <c r="ESN15" s="257"/>
      <c r="ESO15" s="257"/>
      <c r="ESP15" s="257"/>
      <c r="ESQ15" s="257"/>
      <c r="ESR15" s="257"/>
      <c r="ESS15" s="257"/>
      <c r="EST15" s="257"/>
      <c r="ESU15" s="257"/>
      <c r="ESV15" s="257"/>
      <c r="ESW15" s="257"/>
      <c r="ESX15" s="257"/>
      <c r="ESY15" s="257"/>
      <c r="ESZ15" s="257"/>
      <c r="ETA15" s="257"/>
      <c r="ETB15" s="257"/>
      <c r="ETC15" s="257"/>
      <c r="ETD15" s="257"/>
      <c r="ETE15" s="257"/>
      <c r="ETF15" s="257"/>
      <c r="ETG15" s="257"/>
      <c r="ETH15" s="257"/>
      <c r="ETI15" s="257"/>
      <c r="ETJ15" s="257"/>
      <c r="ETK15" s="257"/>
      <c r="ETL15" s="257"/>
      <c r="ETM15" s="257"/>
      <c r="ETN15" s="257"/>
      <c r="ETO15" s="257"/>
      <c r="ETP15" s="257"/>
      <c r="ETQ15" s="257"/>
      <c r="ETR15" s="257"/>
      <c r="ETS15" s="257"/>
      <c r="ETT15" s="257"/>
      <c r="ETU15" s="257"/>
      <c r="ETV15" s="257"/>
      <c r="ETW15" s="257"/>
      <c r="ETX15" s="257"/>
      <c r="ETY15" s="257"/>
      <c r="ETZ15" s="257"/>
      <c r="EUA15" s="257"/>
      <c r="EUB15" s="257"/>
      <c r="EUC15" s="257"/>
      <c r="EUD15" s="257"/>
      <c r="EUE15" s="257"/>
      <c r="EUF15" s="257"/>
      <c r="EUG15" s="257"/>
      <c r="EUH15" s="257"/>
      <c r="EUI15" s="257"/>
      <c r="EUJ15" s="257"/>
      <c r="EUK15" s="257"/>
      <c r="EUL15" s="257"/>
      <c r="EUM15" s="257"/>
      <c r="EUN15" s="257"/>
      <c r="EUO15" s="257"/>
      <c r="EUP15" s="257"/>
      <c r="EUQ15" s="257"/>
      <c r="EUR15" s="257"/>
      <c r="EUS15" s="257"/>
      <c r="EUT15" s="257"/>
      <c r="EUU15" s="257"/>
      <c r="EUV15" s="257"/>
      <c r="EUW15" s="257"/>
      <c r="EUX15" s="257"/>
      <c r="EUY15" s="257"/>
      <c r="EUZ15" s="257"/>
      <c r="EVA15" s="257"/>
      <c r="EVB15" s="257"/>
      <c r="EVC15" s="257"/>
      <c r="EVD15" s="257"/>
      <c r="EVE15" s="257"/>
      <c r="EVF15" s="257"/>
      <c r="EVG15" s="257"/>
      <c r="EVH15" s="257"/>
      <c r="EVI15" s="257"/>
      <c r="EVJ15" s="257"/>
      <c r="EVK15" s="257"/>
      <c r="EVL15" s="257"/>
      <c r="EVM15" s="257"/>
      <c r="EVN15" s="257"/>
      <c r="EVO15" s="257"/>
      <c r="EVP15" s="257"/>
      <c r="EVQ15" s="257"/>
      <c r="EVR15" s="257"/>
      <c r="EVS15" s="257"/>
      <c r="EVT15" s="257"/>
      <c r="EVU15" s="257"/>
      <c r="EVV15" s="257"/>
      <c r="EVW15" s="257"/>
      <c r="EVX15" s="257"/>
      <c r="EVY15" s="257"/>
      <c r="EVZ15" s="257"/>
      <c r="EWA15" s="257"/>
      <c r="EWB15" s="257"/>
      <c r="EWC15" s="257"/>
      <c r="EWD15" s="257"/>
      <c r="EWE15" s="257"/>
      <c r="EWF15" s="257"/>
      <c r="EWG15" s="257"/>
      <c r="EWH15" s="257"/>
      <c r="EWI15" s="257"/>
      <c r="EWJ15" s="257"/>
      <c r="EWK15" s="257"/>
      <c r="EWL15" s="257"/>
      <c r="EWM15" s="257"/>
      <c r="EWN15" s="257"/>
      <c r="EWO15" s="257"/>
      <c r="EWP15" s="257"/>
      <c r="EWQ15" s="257"/>
      <c r="EWR15" s="257"/>
      <c r="EWS15" s="257"/>
      <c r="EWT15" s="257"/>
      <c r="EWU15" s="257"/>
      <c r="EWV15" s="257"/>
      <c r="EWW15" s="257"/>
      <c r="EWX15" s="257"/>
      <c r="EWY15" s="257"/>
      <c r="EWZ15" s="257"/>
      <c r="EXA15" s="257"/>
      <c r="EXB15" s="257"/>
      <c r="EXC15" s="257"/>
      <c r="EXD15" s="257"/>
      <c r="EXE15" s="257"/>
      <c r="EXF15" s="257"/>
      <c r="EXG15" s="257"/>
      <c r="EXH15" s="257"/>
      <c r="EXI15" s="257"/>
      <c r="EXJ15" s="257"/>
      <c r="EXK15" s="257"/>
      <c r="EXL15" s="257"/>
      <c r="EXM15" s="257"/>
      <c r="EXN15" s="257"/>
      <c r="EXO15" s="257"/>
      <c r="EXP15" s="257"/>
      <c r="EXQ15" s="257"/>
      <c r="EXR15" s="257"/>
      <c r="EXS15" s="257"/>
      <c r="EXT15" s="257"/>
      <c r="EXU15" s="257"/>
      <c r="EXV15" s="257"/>
      <c r="EXW15" s="257"/>
      <c r="EXX15" s="257"/>
      <c r="EXY15" s="257"/>
      <c r="EXZ15" s="257"/>
      <c r="EYA15" s="257"/>
      <c r="EYB15" s="257"/>
      <c r="EYC15" s="257"/>
      <c r="EYD15" s="257"/>
      <c r="EYE15" s="257"/>
      <c r="EYF15" s="257"/>
      <c r="EYG15" s="257"/>
      <c r="EYH15" s="257"/>
      <c r="EYI15" s="257"/>
      <c r="EYJ15" s="257"/>
      <c r="EYK15" s="257"/>
      <c r="EYL15" s="257"/>
      <c r="EYM15" s="257"/>
      <c r="EYN15" s="257"/>
      <c r="EYO15" s="257"/>
      <c r="EYP15" s="257"/>
      <c r="EYQ15" s="257"/>
      <c r="EYR15" s="257"/>
      <c r="EYS15" s="257"/>
      <c r="EYT15" s="257"/>
      <c r="EYU15" s="257"/>
      <c r="EYV15" s="257"/>
      <c r="EYW15" s="257"/>
      <c r="EYX15" s="257"/>
      <c r="EYY15" s="257"/>
      <c r="EYZ15" s="257"/>
      <c r="EZA15" s="257"/>
      <c r="EZB15" s="257"/>
      <c r="EZC15" s="257"/>
      <c r="EZD15" s="257"/>
      <c r="EZE15" s="257"/>
      <c r="EZF15" s="257"/>
      <c r="EZG15" s="257"/>
      <c r="EZH15" s="257"/>
      <c r="EZI15" s="257"/>
      <c r="EZJ15" s="257"/>
      <c r="EZK15" s="257"/>
      <c r="EZL15" s="257"/>
      <c r="EZM15" s="257"/>
      <c r="EZN15" s="257"/>
      <c r="EZO15" s="257"/>
      <c r="EZP15" s="257"/>
      <c r="EZQ15" s="257"/>
      <c r="EZR15" s="257"/>
      <c r="EZS15" s="257"/>
      <c r="EZT15" s="257"/>
      <c r="EZU15" s="257"/>
      <c r="EZV15" s="257"/>
      <c r="EZW15" s="257"/>
      <c r="EZX15" s="257"/>
      <c r="EZY15" s="257"/>
      <c r="EZZ15" s="257"/>
      <c r="FAA15" s="257"/>
      <c r="FAB15" s="257"/>
      <c r="FAC15" s="257"/>
      <c r="FAD15" s="257"/>
      <c r="FAE15" s="257"/>
      <c r="FAF15" s="257"/>
      <c r="FAG15" s="257"/>
      <c r="FAH15" s="257"/>
      <c r="FAI15" s="257"/>
      <c r="FAJ15" s="257"/>
      <c r="FAK15" s="257"/>
      <c r="FAL15" s="257"/>
      <c r="FAM15" s="257"/>
      <c r="FAN15" s="257"/>
      <c r="FAO15" s="257"/>
      <c r="FAP15" s="257"/>
      <c r="FAQ15" s="257"/>
      <c r="FAR15" s="257"/>
      <c r="FAS15" s="257"/>
      <c r="FAT15" s="257"/>
      <c r="FAU15" s="257"/>
      <c r="FAV15" s="257"/>
      <c r="FAW15" s="257"/>
      <c r="FAX15" s="257"/>
      <c r="FAY15" s="257"/>
      <c r="FAZ15" s="257"/>
      <c r="FBA15" s="257"/>
      <c r="FBB15" s="257"/>
      <c r="FBC15" s="257"/>
      <c r="FBD15" s="257"/>
      <c r="FBE15" s="257"/>
      <c r="FBF15" s="257"/>
      <c r="FBG15" s="257"/>
      <c r="FBH15" s="257"/>
      <c r="FBI15" s="257"/>
      <c r="FBJ15" s="257"/>
      <c r="FBK15" s="257"/>
      <c r="FBL15" s="257"/>
      <c r="FBM15" s="257"/>
      <c r="FBN15" s="257"/>
      <c r="FBO15" s="257"/>
      <c r="FBP15" s="257"/>
      <c r="FBQ15" s="257"/>
      <c r="FBR15" s="257"/>
      <c r="FBS15" s="257"/>
      <c r="FBT15" s="257"/>
      <c r="FBU15" s="257"/>
      <c r="FBV15" s="257"/>
      <c r="FBW15" s="257"/>
      <c r="FBX15" s="257"/>
      <c r="FBY15" s="257"/>
      <c r="FBZ15" s="257"/>
      <c r="FCA15" s="257"/>
      <c r="FCB15" s="257"/>
      <c r="FCC15" s="257"/>
      <c r="FCD15" s="257"/>
      <c r="FCE15" s="257"/>
      <c r="FCF15" s="257"/>
      <c r="FCG15" s="257"/>
      <c r="FCH15" s="257"/>
      <c r="FCI15" s="257"/>
      <c r="FCJ15" s="257"/>
      <c r="FCK15" s="257"/>
      <c r="FCL15" s="257"/>
      <c r="FCM15" s="257"/>
      <c r="FCN15" s="257"/>
      <c r="FCO15" s="257"/>
      <c r="FCP15" s="257"/>
      <c r="FCQ15" s="257"/>
      <c r="FCR15" s="257"/>
      <c r="FCS15" s="257"/>
      <c r="FCT15" s="257"/>
      <c r="FCU15" s="257"/>
      <c r="FCV15" s="257"/>
      <c r="FCW15" s="257"/>
      <c r="FCX15" s="257"/>
      <c r="FCY15" s="257"/>
      <c r="FCZ15" s="257"/>
      <c r="FDA15" s="257"/>
      <c r="FDB15" s="257"/>
      <c r="FDC15" s="257"/>
      <c r="FDD15" s="257"/>
      <c r="FDE15" s="257"/>
      <c r="FDF15" s="257"/>
      <c r="FDG15" s="257"/>
      <c r="FDH15" s="257"/>
      <c r="FDI15" s="257"/>
      <c r="FDJ15" s="257"/>
      <c r="FDK15" s="257"/>
      <c r="FDL15" s="257"/>
      <c r="FDM15" s="257"/>
      <c r="FDN15" s="257"/>
      <c r="FDO15" s="257"/>
      <c r="FDP15" s="257"/>
      <c r="FDQ15" s="257"/>
      <c r="FDR15" s="257"/>
      <c r="FDS15" s="257"/>
      <c r="FDT15" s="257"/>
      <c r="FDU15" s="257"/>
      <c r="FDV15" s="257"/>
      <c r="FDW15" s="257"/>
      <c r="FDX15" s="257"/>
      <c r="FDY15" s="257"/>
      <c r="FDZ15" s="257"/>
      <c r="FEA15" s="257"/>
      <c r="FEB15" s="257"/>
      <c r="FEC15" s="257"/>
      <c r="FED15" s="257"/>
      <c r="FEE15" s="257"/>
      <c r="FEF15" s="257"/>
      <c r="FEG15" s="257"/>
      <c r="FEH15" s="257"/>
      <c r="FEI15" s="257"/>
      <c r="FEJ15" s="257"/>
      <c r="FEK15" s="257"/>
      <c r="FEL15" s="257"/>
      <c r="FEM15" s="257"/>
      <c r="FEN15" s="257"/>
      <c r="FEO15" s="257"/>
      <c r="FEP15" s="257"/>
      <c r="FEQ15" s="257"/>
      <c r="FER15" s="257"/>
      <c r="FES15" s="257"/>
      <c r="FET15" s="257"/>
      <c r="FEU15" s="257"/>
      <c r="FEV15" s="257"/>
      <c r="FEW15" s="257"/>
      <c r="FEX15" s="257"/>
      <c r="FEY15" s="257"/>
      <c r="FEZ15" s="257"/>
      <c r="FFA15" s="257"/>
      <c r="FFB15" s="257"/>
      <c r="FFC15" s="257"/>
      <c r="FFD15" s="257"/>
      <c r="FFE15" s="257"/>
      <c r="FFF15" s="257"/>
      <c r="FFG15" s="257"/>
      <c r="FFH15" s="257"/>
      <c r="FFI15" s="257"/>
      <c r="FFJ15" s="257"/>
      <c r="FFK15" s="257"/>
      <c r="FFL15" s="257"/>
      <c r="FFM15" s="257"/>
      <c r="FFN15" s="257"/>
      <c r="FFO15" s="257"/>
      <c r="FFP15" s="257"/>
      <c r="FFQ15" s="257"/>
      <c r="FFR15" s="257"/>
      <c r="FFS15" s="257"/>
      <c r="FFT15" s="257"/>
      <c r="FFU15" s="257"/>
      <c r="FFV15" s="257"/>
      <c r="FFW15" s="257"/>
      <c r="FFX15" s="257"/>
      <c r="FFY15" s="257"/>
      <c r="FFZ15" s="257"/>
      <c r="FGA15" s="257"/>
      <c r="FGB15" s="257"/>
      <c r="FGC15" s="257"/>
      <c r="FGD15" s="257"/>
      <c r="FGE15" s="257"/>
      <c r="FGF15" s="257"/>
      <c r="FGG15" s="257"/>
      <c r="FGH15" s="257"/>
      <c r="FGI15" s="257"/>
      <c r="FGJ15" s="257"/>
      <c r="FGK15" s="257"/>
      <c r="FGL15" s="257"/>
      <c r="FGM15" s="257"/>
      <c r="FGN15" s="257"/>
      <c r="FGO15" s="257"/>
      <c r="FGP15" s="257"/>
      <c r="FGQ15" s="257"/>
      <c r="FGR15" s="257"/>
      <c r="FGS15" s="257"/>
      <c r="FGT15" s="257"/>
      <c r="FGU15" s="257"/>
      <c r="FGV15" s="257"/>
      <c r="FGW15" s="257"/>
      <c r="FGX15" s="257"/>
      <c r="FGY15" s="257"/>
      <c r="FGZ15" s="257"/>
      <c r="FHA15" s="257"/>
      <c r="FHB15" s="257"/>
      <c r="FHC15" s="257"/>
      <c r="FHD15" s="257"/>
      <c r="FHE15" s="257"/>
      <c r="FHF15" s="257"/>
      <c r="FHG15" s="257"/>
      <c r="FHH15" s="257"/>
      <c r="FHI15" s="257"/>
      <c r="FHJ15" s="257"/>
      <c r="FHK15" s="257"/>
      <c r="FHL15" s="257"/>
      <c r="FHM15" s="257"/>
      <c r="FHN15" s="257"/>
      <c r="FHO15" s="257"/>
      <c r="FHP15" s="257"/>
      <c r="FHQ15" s="257"/>
      <c r="FHR15" s="257"/>
      <c r="FHS15" s="257"/>
      <c r="FHT15" s="257"/>
      <c r="FHU15" s="257"/>
      <c r="FHV15" s="257"/>
      <c r="FHW15" s="257"/>
      <c r="FHX15" s="257"/>
      <c r="FHY15" s="257"/>
      <c r="FHZ15" s="257"/>
      <c r="FIA15" s="257"/>
      <c r="FIB15" s="257"/>
      <c r="FIC15" s="257"/>
      <c r="FID15" s="257"/>
      <c r="FIE15" s="257"/>
      <c r="FIF15" s="257"/>
      <c r="FIG15" s="257"/>
      <c r="FIH15" s="257"/>
      <c r="FII15" s="257"/>
      <c r="FIJ15" s="257"/>
      <c r="FIK15" s="257"/>
      <c r="FIL15" s="257"/>
      <c r="FIM15" s="257"/>
      <c r="FIN15" s="257"/>
      <c r="FIO15" s="257"/>
      <c r="FIP15" s="257"/>
      <c r="FIQ15" s="257"/>
      <c r="FIR15" s="257"/>
      <c r="FIS15" s="257"/>
      <c r="FIT15" s="257"/>
      <c r="FIU15" s="257"/>
      <c r="FIV15" s="257"/>
      <c r="FIW15" s="257"/>
      <c r="FIX15" s="257"/>
      <c r="FIY15" s="257"/>
      <c r="FIZ15" s="257"/>
      <c r="FJA15" s="257"/>
      <c r="FJB15" s="257"/>
      <c r="FJC15" s="257"/>
      <c r="FJD15" s="257"/>
      <c r="FJE15" s="257"/>
      <c r="FJF15" s="257"/>
      <c r="FJG15" s="257"/>
      <c r="FJH15" s="257"/>
      <c r="FJI15" s="257"/>
      <c r="FJJ15" s="257"/>
      <c r="FJK15" s="257"/>
      <c r="FJL15" s="257"/>
      <c r="FJM15" s="257"/>
      <c r="FJN15" s="257"/>
      <c r="FJO15" s="257"/>
      <c r="FJP15" s="257"/>
      <c r="FJQ15" s="257"/>
      <c r="FJR15" s="257"/>
      <c r="FJS15" s="257"/>
      <c r="FJT15" s="257"/>
      <c r="FJU15" s="257"/>
      <c r="FJV15" s="257"/>
      <c r="FJW15" s="257"/>
      <c r="FJX15" s="257"/>
      <c r="FJY15" s="257"/>
      <c r="FJZ15" s="257"/>
      <c r="FKA15" s="257"/>
      <c r="FKB15" s="257"/>
      <c r="FKC15" s="257"/>
      <c r="FKD15" s="257"/>
      <c r="FKE15" s="257"/>
      <c r="FKF15" s="257"/>
      <c r="FKG15" s="257"/>
      <c r="FKH15" s="257"/>
      <c r="FKI15" s="257"/>
      <c r="FKJ15" s="257"/>
      <c r="FKK15" s="257"/>
      <c r="FKL15" s="257"/>
      <c r="FKM15" s="257"/>
      <c r="FKN15" s="257"/>
      <c r="FKO15" s="257"/>
      <c r="FKP15" s="257"/>
      <c r="FKQ15" s="257"/>
      <c r="FKR15" s="257"/>
      <c r="FKS15" s="257"/>
      <c r="FKT15" s="257"/>
      <c r="FKU15" s="257"/>
      <c r="FKV15" s="257"/>
      <c r="FKW15" s="257"/>
      <c r="FKX15" s="257"/>
      <c r="FKY15" s="257"/>
      <c r="FKZ15" s="257"/>
      <c r="FLA15" s="257"/>
      <c r="FLB15" s="257"/>
      <c r="FLC15" s="257"/>
      <c r="FLD15" s="257"/>
      <c r="FLE15" s="257"/>
      <c r="FLF15" s="257"/>
      <c r="FLG15" s="257"/>
      <c r="FLH15" s="257"/>
      <c r="FLI15" s="257"/>
      <c r="FLJ15" s="257"/>
      <c r="FLK15" s="257"/>
      <c r="FLL15" s="257"/>
      <c r="FLM15" s="257"/>
      <c r="FLN15" s="257"/>
      <c r="FLO15" s="257"/>
      <c r="FLP15" s="257"/>
      <c r="FLQ15" s="257"/>
      <c r="FLR15" s="257"/>
      <c r="FLS15" s="257"/>
      <c r="FLT15" s="257"/>
      <c r="FLU15" s="257"/>
      <c r="FLV15" s="257"/>
      <c r="FLW15" s="257"/>
      <c r="FLX15" s="257"/>
      <c r="FLY15" s="257"/>
      <c r="FLZ15" s="257"/>
      <c r="FMA15" s="257"/>
      <c r="FMB15" s="257"/>
      <c r="FMC15" s="257"/>
      <c r="FMD15" s="257"/>
      <c r="FME15" s="257"/>
      <c r="FMF15" s="257"/>
      <c r="FMG15" s="257"/>
      <c r="FMH15" s="257"/>
      <c r="FMI15" s="257"/>
      <c r="FMJ15" s="257"/>
      <c r="FMK15" s="257"/>
      <c r="FML15" s="257"/>
      <c r="FMM15" s="257"/>
      <c r="FMN15" s="257"/>
      <c r="FMO15" s="257"/>
      <c r="FMP15" s="257"/>
      <c r="FMQ15" s="257"/>
      <c r="FMR15" s="257"/>
      <c r="FMS15" s="257"/>
      <c r="FMT15" s="257"/>
      <c r="FMU15" s="257"/>
      <c r="FMV15" s="257"/>
      <c r="FMW15" s="257"/>
      <c r="FMX15" s="257"/>
      <c r="FMY15" s="257"/>
      <c r="FMZ15" s="257"/>
      <c r="FNA15" s="257"/>
      <c r="FNB15" s="257"/>
      <c r="FNC15" s="257"/>
      <c r="FND15" s="257"/>
      <c r="FNE15" s="257"/>
      <c r="FNF15" s="257"/>
      <c r="FNG15" s="257"/>
      <c r="FNH15" s="257"/>
      <c r="FNI15" s="257"/>
      <c r="FNJ15" s="257"/>
      <c r="FNK15" s="257"/>
      <c r="FNL15" s="257"/>
      <c r="FNM15" s="257"/>
      <c r="FNN15" s="257"/>
      <c r="FNO15" s="257"/>
      <c r="FNP15" s="257"/>
      <c r="FNQ15" s="257"/>
      <c r="FNR15" s="257"/>
      <c r="FNS15" s="257"/>
      <c r="FNT15" s="257"/>
      <c r="FNU15" s="257"/>
      <c r="FNV15" s="257"/>
      <c r="FNW15" s="257"/>
      <c r="FNX15" s="257"/>
      <c r="FNY15" s="257"/>
      <c r="FNZ15" s="257"/>
      <c r="FOA15" s="257"/>
      <c r="FOB15" s="257"/>
      <c r="FOC15" s="257"/>
      <c r="FOD15" s="257"/>
      <c r="FOE15" s="257"/>
      <c r="FOF15" s="257"/>
      <c r="FOG15" s="257"/>
      <c r="FOH15" s="257"/>
      <c r="FOI15" s="257"/>
      <c r="FOJ15" s="257"/>
      <c r="FOK15" s="257"/>
      <c r="FOL15" s="257"/>
      <c r="FOM15" s="257"/>
      <c r="FON15" s="257"/>
      <c r="FOO15" s="257"/>
      <c r="FOP15" s="257"/>
      <c r="FOQ15" s="257"/>
      <c r="FOR15" s="257"/>
      <c r="FOS15" s="257"/>
      <c r="FOT15" s="257"/>
      <c r="FOU15" s="257"/>
      <c r="FOV15" s="257"/>
      <c r="FOW15" s="257"/>
      <c r="FOX15" s="257"/>
      <c r="FOY15" s="257"/>
      <c r="FOZ15" s="257"/>
      <c r="FPA15" s="257"/>
      <c r="FPB15" s="257"/>
      <c r="FPC15" s="257"/>
      <c r="FPD15" s="257"/>
      <c r="FPE15" s="257"/>
      <c r="FPF15" s="257"/>
      <c r="FPG15" s="257"/>
      <c r="FPH15" s="257"/>
      <c r="FPI15" s="257"/>
      <c r="FPJ15" s="257"/>
      <c r="FPK15" s="257"/>
      <c r="FPL15" s="257"/>
      <c r="FPM15" s="257"/>
      <c r="FPN15" s="257"/>
      <c r="FPO15" s="257"/>
      <c r="FPP15" s="257"/>
      <c r="FPQ15" s="257"/>
      <c r="FPR15" s="257"/>
      <c r="FPS15" s="257"/>
      <c r="FPT15" s="257"/>
      <c r="FPU15" s="257"/>
      <c r="FPV15" s="257"/>
      <c r="FPW15" s="257"/>
      <c r="FPX15" s="257"/>
      <c r="FPY15" s="257"/>
      <c r="FPZ15" s="257"/>
      <c r="FQA15" s="257"/>
      <c r="FQB15" s="257"/>
      <c r="FQC15" s="257"/>
      <c r="FQD15" s="257"/>
      <c r="FQE15" s="257"/>
      <c r="FQF15" s="257"/>
      <c r="FQG15" s="257"/>
      <c r="FQH15" s="257"/>
      <c r="FQI15" s="257"/>
      <c r="FQJ15" s="257"/>
      <c r="FQK15" s="257"/>
      <c r="FQL15" s="257"/>
      <c r="FQM15" s="257"/>
      <c r="FQN15" s="257"/>
      <c r="FQO15" s="257"/>
      <c r="FQP15" s="257"/>
      <c r="FQQ15" s="257"/>
      <c r="FQR15" s="257"/>
      <c r="FQS15" s="257"/>
      <c r="FQT15" s="257"/>
      <c r="FQU15" s="257"/>
      <c r="FQV15" s="257"/>
      <c r="FQW15" s="257"/>
      <c r="FQX15" s="257"/>
      <c r="FQY15" s="257"/>
      <c r="FQZ15" s="257"/>
      <c r="FRA15" s="257"/>
      <c r="FRB15" s="257"/>
      <c r="FRC15" s="257"/>
      <c r="FRD15" s="257"/>
      <c r="FRE15" s="257"/>
      <c r="FRF15" s="257"/>
      <c r="FRG15" s="257"/>
      <c r="FRH15" s="257"/>
      <c r="FRI15" s="257"/>
      <c r="FRJ15" s="257"/>
      <c r="FRK15" s="257"/>
      <c r="FRL15" s="257"/>
      <c r="FRM15" s="257"/>
      <c r="FRN15" s="257"/>
      <c r="FRO15" s="257"/>
      <c r="FRP15" s="257"/>
      <c r="FRQ15" s="257"/>
      <c r="FRR15" s="257"/>
      <c r="FRS15" s="257"/>
      <c r="FRT15" s="257"/>
      <c r="FRU15" s="257"/>
      <c r="FRV15" s="257"/>
      <c r="FRW15" s="257"/>
      <c r="FRX15" s="257"/>
      <c r="FRY15" s="257"/>
      <c r="FRZ15" s="257"/>
      <c r="FSA15" s="257"/>
      <c r="FSB15" s="257"/>
      <c r="FSC15" s="257"/>
      <c r="FSD15" s="257"/>
      <c r="FSE15" s="257"/>
      <c r="FSF15" s="257"/>
      <c r="FSG15" s="257"/>
      <c r="FSH15" s="257"/>
      <c r="FSI15" s="257"/>
      <c r="FSJ15" s="257"/>
      <c r="FSK15" s="257"/>
      <c r="FSL15" s="257"/>
      <c r="FSM15" s="257"/>
      <c r="FSN15" s="257"/>
      <c r="FSO15" s="257"/>
      <c r="FSP15" s="257"/>
      <c r="FSQ15" s="257"/>
      <c r="FSR15" s="257"/>
      <c r="FSS15" s="257"/>
      <c r="FST15" s="257"/>
      <c r="FSU15" s="257"/>
      <c r="FSV15" s="257"/>
      <c r="FSW15" s="257"/>
      <c r="FSX15" s="257"/>
      <c r="FSY15" s="257"/>
      <c r="FSZ15" s="257"/>
      <c r="FTA15" s="257"/>
      <c r="FTB15" s="257"/>
      <c r="FTC15" s="257"/>
      <c r="FTD15" s="257"/>
      <c r="FTE15" s="257"/>
      <c r="FTF15" s="257"/>
      <c r="FTG15" s="257"/>
      <c r="FTH15" s="257"/>
      <c r="FTI15" s="257"/>
      <c r="FTJ15" s="257"/>
      <c r="FTK15" s="257"/>
      <c r="FTL15" s="257"/>
      <c r="FTM15" s="257"/>
      <c r="FTN15" s="257"/>
      <c r="FTO15" s="257"/>
      <c r="FTP15" s="257"/>
      <c r="FTQ15" s="257"/>
      <c r="FTR15" s="257"/>
      <c r="FTS15" s="257"/>
      <c r="FTT15" s="257"/>
      <c r="FTU15" s="257"/>
      <c r="FTV15" s="257"/>
      <c r="FTW15" s="257"/>
      <c r="FTX15" s="257"/>
      <c r="FTY15" s="257"/>
      <c r="FTZ15" s="257"/>
      <c r="FUA15" s="257"/>
      <c r="FUB15" s="257"/>
      <c r="FUC15" s="257"/>
      <c r="FUD15" s="257"/>
      <c r="FUE15" s="257"/>
      <c r="FUF15" s="257"/>
      <c r="FUG15" s="257"/>
      <c r="FUH15" s="257"/>
      <c r="FUI15" s="257"/>
      <c r="FUJ15" s="257"/>
      <c r="FUK15" s="257"/>
      <c r="FUL15" s="257"/>
      <c r="FUM15" s="257"/>
      <c r="FUN15" s="257"/>
      <c r="FUO15" s="257"/>
      <c r="FUP15" s="257"/>
      <c r="FUQ15" s="257"/>
      <c r="FUR15" s="257"/>
      <c r="FUS15" s="257"/>
      <c r="FUT15" s="257"/>
      <c r="FUU15" s="257"/>
      <c r="FUV15" s="257"/>
      <c r="FUW15" s="257"/>
      <c r="FUX15" s="257"/>
      <c r="FUY15" s="257"/>
      <c r="FUZ15" s="257"/>
      <c r="FVA15" s="257"/>
      <c r="FVB15" s="257"/>
      <c r="FVC15" s="257"/>
      <c r="FVD15" s="257"/>
      <c r="FVE15" s="257"/>
      <c r="FVF15" s="257"/>
      <c r="FVG15" s="257"/>
      <c r="FVH15" s="257"/>
      <c r="FVI15" s="257"/>
      <c r="FVJ15" s="257"/>
      <c r="FVK15" s="257"/>
      <c r="FVL15" s="257"/>
      <c r="FVM15" s="257"/>
      <c r="FVN15" s="257"/>
      <c r="FVO15" s="257"/>
      <c r="FVP15" s="257"/>
      <c r="FVQ15" s="257"/>
      <c r="FVR15" s="257"/>
      <c r="FVS15" s="257"/>
      <c r="FVT15" s="257"/>
      <c r="FVU15" s="257"/>
      <c r="FVV15" s="257"/>
      <c r="FVW15" s="257"/>
      <c r="FVX15" s="257"/>
      <c r="FVY15" s="257"/>
      <c r="FVZ15" s="257"/>
      <c r="FWA15" s="257"/>
      <c r="FWB15" s="257"/>
      <c r="FWC15" s="257"/>
      <c r="FWD15" s="257"/>
      <c r="FWE15" s="257"/>
      <c r="FWF15" s="257"/>
      <c r="FWG15" s="257"/>
      <c r="FWH15" s="257"/>
      <c r="FWI15" s="257"/>
      <c r="FWJ15" s="257"/>
      <c r="FWK15" s="257"/>
      <c r="FWL15" s="257"/>
      <c r="FWM15" s="257"/>
      <c r="FWN15" s="257"/>
      <c r="FWO15" s="257"/>
      <c r="FWP15" s="257"/>
      <c r="FWQ15" s="257"/>
      <c r="FWR15" s="257"/>
      <c r="FWS15" s="257"/>
      <c r="FWT15" s="257"/>
      <c r="FWU15" s="257"/>
      <c r="FWV15" s="257"/>
      <c r="FWW15" s="257"/>
      <c r="FWX15" s="257"/>
      <c r="FWY15" s="257"/>
      <c r="FWZ15" s="257"/>
      <c r="FXA15" s="257"/>
      <c r="FXB15" s="257"/>
      <c r="FXC15" s="257"/>
      <c r="FXD15" s="257"/>
      <c r="FXE15" s="257"/>
      <c r="FXF15" s="257"/>
      <c r="FXG15" s="257"/>
      <c r="FXH15" s="257"/>
      <c r="FXI15" s="257"/>
      <c r="FXJ15" s="257"/>
      <c r="FXK15" s="257"/>
      <c r="FXL15" s="257"/>
      <c r="FXM15" s="257"/>
      <c r="FXN15" s="257"/>
      <c r="FXO15" s="257"/>
      <c r="FXP15" s="257"/>
      <c r="FXQ15" s="257"/>
      <c r="FXR15" s="257"/>
      <c r="FXS15" s="257"/>
      <c r="FXT15" s="257"/>
      <c r="FXU15" s="257"/>
      <c r="FXV15" s="257"/>
      <c r="FXW15" s="257"/>
      <c r="FXX15" s="257"/>
      <c r="FXY15" s="257"/>
      <c r="FXZ15" s="257"/>
      <c r="FYA15" s="257"/>
      <c r="FYB15" s="257"/>
      <c r="FYC15" s="257"/>
      <c r="FYD15" s="257"/>
      <c r="FYE15" s="257"/>
      <c r="FYF15" s="257"/>
      <c r="FYG15" s="257"/>
      <c r="FYH15" s="257"/>
      <c r="FYI15" s="257"/>
      <c r="FYJ15" s="257"/>
      <c r="FYK15" s="257"/>
      <c r="FYL15" s="257"/>
      <c r="FYM15" s="257"/>
      <c r="FYN15" s="257"/>
      <c r="FYO15" s="257"/>
      <c r="FYP15" s="257"/>
      <c r="FYQ15" s="257"/>
      <c r="FYR15" s="257"/>
      <c r="FYS15" s="257"/>
      <c r="FYT15" s="257"/>
      <c r="FYU15" s="257"/>
      <c r="FYV15" s="257"/>
      <c r="FYW15" s="257"/>
      <c r="FYX15" s="257"/>
      <c r="FYY15" s="257"/>
      <c r="FYZ15" s="257"/>
      <c r="FZA15" s="257"/>
      <c r="FZB15" s="257"/>
      <c r="FZC15" s="257"/>
      <c r="FZD15" s="257"/>
      <c r="FZE15" s="257"/>
      <c r="FZF15" s="257"/>
      <c r="FZG15" s="257"/>
      <c r="FZH15" s="257"/>
      <c r="FZI15" s="257"/>
      <c r="FZJ15" s="257"/>
      <c r="FZK15" s="257"/>
      <c r="FZL15" s="257"/>
      <c r="FZM15" s="257"/>
      <c r="FZN15" s="257"/>
      <c r="FZO15" s="257"/>
      <c r="FZP15" s="257"/>
      <c r="FZQ15" s="257"/>
      <c r="FZR15" s="257"/>
      <c r="FZS15" s="257"/>
      <c r="FZT15" s="257"/>
      <c r="FZU15" s="257"/>
      <c r="FZV15" s="257"/>
      <c r="FZW15" s="257"/>
      <c r="FZX15" s="257"/>
      <c r="FZY15" s="257"/>
      <c r="FZZ15" s="257"/>
      <c r="GAA15" s="257"/>
      <c r="GAB15" s="257"/>
      <c r="GAC15" s="257"/>
      <c r="GAD15" s="257"/>
      <c r="GAE15" s="257"/>
      <c r="GAF15" s="257"/>
      <c r="GAG15" s="257"/>
      <c r="GAH15" s="257"/>
      <c r="GAI15" s="257"/>
      <c r="GAJ15" s="257"/>
      <c r="GAK15" s="257"/>
      <c r="GAL15" s="257"/>
      <c r="GAM15" s="257"/>
      <c r="GAN15" s="257"/>
      <c r="GAO15" s="257"/>
      <c r="GAP15" s="257"/>
      <c r="GAQ15" s="257"/>
      <c r="GAR15" s="257"/>
      <c r="GAS15" s="257"/>
      <c r="GAT15" s="257"/>
      <c r="GAU15" s="257"/>
      <c r="GAV15" s="257"/>
      <c r="GAW15" s="257"/>
      <c r="GAX15" s="257"/>
      <c r="GAY15" s="257"/>
      <c r="GAZ15" s="257"/>
      <c r="GBA15" s="257"/>
      <c r="GBB15" s="257"/>
      <c r="GBC15" s="257"/>
      <c r="GBD15" s="257"/>
      <c r="GBE15" s="257"/>
      <c r="GBF15" s="257"/>
      <c r="GBG15" s="257"/>
      <c r="GBH15" s="257"/>
      <c r="GBI15" s="257"/>
      <c r="GBJ15" s="257"/>
      <c r="GBK15" s="257"/>
      <c r="GBL15" s="257"/>
      <c r="GBM15" s="257"/>
      <c r="GBN15" s="257"/>
      <c r="GBO15" s="257"/>
      <c r="GBP15" s="257"/>
      <c r="GBQ15" s="257"/>
      <c r="GBR15" s="257"/>
      <c r="GBS15" s="257"/>
      <c r="GBT15" s="257"/>
      <c r="GBU15" s="257"/>
      <c r="GBV15" s="257"/>
      <c r="GBW15" s="257"/>
      <c r="GBX15" s="257"/>
      <c r="GBY15" s="257"/>
      <c r="GBZ15" s="257"/>
      <c r="GCA15" s="257"/>
      <c r="GCB15" s="257"/>
      <c r="GCC15" s="257"/>
      <c r="GCD15" s="257"/>
      <c r="GCE15" s="257"/>
      <c r="GCF15" s="257"/>
      <c r="GCG15" s="257"/>
      <c r="GCH15" s="257"/>
      <c r="GCI15" s="257"/>
      <c r="GCJ15" s="257"/>
      <c r="GCK15" s="257"/>
      <c r="GCL15" s="257"/>
      <c r="GCM15" s="257"/>
      <c r="GCN15" s="257"/>
      <c r="GCO15" s="257"/>
      <c r="GCP15" s="257"/>
      <c r="GCQ15" s="257"/>
      <c r="GCR15" s="257"/>
      <c r="GCS15" s="257"/>
      <c r="GCT15" s="257"/>
      <c r="GCU15" s="257"/>
      <c r="GCV15" s="257"/>
      <c r="GCW15" s="257"/>
      <c r="GCX15" s="257"/>
      <c r="GCY15" s="257"/>
      <c r="GCZ15" s="257"/>
      <c r="GDA15" s="257"/>
      <c r="GDB15" s="257"/>
      <c r="GDC15" s="257"/>
      <c r="GDD15" s="257"/>
      <c r="GDE15" s="257"/>
      <c r="GDF15" s="257"/>
      <c r="GDG15" s="257"/>
      <c r="GDH15" s="257"/>
      <c r="GDI15" s="257"/>
      <c r="GDJ15" s="257"/>
      <c r="GDK15" s="257"/>
      <c r="GDL15" s="257"/>
      <c r="GDM15" s="257"/>
      <c r="GDN15" s="257"/>
      <c r="GDO15" s="257"/>
      <c r="GDP15" s="257"/>
      <c r="GDQ15" s="257"/>
      <c r="GDR15" s="257"/>
      <c r="GDS15" s="257"/>
      <c r="GDT15" s="257"/>
      <c r="GDU15" s="257"/>
      <c r="GDV15" s="257"/>
      <c r="GDW15" s="257"/>
      <c r="GDX15" s="257"/>
      <c r="GDY15" s="257"/>
      <c r="GDZ15" s="257"/>
      <c r="GEA15" s="257"/>
      <c r="GEB15" s="257"/>
      <c r="GEC15" s="257"/>
      <c r="GED15" s="257"/>
      <c r="GEE15" s="257"/>
      <c r="GEF15" s="257"/>
      <c r="GEG15" s="257"/>
      <c r="GEH15" s="257"/>
      <c r="GEI15" s="257"/>
      <c r="GEJ15" s="257"/>
      <c r="GEK15" s="257"/>
      <c r="GEL15" s="257"/>
      <c r="GEM15" s="257"/>
      <c r="GEN15" s="257"/>
      <c r="GEO15" s="257"/>
      <c r="GEP15" s="257"/>
      <c r="GEQ15" s="257"/>
      <c r="GER15" s="257"/>
      <c r="GES15" s="257"/>
      <c r="GET15" s="257"/>
      <c r="GEU15" s="257"/>
      <c r="GEV15" s="257"/>
      <c r="GEW15" s="257"/>
      <c r="GEX15" s="257"/>
      <c r="GEY15" s="257"/>
      <c r="GEZ15" s="257"/>
      <c r="GFA15" s="257"/>
      <c r="GFB15" s="257"/>
      <c r="GFC15" s="257"/>
      <c r="GFD15" s="257"/>
      <c r="GFE15" s="257"/>
      <c r="GFF15" s="257"/>
      <c r="GFG15" s="257"/>
      <c r="GFH15" s="257"/>
      <c r="GFI15" s="257"/>
      <c r="GFJ15" s="257"/>
      <c r="GFK15" s="257"/>
      <c r="GFL15" s="257"/>
      <c r="GFM15" s="257"/>
      <c r="GFN15" s="257"/>
      <c r="GFO15" s="257"/>
      <c r="GFP15" s="257"/>
      <c r="GFQ15" s="257"/>
      <c r="GFR15" s="257"/>
      <c r="GFS15" s="257"/>
      <c r="GFT15" s="257"/>
      <c r="GFU15" s="257"/>
      <c r="GFV15" s="257"/>
      <c r="GFW15" s="257"/>
      <c r="GFX15" s="257"/>
      <c r="GFY15" s="257"/>
      <c r="GFZ15" s="257"/>
      <c r="GGA15" s="257"/>
      <c r="GGB15" s="257"/>
      <c r="GGC15" s="257"/>
      <c r="GGD15" s="257"/>
      <c r="GGE15" s="257"/>
      <c r="GGF15" s="257"/>
      <c r="GGG15" s="257"/>
      <c r="GGH15" s="257"/>
      <c r="GGI15" s="257"/>
      <c r="GGJ15" s="257"/>
      <c r="GGK15" s="257"/>
      <c r="GGL15" s="257"/>
      <c r="GGM15" s="257"/>
      <c r="GGN15" s="257"/>
      <c r="GGO15" s="257"/>
      <c r="GGP15" s="257"/>
      <c r="GGQ15" s="257"/>
      <c r="GGR15" s="257"/>
      <c r="GGS15" s="257"/>
      <c r="GGT15" s="257"/>
      <c r="GGU15" s="257"/>
      <c r="GGV15" s="257"/>
      <c r="GGW15" s="257"/>
      <c r="GGX15" s="257"/>
      <c r="GGY15" s="257"/>
      <c r="GGZ15" s="257"/>
      <c r="GHA15" s="257"/>
      <c r="GHB15" s="257"/>
      <c r="GHC15" s="257"/>
      <c r="GHD15" s="257"/>
      <c r="GHE15" s="257"/>
      <c r="GHF15" s="257"/>
      <c r="GHG15" s="257"/>
      <c r="GHH15" s="257"/>
      <c r="GHI15" s="257"/>
      <c r="GHJ15" s="257"/>
      <c r="GHK15" s="257"/>
      <c r="GHL15" s="257"/>
      <c r="GHM15" s="257"/>
      <c r="GHN15" s="257"/>
      <c r="GHO15" s="257"/>
      <c r="GHP15" s="257"/>
      <c r="GHQ15" s="257"/>
      <c r="GHR15" s="257"/>
      <c r="GHS15" s="257"/>
      <c r="GHT15" s="257"/>
      <c r="GHU15" s="257"/>
      <c r="GHV15" s="257"/>
      <c r="GHW15" s="257"/>
      <c r="GHX15" s="257"/>
      <c r="GHY15" s="257"/>
      <c r="GHZ15" s="257"/>
      <c r="GIA15" s="257"/>
      <c r="GIB15" s="257"/>
      <c r="GIC15" s="257"/>
      <c r="GID15" s="257"/>
      <c r="GIE15" s="257"/>
      <c r="GIF15" s="257"/>
      <c r="GIG15" s="257"/>
      <c r="GIH15" s="257"/>
      <c r="GII15" s="257"/>
      <c r="GIJ15" s="257"/>
      <c r="GIK15" s="257"/>
      <c r="GIL15" s="257"/>
      <c r="GIM15" s="257"/>
      <c r="GIN15" s="257"/>
      <c r="GIO15" s="257"/>
      <c r="GIP15" s="257"/>
      <c r="GIQ15" s="257"/>
      <c r="GIR15" s="257"/>
      <c r="GIS15" s="257"/>
      <c r="GIT15" s="257"/>
      <c r="GIU15" s="257"/>
      <c r="GIV15" s="257"/>
      <c r="GIW15" s="257"/>
      <c r="GIX15" s="257"/>
      <c r="GIY15" s="257"/>
      <c r="GIZ15" s="257"/>
      <c r="GJA15" s="257"/>
      <c r="GJB15" s="257"/>
      <c r="GJC15" s="257"/>
      <c r="GJD15" s="257"/>
      <c r="GJE15" s="257"/>
      <c r="GJF15" s="257"/>
      <c r="GJG15" s="257"/>
      <c r="GJH15" s="257"/>
      <c r="GJI15" s="257"/>
      <c r="GJJ15" s="257"/>
      <c r="GJK15" s="257"/>
      <c r="GJL15" s="257"/>
      <c r="GJM15" s="257"/>
      <c r="GJN15" s="257"/>
      <c r="GJO15" s="257"/>
      <c r="GJP15" s="257"/>
      <c r="GJQ15" s="257"/>
      <c r="GJR15" s="257"/>
      <c r="GJS15" s="257"/>
      <c r="GJT15" s="257"/>
      <c r="GJU15" s="257"/>
      <c r="GJV15" s="257"/>
      <c r="GJW15" s="257"/>
      <c r="GJX15" s="257"/>
      <c r="GJY15" s="257"/>
      <c r="GJZ15" s="257"/>
      <c r="GKA15" s="257"/>
      <c r="GKB15" s="257"/>
      <c r="GKC15" s="257"/>
      <c r="GKD15" s="257"/>
      <c r="GKE15" s="257"/>
      <c r="GKF15" s="257"/>
      <c r="GKG15" s="257"/>
      <c r="GKH15" s="257"/>
      <c r="GKI15" s="257"/>
      <c r="GKJ15" s="257"/>
      <c r="GKK15" s="257"/>
      <c r="GKL15" s="257"/>
      <c r="GKM15" s="257"/>
      <c r="GKN15" s="257"/>
      <c r="GKO15" s="257"/>
      <c r="GKP15" s="257"/>
      <c r="GKQ15" s="257"/>
      <c r="GKR15" s="257"/>
      <c r="GKS15" s="257"/>
      <c r="GKT15" s="257"/>
      <c r="GKU15" s="257"/>
      <c r="GKV15" s="257"/>
      <c r="GKW15" s="257"/>
      <c r="GKX15" s="257"/>
      <c r="GKY15" s="257"/>
      <c r="GKZ15" s="257"/>
      <c r="GLA15" s="257"/>
      <c r="GLB15" s="257"/>
      <c r="GLC15" s="257"/>
      <c r="GLD15" s="257"/>
      <c r="GLE15" s="257"/>
      <c r="GLF15" s="257"/>
      <c r="GLG15" s="257"/>
      <c r="GLH15" s="257"/>
      <c r="GLI15" s="257"/>
      <c r="GLJ15" s="257"/>
      <c r="GLK15" s="257"/>
      <c r="GLL15" s="257"/>
      <c r="GLM15" s="257"/>
      <c r="GLN15" s="257"/>
      <c r="GLO15" s="257"/>
      <c r="GLP15" s="257"/>
      <c r="GLQ15" s="257"/>
      <c r="GLR15" s="257"/>
      <c r="GLS15" s="257"/>
      <c r="GLT15" s="257"/>
      <c r="GLU15" s="257"/>
      <c r="GLV15" s="257"/>
      <c r="GLW15" s="257"/>
      <c r="GLX15" s="257"/>
      <c r="GLY15" s="257"/>
      <c r="GLZ15" s="257"/>
      <c r="GMA15" s="257"/>
      <c r="GMB15" s="257"/>
      <c r="GMC15" s="257"/>
      <c r="GMD15" s="257"/>
      <c r="GME15" s="257"/>
      <c r="GMF15" s="257"/>
      <c r="GMG15" s="257"/>
      <c r="GMH15" s="257"/>
      <c r="GMI15" s="257"/>
      <c r="GMJ15" s="257"/>
      <c r="GMK15" s="257"/>
      <c r="GML15" s="257"/>
      <c r="GMM15" s="257"/>
      <c r="GMN15" s="257"/>
      <c r="GMO15" s="257"/>
      <c r="GMP15" s="257"/>
      <c r="GMQ15" s="257"/>
      <c r="GMR15" s="257"/>
      <c r="GMS15" s="257"/>
      <c r="GMT15" s="257"/>
      <c r="GMU15" s="257"/>
      <c r="GMV15" s="257"/>
      <c r="GMW15" s="257"/>
      <c r="GMX15" s="257"/>
      <c r="GMY15" s="257"/>
      <c r="GMZ15" s="257"/>
      <c r="GNA15" s="257"/>
      <c r="GNB15" s="257"/>
      <c r="GNC15" s="257"/>
      <c r="GND15" s="257"/>
      <c r="GNE15" s="257"/>
      <c r="GNF15" s="257"/>
      <c r="GNG15" s="257"/>
      <c r="GNH15" s="257"/>
      <c r="GNI15" s="257"/>
      <c r="GNJ15" s="257"/>
      <c r="GNK15" s="257"/>
      <c r="GNL15" s="257"/>
      <c r="GNM15" s="257"/>
      <c r="GNN15" s="257"/>
      <c r="GNO15" s="257"/>
      <c r="GNP15" s="257"/>
      <c r="GNQ15" s="257"/>
      <c r="GNR15" s="257"/>
      <c r="GNS15" s="257"/>
      <c r="GNT15" s="257"/>
      <c r="GNU15" s="257"/>
      <c r="GNV15" s="257"/>
      <c r="GNW15" s="257"/>
      <c r="GNX15" s="257"/>
      <c r="GNY15" s="257"/>
      <c r="GNZ15" s="257"/>
      <c r="GOA15" s="257"/>
      <c r="GOB15" s="257"/>
      <c r="GOC15" s="257"/>
      <c r="GOD15" s="257"/>
      <c r="GOE15" s="257"/>
      <c r="GOF15" s="257"/>
      <c r="GOG15" s="257"/>
      <c r="GOH15" s="257"/>
      <c r="GOI15" s="257"/>
      <c r="GOJ15" s="257"/>
      <c r="GOK15" s="257"/>
      <c r="GOL15" s="257"/>
      <c r="GOM15" s="257"/>
      <c r="GON15" s="257"/>
      <c r="GOO15" s="257"/>
      <c r="GOP15" s="257"/>
      <c r="GOQ15" s="257"/>
      <c r="GOR15" s="257"/>
      <c r="GOS15" s="257"/>
      <c r="GOT15" s="257"/>
      <c r="GOU15" s="257"/>
      <c r="GOV15" s="257"/>
      <c r="GOW15" s="257"/>
      <c r="GOX15" s="257"/>
      <c r="GOY15" s="257"/>
      <c r="GOZ15" s="257"/>
      <c r="GPA15" s="257"/>
      <c r="GPB15" s="257"/>
      <c r="GPC15" s="257"/>
      <c r="GPD15" s="257"/>
      <c r="GPE15" s="257"/>
      <c r="GPF15" s="257"/>
      <c r="GPG15" s="257"/>
      <c r="GPH15" s="257"/>
      <c r="GPI15" s="257"/>
      <c r="GPJ15" s="257"/>
      <c r="GPK15" s="257"/>
      <c r="GPL15" s="257"/>
      <c r="GPM15" s="257"/>
      <c r="GPN15" s="257"/>
      <c r="GPO15" s="257"/>
      <c r="GPP15" s="257"/>
      <c r="GPQ15" s="257"/>
      <c r="GPR15" s="257"/>
      <c r="GPS15" s="257"/>
      <c r="GPT15" s="257"/>
      <c r="GPU15" s="257"/>
      <c r="GPV15" s="257"/>
      <c r="GPW15" s="257"/>
      <c r="GPX15" s="257"/>
      <c r="GPY15" s="257"/>
      <c r="GPZ15" s="257"/>
      <c r="GQA15" s="257"/>
      <c r="GQB15" s="257"/>
      <c r="GQC15" s="257"/>
      <c r="GQD15" s="257"/>
      <c r="GQE15" s="257"/>
      <c r="GQF15" s="257"/>
      <c r="GQG15" s="257"/>
      <c r="GQH15" s="257"/>
      <c r="GQI15" s="257"/>
      <c r="GQJ15" s="257"/>
      <c r="GQK15" s="257"/>
      <c r="GQL15" s="257"/>
      <c r="GQM15" s="257"/>
      <c r="GQN15" s="257"/>
      <c r="GQO15" s="257"/>
      <c r="GQP15" s="257"/>
      <c r="GQQ15" s="257"/>
      <c r="GQR15" s="257"/>
      <c r="GQS15" s="257"/>
      <c r="GQT15" s="257"/>
      <c r="GQU15" s="257"/>
      <c r="GQV15" s="257"/>
      <c r="GQW15" s="257"/>
      <c r="GQX15" s="257"/>
      <c r="GQY15" s="257"/>
      <c r="GQZ15" s="257"/>
      <c r="GRA15" s="257"/>
      <c r="GRB15" s="257"/>
      <c r="GRC15" s="257"/>
      <c r="GRD15" s="257"/>
      <c r="GRE15" s="257"/>
      <c r="GRF15" s="257"/>
      <c r="GRG15" s="257"/>
      <c r="GRH15" s="257"/>
      <c r="GRI15" s="257"/>
      <c r="GRJ15" s="257"/>
      <c r="GRK15" s="257"/>
      <c r="GRL15" s="257"/>
      <c r="GRM15" s="257"/>
      <c r="GRN15" s="257"/>
      <c r="GRO15" s="257"/>
      <c r="GRP15" s="257"/>
      <c r="GRQ15" s="257"/>
      <c r="GRR15" s="257"/>
      <c r="GRS15" s="257"/>
      <c r="GRT15" s="257"/>
      <c r="GRU15" s="257"/>
      <c r="GRV15" s="257"/>
      <c r="GRW15" s="257"/>
      <c r="GRX15" s="257"/>
      <c r="GRY15" s="257"/>
      <c r="GRZ15" s="257"/>
      <c r="GSA15" s="257"/>
      <c r="GSB15" s="257"/>
      <c r="GSC15" s="257"/>
      <c r="GSD15" s="257"/>
      <c r="GSE15" s="257"/>
      <c r="GSF15" s="257"/>
      <c r="GSG15" s="257"/>
      <c r="GSH15" s="257"/>
      <c r="GSI15" s="257"/>
      <c r="GSJ15" s="257"/>
      <c r="GSK15" s="257"/>
      <c r="GSL15" s="257"/>
      <c r="GSM15" s="257"/>
      <c r="GSN15" s="257"/>
      <c r="GSO15" s="257"/>
      <c r="GSP15" s="257"/>
      <c r="GSQ15" s="257"/>
      <c r="GSR15" s="257"/>
      <c r="GSS15" s="257"/>
      <c r="GST15" s="257"/>
      <c r="GSU15" s="257"/>
      <c r="GSV15" s="257"/>
      <c r="GSW15" s="257"/>
      <c r="GSX15" s="257"/>
      <c r="GSY15" s="257"/>
      <c r="GSZ15" s="257"/>
      <c r="GTA15" s="257"/>
      <c r="GTB15" s="257"/>
      <c r="GTC15" s="257"/>
      <c r="GTD15" s="257"/>
      <c r="GTE15" s="257"/>
      <c r="GTF15" s="257"/>
      <c r="GTG15" s="257"/>
      <c r="GTH15" s="257"/>
      <c r="GTI15" s="257"/>
      <c r="GTJ15" s="257"/>
      <c r="GTK15" s="257"/>
      <c r="GTL15" s="257"/>
      <c r="GTM15" s="257"/>
      <c r="GTN15" s="257"/>
      <c r="GTO15" s="257"/>
      <c r="GTP15" s="257"/>
      <c r="GTQ15" s="257"/>
      <c r="GTR15" s="257"/>
      <c r="GTS15" s="257"/>
      <c r="GTT15" s="257"/>
      <c r="GTU15" s="257"/>
      <c r="GTV15" s="257"/>
      <c r="GTW15" s="257"/>
      <c r="GTX15" s="257"/>
      <c r="GTY15" s="257"/>
      <c r="GTZ15" s="257"/>
      <c r="GUA15" s="257"/>
      <c r="GUB15" s="257"/>
      <c r="GUC15" s="257"/>
      <c r="GUD15" s="257"/>
      <c r="GUE15" s="257"/>
      <c r="GUF15" s="257"/>
      <c r="GUG15" s="257"/>
      <c r="GUH15" s="257"/>
      <c r="GUI15" s="257"/>
      <c r="GUJ15" s="257"/>
      <c r="GUK15" s="257"/>
      <c r="GUL15" s="257"/>
      <c r="GUM15" s="257"/>
      <c r="GUN15" s="257"/>
      <c r="GUO15" s="257"/>
      <c r="GUP15" s="257"/>
      <c r="GUQ15" s="257"/>
      <c r="GUR15" s="257"/>
      <c r="GUS15" s="257"/>
      <c r="GUT15" s="257"/>
      <c r="GUU15" s="257"/>
      <c r="GUV15" s="257"/>
      <c r="GUW15" s="257"/>
      <c r="GUX15" s="257"/>
      <c r="GUY15" s="257"/>
      <c r="GUZ15" s="257"/>
      <c r="GVA15" s="257"/>
      <c r="GVB15" s="257"/>
      <c r="GVC15" s="257"/>
      <c r="GVD15" s="257"/>
      <c r="GVE15" s="257"/>
      <c r="GVF15" s="257"/>
      <c r="GVG15" s="257"/>
      <c r="GVH15" s="257"/>
      <c r="GVI15" s="257"/>
      <c r="GVJ15" s="257"/>
      <c r="GVK15" s="257"/>
      <c r="GVL15" s="257"/>
      <c r="GVM15" s="257"/>
      <c r="GVN15" s="257"/>
      <c r="GVO15" s="257"/>
      <c r="GVP15" s="257"/>
      <c r="GVQ15" s="257"/>
      <c r="GVR15" s="257"/>
      <c r="GVS15" s="257"/>
      <c r="GVT15" s="257"/>
      <c r="GVU15" s="257"/>
      <c r="GVV15" s="257"/>
      <c r="GVW15" s="257"/>
      <c r="GVX15" s="257"/>
      <c r="GVY15" s="257"/>
      <c r="GVZ15" s="257"/>
      <c r="GWA15" s="257"/>
      <c r="GWB15" s="257"/>
      <c r="GWC15" s="257"/>
      <c r="GWD15" s="257"/>
      <c r="GWE15" s="257"/>
      <c r="GWF15" s="257"/>
      <c r="GWG15" s="257"/>
      <c r="GWH15" s="257"/>
      <c r="GWI15" s="257"/>
      <c r="GWJ15" s="257"/>
      <c r="GWK15" s="257"/>
      <c r="GWL15" s="257"/>
      <c r="GWM15" s="257"/>
      <c r="GWN15" s="257"/>
      <c r="GWO15" s="257"/>
      <c r="GWP15" s="257"/>
      <c r="GWQ15" s="257"/>
      <c r="GWR15" s="257"/>
      <c r="GWS15" s="257"/>
      <c r="GWT15" s="257"/>
      <c r="GWU15" s="257"/>
      <c r="GWV15" s="257"/>
      <c r="GWW15" s="257"/>
      <c r="GWX15" s="257"/>
      <c r="GWY15" s="257"/>
      <c r="GWZ15" s="257"/>
      <c r="GXA15" s="257"/>
      <c r="GXB15" s="257"/>
      <c r="GXC15" s="257"/>
      <c r="GXD15" s="257"/>
      <c r="GXE15" s="257"/>
      <c r="GXF15" s="257"/>
      <c r="GXG15" s="257"/>
      <c r="GXH15" s="257"/>
      <c r="GXI15" s="257"/>
      <c r="GXJ15" s="257"/>
      <c r="GXK15" s="257"/>
      <c r="GXL15" s="257"/>
      <c r="GXM15" s="257"/>
      <c r="GXN15" s="257"/>
      <c r="GXO15" s="257"/>
      <c r="GXP15" s="257"/>
      <c r="GXQ15" s="257"/>
      <c r="GXR15" s="257"/>
      <c r="GXS15" s="257"/>
      <c r="GXT15" s="257"/>
      <c r="GXU15" s="257"/>
      <c r="GXV15" s="257"/>
      <c r="GXW15" s="257"/>
      <c r="GXX15" s="257"/>
      <c r="GXY15" s="257"/>
      <c r="GXZ15" s="257"/>
      <c r="GYA15" s="257"/>
      <c r="GYB15" s="257"/>
      <c r="GYC15" s="257"/>
      <c r="GYD15" s="257"/>
      <c r="GYE15" s="257"/>
      <c r="GYF15" s="257"/>
      <c r="GYG15" s="257"/>
      <c r="GYH15" s="257"/>
      <c r="GYI15" s="257"/>
      <c r="GYJ15" s="257"/>
      <c r="GYK15" s="257"/>
      <c r="GYL15" s="257"/>
      <c r="GYM15" s="257"/>
      <c r="GYN15" s="257"/>
      <c r="GYO15" s="257"/>
      <c r="GYP15" s="257"/>
      <c r="GYQ15" s="257"/>
      <c r="GYR15" s="257"/>
      <c r="GYS15" s="257"/>
      <c r="GYT15" s="257"/>
      <c r="GYU15" s="257"/>
      <c r="GYV15" s="257"/>
      <c r="GYW15" s="257"/>
      <c r="GYX15" s="257"/>
      <c r="GYY15" s="257"/>
      <c r="GYZ15" s="257"/>
      <c r="GZA15" s="257"/>
      <c r="GZB15" s="257"/>
      <c r="GZC15" s="257"/>
      <c r="GZD15" s="257"/>
      <c r="GZE15" s="257"/>
      <c r="GZF15" s="257"/>
      <c r="GZG15" s="257"/>
      <c r="GZH15" s="257"/>
      <c r="GZI15" s="257"/>
      <c r="GZJ15" s="257"/>
      <c r="GZK15" s="257"/>
      <c r="GZL15" s="257"/>
      <c r="GZM15" s="257"/>
      <c r="GZN15" s="257"/>
      <c r="GZO15" s="257"/>
      <c r="GZP15" s="257"/>
      <c r="GZQ15" s="257"/>
      <c r="GZR15" s="257"/>
      <c r="GZS15" s="257"/>
      <c r="GZT15" s="257"/>
      <c r="GZU15" s="257"/>
      <c r="GZV15" s="257"/>
      <c r="GZW15" s="257"/>
      <c r="GZX15" s="257"/>
      <c r="GZY15" s="257"/>
      <c r="GZZ15" s="257"/>
      <c r="HAA15" s="257"/>
      <c r="HAB15" s="257"/>
      <c r="HAC15" s="257"/>
      <c r="HAD15" s="257"/>
      <c r="HAE15" s="257"/>
      <c r="HAF15" s="257"/>
      <c r="HAG15" s="257"/>
      <c r="HAH15" s="257"/>
      <c r="HAI15" s="257"/>
      <c r="HAJ15" s="257"/>
      <c r="HAK15" s="257"/>
      <c r="HAL15" s="257"/>
      <c r="HAM15" s="257"/>
      <c r="HAN15" s="257"/>
      <c r="HAO15" s="257"/>
      <c r="HAP15" s="257"/>
      <c r="HAQ15" s="257"/>
      <c r="HAR15" s="257"/>
      <c r="HAS15" s="257"/>
      <c r="HAT15" s="257"/>
      <c r="HAU15" s="257"/>
      <c r="HAV15" s="257"/>
      <c r="HAW15" s="257"/>
      <c r="HAX15" s="257"/>
      <c r="HAY15" s="257"/>
      <c r="HAZ15" s="257"/>
      <c r="HBA15" s="257"/>
      <c r="HBB15" s="257"/>
      <c r="HBC15" s="257"/>
      <c r="HBD15" s="257"/>
      <c r="HBE15" s="257"/>
      <c r="HBF15" s="257"/>
      <c r="HBG15" s="257"/>
      <c r="HBH15" s="257"/>
      <c r="HBI15" s="257"/>
      <c r="HBJ15" s="257"/>
      <c r="HBK15" s="257"/>
      <c r="HBL15" s="257"/>
      <c r="HBM15" s="257"/>
      <c r="HBN15" s="257"/>
      <c r="HBO15" s="257"/>
      <c r="HBP15" s="257"/>
      <c r="HBQ15" s="257"/>
      <c r="HBR15" s="257"/>
      <c r="HBS15" s="257"/>
      <c r="HBT15" s="257"/>
      <c r="HBU15" s="257"/>
      <c r="HBV15" s="257"/>
      <c r="HBW15" s="257"/>
      <c r="HBX15" s="257"/>
      <c r="HBY15" s="257"/>
      <c r="HBZ15" s="257"/>
      <c r="HCA15" s="257"/>
      <c r="HCB15" s="257"/>
      <c r="HCC15" s="257"/>
      <c r="HCD15" s="257"/>
      <c r="HCE15" s="257"/>
      <c r="HCF15" s="257"/>
      <c r="HCG15" s="257"/>
      <c r="HCH15" s="257"/>
      <c r="HCI15" s="257"/>
      <c r="HCJ15" s="257"/>
      <c r="HCK15" s="257"/>
      <c r="HCL15" s="257"/>
      <c r="HCM15" s="257"/>
      <c r="HCN15" s="257"/>
      <c r="HCO15" s="257"/>
      <c r="HCP15" s="257"/>
      <c r="HCQ15" s="257"/>
      <c r="HCR15" s="257"/>
      <c r="HCS15" s="257"/>
      <c r="HCT15" s="257"/>
      <c r="HCU15" s="257"/>
      <c r="HCV15" s="257"/>
      <c r="HCW15" s="257"/>
      <c r="HCX15" s="257"/>
      <c r="HCY15" s="257"/>
      <c r="HCZ15" s="257"/>
      <c r="HDA15" s="257"/>
      <c r="HDB15" s="257"/>
      <c r="HDC15" s="257"/>
      <c r="HDD15" s="257"/>
      <c r="HDE15" s="257"/>
      <c r="HDF15" s="257"/>
      <c r="HDG15" s="257"/>
      <c r="HDH15" s="257"/>
      <c r="HDI15" s="257"/>
      <c r="HDJ15" s="257"/>
      <c r="HDK15" s="257"/>
      <c r="HDL15" s="257"/>
      <c r="HDM15" s="257"/>
      <c r="HDN15" s="257"/>
      <c r="HDO15" s="257"/>
      <c r="HDP15" s="257"/>
      <c r="HDQ15" s="257"/>
      <c r="HDR15" s="257"/>
      <c r="HDS15" s="257"/>
      <c r="HDT15" s="257"/>
      <c r="HDU15" s="257"/>
      <c r="HDV15" s="257"/>
      <c r="HDW15" s="257"/>
      <c r="HDX15" s="257"/>
      <c r="HDY15" s="257"/>
      <c r="HDZ15" s="257"/>
      <c r="HEA15" s="257"/>
      <c r="HEB15" s="257"/>
      <c r="HEC15" s="257"/>
      <c r="HED15" s="257"/>
      <c r="HEE15" s="257"/>
      <c r="HEF15" s="257"/>
      <c r="HEG15" s="257"/>
      <c r="HEH15" s="257"/>
      <c r="HEI15" s="257"/>
      <c r="HEJ15" s="257"/>
      <c r="HEK15" s="257"/>
      <c r="HEL15" s="257"/>
      <c r="HEM15" s="257"/>
      <c r="HEN15" s="257"/>
      <c r="HEO15" s="257"/>
      <c r="HEP15" s="257"/>
      <c r="HEQ15" s="257"/>
      <c r="HER15" s="257"/>
      <c r="HES15" s="257"/>
      <c r="HET15" s="257"/>
      <c r="HEU15" s="257"/>
      <c r="HEV15" s="257"/>
      <c r="HEW15" s="257"/>
      <c r="HEX15" s="257"/>
      <c r="HEY15" s="257"/>
      <c r="HEZ15" s="257"/>
      <c r="HFA15" s="257"/>
      <c r="HFB15" s="257"/>
      <c r="HFC15" s="257"/>
      <c r="HFD15" s="257"/>
      <c r="HFE15" s="257"/>
      <c r="HFF15" s="257"/>
      <c r="HFG15" s="257"/>
      <c r="HFH15" s="257"/>
      <c r="HFI15" s="257"/>
      <c r="HFJ15" s="257"/>
      <c r="HFK15" s="257"/>
      <c r="HFL15" s="257"/>
      <c r="HFM15" s="257"/>
      <c r="HFN15" s="257"/>
      <c r="HFO15" s="257"/>
      <c r="HFP15" s="257"/>
      <c r="HFQ15" s="257"/>
      <c r="HFR15" s="257"/>
      <c r="HFS15" s="257"/>
      <c r="HFT15" s="257"/>
      <c r="HFU15" s="257"/>
      <c r="HFV15" s="257"/>
      <c r="HFW15" s="257"/>
      <c r="HFX15" s="257"/>
      <c r="HFY15" s="257"/>
      <c r="HFZ15" s="257"/>
      <c r="HGA15" s="257"/>
      <c r="HGB15" s="257"/>
      <c r="HGC15" s="257"/>
      <c r="HGD15" s="257"/>
      <c r="HGE15" s="257"/>
      <c r="HGF15" s="257"/>
      <c r="HGG15" s="257"/>
      <c r="HGH15" s="257"/>
      <c r="HGI15" s="257"/>
      <c r="HGJ15" s="257"/>
      <c r="HGK15" s="257"/>
      <c r="HGL15" s="257"/>
      <c r="HGM15" s="257"/>
      <c r="HGN15" s="257"/>
      <c r="HGO15" s="257"/>
      <c r="HGP15" s="257"/>
      <c r="HGQ15" s="257"/>
      <c r="HGR15" s="257"/>
      <c r="HGS15" s="257"/>
      <c r="HGT15" s="257"/>
      <c r="HGU15" s="257"/>
      <c r="HGV15" s="257"/>
      <c r="HGW15" s="257"/>
      <c r="HGX15" s="257"/>
      <c r="HGY15" s="257"/>
      <c r="HGZ15" s="257"/>
      <c r="HHA15" s="257"/>
      <c r="HHB15" s="257"/>
      <c r="HHC15" s="257"/>
      <c r="HHD15" s="257"/>
      <c r="HHE15" s="257"/>
      <c r="HHF15" s="257"/>
      <c r="HHG15" s="257"/>
      <c r="HHH15" s="257"/>
      <c r="HHI15" s="257"/>
      <c r="HHJ15" s="257"/>
      <c r="HHK15" s="257"/>
      <c r="HHL15" s="257"/>
      <c r="HHM15" s="257"/>
      <c r="HHN15" s="257"/>
      <c r="HHO15" s="257"/>
      <c r="HHP15" s="257"/>
      <c r="HHQ15" s="257"/>
      <c r="HHR15" s="257"/>
      <c r="HHS15" s="257"/>
      <c r="HHT15" s="257"/>
      <c r="HHU15" s="257"/>
      <c r="HHV15" s="257"/>
      <c r="HHW15" s="257"/>
      <c r="HHX15" s="257"/>
      <c r="HHY15" s="257"/>
      <c r="HHZ15" s="257"/>
      <c r="HIA15" s="257"/>
      <c r="HIB15" s="257"/>
      <c r="HIC15" s="257"/>
      <c r="HID15" s="257"/>
      <c r="HIE15" s="257"/>
      <c r="HIF15" s="257"/>
      <c r="HIG15" s="257"/>
      <c r="HIH15" s="257"/>
      <c r="HII15" s="257"/>
      <c r="HIJ15" s="257"/>
      <c r="HIK15" s="257"/>
      <c r="HIL15" s="257"/>
      <c r="HIM15" s="257"/>
      <c r="HIN15" s="257"/>
      <c r="HIO15" s="257"/>
      <c r="HIP15" s="257"/>
      <c r="HIQ15" s="257"/>
      <c r="HIR15" s="257"/>
      <c r="HIS15" s="257"/>
      <c r="HIT15" s="257"/>
      <c r="HIU15" s="257"/>
      <c r="HIV15" s="257"/>
      <c r="HIW15" s="257"/>
      <c r="HIX15" s="257"/>
      <c r="HIY15" s="257"/>
      <c r="HIZ15" s="257"/>
      <c r="HJA15" s="257"/>
      <c r="HJB15" s="257"/>
      <c r="HJC15" s="257"/>
      <c r="HJD15" s="257"/>
      <c r="HJE15" s="257"/>
      <c r="HJF15" s="257"/>
      <c r="HJG15" s="257"/>
      <c r="HJH15" s="257"/>
      <c r="HJI15" s="257"/>
      <c r="HJJ15" s="257"/>
      <c r="HJK15" s="257"/>
      <c r="HJL15" s="257"/>
      <c r="HJM15" s="257"/>
      <c r="HJN15" s="257"/>
      <c r="HJO15" s="257"/>
      <c r="HJP15" s="257"/>
      <c r="HJQ15" s="257"/>
      <c r="HJR15" s="257"/>
      <c r="HJS15" s="257"/>
      <c r="HJT15" s="257"/>
      <c r="HJU15" s="257"/>
      <c r="HJV15" s="257"/>
      <c r="HJW15" s="257"/>
      <c r="HJX15" s="257"/>
      <c r="HJY15" s="257"/>
      <c r="HJZ15" s="257"/>
      <c r="HKA15" s="257"/>
      <c r="HKB15" s="257"/>
      <c r="HKC15" s="257"/>
      <c r="HKD15" s="257"/>
      <c r="HKE15" s="257"/>
      <c r="HKF15" s="257"/>
      <c r="HKG15" s="257"/>
      <c r="HKH15" s="257"/>
      <c r="HKI15" s="257"/>
      <c r="HKJ15" s="257"/>
      <c r="HKK15" s="257"/>
      <c r="HKL15" s="257"/>
      <c r="HKM15" s="257"/>
      <c r="HKN15" s="257"/>
      <c r="HKO15" s="257"/>
      <c r="HKP15" s="257"/>
      <c r="HKQ15" s="257"/>
      <c r="HKR15" s="257"/>
      <c r="HKS15" s="257"/>
      <c r="HKT15" s="257"/>
      <c r="HKU15" s="257"/>
      <c r="HKV15" s="257"/>
      <c r="HKW15" s="257"/>
      <c r="HKX15" s="257"/>
      <c r="HKY15" s="257"/>
      <c r="HKZ15" s="257"/>
      <c r="HLA15" s="257"/>
      <c r="HLB15" s="257"/>
      <c r="HLC15" s="257"/>
      <c r="HLD15" s="257"/>
      <c r="HLE15" s="257"/>
      <c r="HLF15" s="257"/>
      <c r="HLG15" s="257"/>
      <c r="HLH15" s="257"/>
      <c r="HLI15" s="257"/>
      <c r="HLJ15" s="257"/>
      <c r="HLK15" s="257"/>
      <c r="HLL15" s="257"/>
      <c r="HLM15" s="257"/>
      <c r="HLN15" s="257"/>
      <c r="HLO15" s="257"/>
      <c r="HLP15" s="257"/>
      <c r="HLQ15" s="257"/>
      <c r="HLR15" s="257"/>
      <c r="HLS15" s="257"/>
      <c r="HLT15" s="257"/>
      <c r="HLU15" s="257"/>
      <c r="HLV15" s="257"/>
      <c r="HLW15" s="257"/>
      <c r="HLX15" s="257"/>
      <c r="HLY15" s="257"/>
      <c r="HLZ15" s="257"/>
      <c r="HMA15" s="257"/>
      <c r="HMB15" s="257"/>
      <c r="HMC15" s="257"/>
      <c r="HMD15" s="257"/>
      <c r="HME15" s="257"/>
      <c r="HMF15" s="257"/>
      <c r="HMG15" s="257"/>
      <c r="HMH15" s="257"/>
      <c r="HMI15" s="257"/>
      <c r="HMJ15" s="257"/>
      <c r="HMK15" s="257"/>
      <c r="HML15" s="257"/>
      <c r="HMM15" s="257"/>
      <c r="HMN15" s="257"/>
      <c r="HMO15" s="257"/>
      <c r="HMP15" s="257"/>
      <c r="HMQ15" s="257"/>
      <c r="HMR15" s="257"/>
      <c r="HMS15" s="257"/>
      <c r="HMT15" s="257"/>
      <c r="HMU15" s="257"/>
      <c r="HMV15" s="257"/>
      <c r="HMW15" s="257"/>
      <c r="HMX15" s="257"/>
      <c r="HMY15" s="257"/>
      <c r="HMZ15" s="257"/>
      <c r="HNA15" s="257"/>
      <c r="HNB15" s="257"/>
      <c r="HNC15" s="257"/>
      <c r="HND15" s="257"/>
      <c r="HNE15" s="257"/>
      <c r="HNF15" s="257"/>
      <c r="HNG15" s="257"/>
      <c r="HNH15" s="257"/>
      <c r="HNI15" s="257"/>
      <c r="HNJ15" s="257"/>
      <c r="HNK15" s="257"/>
      <c r="HNL15" s="257"/>
      <c r="HNM15" s="257"/>
      <c r="HNN15" s="257"/>
      <c r="HNO15" s="257"/>
      <c r="HNP15" s="257"/>
      <c r="HNQ15" s="257"/>
      <c r="HNR15" s="257"/>
      <c r="HNS15" s="257"/>
      <c r="HNT15" s="257"/>
      <c r="HNU15" s="257"/>
      <c r="HNV15" s="257"/>
      <c r="HNW15" s="257"/>
      <c r="HNX15" s="257"/>
      <c r="HNY15" s="257"/>
      <c r="HNZ15" s="257"/>
      <c r="HOA15" s="257"/>
      <c r="HOB15" s="257"/>
      <c r="HOC15" s="257"/>
      <c r="HOD15" s="257"/>
      <c r="HOE15" s="257"/>
      <c r="HOF15" s="257"/>
      <c r="HOG15" s="257"/>
      <c r="HOH15" s="257"/>
      <c r="HOI15" s="257"/>
      <c r="HOJ15" s="257"/>
      <c r="HOK15" s="257"/>
      <c r="HOL15" s="257"/>
      <c r="HOM15" s="257"/>
      <c r="HON15" s="257"/>
      <c r="HOO15" s="257"/>
      <c r="HOP15" s="257"/>
      <c r="HOQ15" s="257"/>
      <c r="HOR15" s="257"/>
      <c r="HOS15" s="257"/>
      <c r="HOT15" s="257"/>
      <c r="HOU15" s="257"/>
      <c r="HOV15" s="257"/>
      <c r="HOW15" s="257"/>
      <c r="HOX15" s="257"/>
      <c r="HOY15" s="257"/>
      <c r="HOZ15" s="257"/>
      <c r="HPA15" s="257"/>
      <c r="HPB15" s="257"/>
      <c r="HPC15" s="257"/>
      <c r="HPD15" s="257"/>
      <c r="HPE15" s="257"/>
      <c r="HPF15" s="257"/>
      <c r="HPG15" s="257"/>
      <c r="HPH15" s="257"/>
      <c r="HPI15" s="257"/>
      <c r="HPJ15" s="257"/>
      <c r="HPK15" s="257"/>
      <c r="HPL15" s="257"/>
      <c r="HPM15" s="257"/>
      <c r="HPN15" s="257"/>
      <c r="HPO15" s="257"/>
      <c r="HPP15" s="257"/>
      <c r="HPQ15" s="257"/>
      <c r="HPR15" s="257"/>
      <c r="HPS15" s="257"/>
      <c r="HPT15" s="257"/>
      <c r="HPU15" s="257"/>
      <c r="HPV15" s="257"/>
      <c r="HPW15" s="257"/>
      <c r="HPX15" s="257"/>
      <c r="HPY15" s="257"/>
      <c r="HPZ15" s="257"/>
      <c r="HQA15" s="257"/>
      <c r="HQB15" s="257"/>
      <c r="HQC15" s="257"/>
      <c r="HQD15" s="257"/>
      <c r="HQE15" s="257"/>
      <c r="HQF15" s="257"/>
      <c r="HQG15" s="257"/>
      <c r="HQH15" s="257"/>
      <c r="HQI15" s="257"/>
      <c r="HQJ15" s="257"/>
      <c r="HQK15" s="257"/>
      <c r="HQL15" s="257"/>
      <c r="HQM15" s="257"/>
      <c r="HQN15" s="257"/>
      <c r="HQO15" s="257"/>
      <c r="HQP15" s="257"/>
      <c r="HQQ15" s="257"/>
      <c r="HQR15" s="257"/>
      <c r="HQS15" s="257"/>
      <c r="HQT15" s="257"/>
      <c r="HQU15" s="257"/>
      <c r="HQV15" s="257"/>
      <c r="HQW15" s="257"/>
      <c r="HQX15" s="257"/>
      <c r="HQY15" s="257"/>
      <c r="HQZ15" s="257"/>
      <c r="HRA15" s="257"/>
      <c r="HRB15" s="257"/>
      <c r="HRC15" s="257"/>
      <c r="HRD15" s="257"/>
      <c r="HRE15" s="257"/>
      <c r="HRF15" s="257"/>
      <c r="HRG15" s="257"/>
      <c r="HRH15" s="257"/>
      <c r="HRI15" s="257"/>
      <c r="HRJ15" s="257"/>
      <c r="HRK15" s="257"/>
      <c r="HRL15" s="257"/>
      <c r="HRM15" s="257"/>
      <c r="HRN15" s="257"/>
      <c r="HRO15" s="257"/>
      <c r="HRP15" s="257"/>
      <c r="HRQ15" s="257"/>
      <c r="HRR15" s="257"/>
      <c r="HRS15" s="257"/>
      <c r="HRT15" s="257"/>
      <c r="HRU15" s="257"/>
      <c r="HRV15" s="257"/>
      <c r="HRW15" s="257"/>
      <c r="HRX15" s="257"/>
      <c r="HRY15" s="257"/>
      <c r="HRZ15" s="257"/>
      <c r="HSA15" s="257"/>
      <c r="HSB15" s="257"/>
      <c r="HSC15" s="257"/>
      <c r="HSD15" s="257"/>
      <c r="HSE15" s="257"/>
      <c r="HSF15" s="257"/>
      <c r="HSG15" s="257"/>
      <c r="HSH15" s="257"/>
      <c r="HSI15" s="257"/>
      <c r="HSJ15" s="257"/>
      <c r="HSK15" s="257"/>
      <c r="HSL15" s="257"/>
      <c r="HSM15" s="257"/>
      <c r="HSN15" s="257"/>
      <c r="HSO15" s="257"/>
      <c r="HSP15" s="257"/>
      <c r="HSQ15" s="257"/>
      <c r="HSR15" s="257"/>
      <c r="HSS15" s="257"/>
      <c r="HST15" s="257"/>
      <c r="HSU15" s="257"/>
      <c r="HSV15" s="257"/>
      <c r="HSW15" s="257"/>
      <c r="HSX15" s="257"/>
      <c r="HSY15" s="257"/>
      <c r="HSZ15" s="257"/>
      <c r="HTA15" s="257"/>
      <c r="HTB15" s="257"/>
      <c r="HTC15" s="257"/>
      <c r="HTD15" s="257"/>
      <c r="HTE15" s="257"/>
      <c r="HTF15" s="257"/>
      <c r="HTG15" s="257"/>
      <c r="HTH15" s="257"/>
      <c r="HTI15" s="257"/>
      <c r="HTJ15" s="257"/>
      <c r="HTK15" s="257"/>
      <c r="HTL15" s="257"/>
      <c r="HTM15" s="257"/>
      <c r="HTN15" s="257"/>
      <c r="HTO15" s="257"/>
      <c r="HTP15" s="257"/>
      <c r="HTQ15" s="257"/>
      <c r="HTR15" s="257"/>
      <c r="HTS15" s="257"/>
      <c r="HTT15" s="257"/>
      <c r="HTU15" s="257"/>
      <c r="HTV15" s="257"/>
      <c r="HTW15" s="257"/>
      <c r="HTX15" s="257"/>
      <c r="HTY15" s="257"/>
      <c r="HTZ15" s="257"/>
      <c r="HUA15" s="257"/>
      <c r="HUB15" s="257"/>
      <c r="HUC15" s="257"/>
      <c r="HUD15" s="257"/>
      <c r="HUE15" s="257"/>
      <c r="HUF15" s="257"/>
      <c r="HUG15" s="257"/>
      <c r="HUH15" s="257"/>
      <c r="HUI15" s="257"/>
      <c r="HUJ15" s="257"/>
      <c r="HUK15" s="257"/>
      <c r="HUL15" s="257"/>
      <c r="HUM15" s="257"/>
      <c r="HUN15" s="257"/>
      <c r="HUO15" s="257"/>
      <c r="HUP15" s="257"/>
      <c r="HUQ15" s="257"/>
      <c r="HUR15" s="257"/>
      <c r="HUS15" s="257"/>
      <c r="HUT15" s="257"/>
      <c r="HUU15" s="257"/>
      <c r="HUV15" s="257"/>
      <c r="HUW15" s="257"/>
      <c r="HUX15" s="257"/>
      <c r="HUY15" s="257"/>
      <c r="HUZ15" s="257"/>
      <c r="HVA15" s="257"/>
      <c r="HVB15" s="257"/>
      <c r="HVC15" s="257"/>
      <c r="HVD15" s="257"/>
      <c r="HVE15" s="257"/>
      <c r="HVF15" s="257"/>
      <c r="HVG15" s="257"/>
      <c r="HVH15" s="257"/>
      <c r="HVI15" s="257"/>
      <c r="HVJ15" s="257"/>
      <c r="HVK15" s="257"/>
      <c r="HVL15" s="257"/>
      <c r="HVM15" s="257"/>
      <c r="HVN15" s="257"/>
      <c r="HVO15" s="257"/>
      <c r="HVP15" s="257"/>
      <c r="HVQ15" s="257"/>
      <c r="HVR15" s="257"/>
      <c r="HVS15" s="257"/>
      <c r="HVT15" s="257"/>
      <c r="HVU15" s="257"/>
      <c r="HVV15" s="257"/>
      <c r="HVW15" s="257"/>
      <c r="HVX15" s="257"/>
      <c r="HVY15" s="257"/>
      <c r="HVZ15" s="257"/>
      <c r="HWA15" s="257"/>
      <c r="HWB15" s="257"/>
      <c r="HWC15" s="257"/>
      <c r="HWD15" s="257"/>
      <c r="HWE15" s="257"/>
      <c r="HWF15" s="257"/>
      <c r="HWG15" s="257"/>
      <c r="HWH15" s="257"/>
      <c r="HWI15" s="257"/>
      <c r="HWJ15" s="257"/>
      <c r="HWK15" s="257"/>
      <c r="HWL15" s="257"/>
      <c r="HWM15" s="257"/>
      <c r="HWN15" s="257"/>
      <c r="HWO15" s="257"/>
      <c r="HWP15" s="257"/>
      <c r="HWQ15" s="257"/>
      <c r="HWR15" s="257"/>
      <c r="HWS15" s="257"/>
      <c r="HWT15" s="257"/>
      <c r="HWU15" s="257"/>
      <c r="HWV15" s="257"/>
      <c r="HWW15" s="257"/>
      <c r="HWX15" s="257"/>
      <c r="HWY15" s="257"/>
      <c r="HWZ15" s="257"/>
      <c r="HXA15" s="257"/>
      <c r="HXB15" s="257"/>
      <c r="HXC15" s="257"/>
      <c r="HXD15" s="257"/>
      <c r="HXE15" s="257"/>
      <c r="HXF15" s="257"/>
      <c r="HXG15" s="257"/>
      <c r="HXH15" s="257"/>
      <c r="HXI15" s="257"/>
      <c r="HXJ15" s="257"/>
      <c r="HXK15" s="257"/>
      <c r="HXL15" s="257"/>
      <c r="HXM15" s="257"/>
      <c r="HXN15" s="257"/>
      <c r="HXO15" s="257"/>
      <c r="HXP15" s="257"/>
      <c r="HXQ15" s="257"/>
      <c r="HXR15" s="257"/>
      <c r="HXS15" s="257"/>
      <c r="HXT15" s="257"/>
      <c r="HXU15" s="257"/>
      <c r="HXV15" s="257"/>
      <c r="HXW15" s="257"/>
      <c r="HXX15" s="257"/>
      <c r="HXY15" s="257"/>
      <c r="HXZ15" s="257"/>
      <c r="HYA15" s="257"/>
      <c r="HYB15" s="257"/>
      <c r="HYC15" s="257"/>
      <c r="HYD15" s="257"/>
      <c r="HYE15" s="257"/>
      <c r="HYF15" s="257"/>
      <c r="HYG15" s="257"/>
      <c r="HYH15" s="257"/>
      <c r="HYI15" s="257"/>
      <c r="HYJ15" s="257"/>
      <c r="HYK15" s="257"/>
      <c r="HYL15" s="257"/>
      <c r="HYM15" s="257"/>
      <c r="HYN15" s="257"/>
      <c r="HYO15" s="257"/>
      <c r="HYP15" s="257"/>
      <c r="HYQ15" s="257"/>
      <c r="HYR15" s="257"/>
      <c r="HYS15" s="257"/>
      <c r="HYT15" s="257"/>
      <c r="HYU15" s="257"/>
      <c r="HYV15" s="257"/>
      <c r="HYW15" s="257"/>
      <c r="HYX15" s="257"/>
      <c r="HYY15" s="257"/>
      <c r="HYZ15" s="257"/>
      <c r="HZA15" s="257"/>
      <c r="HZB15" s="257"/>
      <c r="HZC15" s="257"/>
      <c r="HZD15" s="257"/>
      <c r="HZE15" s="257"/>
      <c r="HZF15" s="257"/>
      <c r="HZG15" s="257"/>
      <c r="HZH15" s="257"/>
      <c r="HZI15" s="257"/>
      <c r="HZJ15" s="257"/>
      <c r="HZK15" s="257"/>
      <c r="HZL15" s="257"/>
      <c r="HZM15" s="257"/>
      <c r="HZN15" s="257"/>
      <c r="HZO15" s="257"/>
      <c r="HZP15" s="257"/>
      <c r="HZQ15" s="257"/>
      <c r="HZR15" s="257"/>
      <c r="HZS15" s="257"/>
      <c r="HZT15" s="257"/>
      <c r="HZU15" s="257"/>
      <c r="HZV15" s="257"/>
      <c r="HZW15" s="257"/>
      <c r="HZX15" s="257"/>
      <c r="HZY15" s="257"/>
      <c r="HZZ15" s="257"/>
      <c r="IAA15" s="257"/>
      <c r="IAB15" s="257"/>
      <c r="IAC15" s="257"/>
      <c r="IAD15" s="257"/>
      <c r="IAE15" s="257"/>
      <c r="IAF15" s="257"/>
      <c r="IAG15" s="257"/>
      <c r="IAH15" s="257"/>
      <c r="IAI15" s="257"/>
      <c r="IAJ15" s="257"/>
      <c r="IAK15" s="257"/>
      <c r="IAL15" s="257"/>
      <c r="IAM15" s="257"/>
      <c r="IAN15" s="257"/>
      <c r="IAO15" s="257"/>
      <c r="IAP15" s="257"/>
      <c r="IAQ15" s="257"/>
      <c r="IAR15" s="257"/>
      <c r="IAS15" s="257"/>
      <c r="IAT15" s="257"/>
      <c r="IAU15" s="257"/>
      <c r="IAV15" s="257"/>
      <c r="IAW15" s="257"/>
      <c r="IAX15" s="257"/>
      <c r="IAY15" s="257"/>
      <c r="IAZ15" s="257"/>
      <c r="IBA15" s="257"/>
      <c r="IBB15" s="257"/>
      <c r="IBC15" s="257"/>
      <c r="IBD15" s="257"/>
      <c r="IBE15" s="257"/>
      <c r="IBF15" s="257"/>
      <c r="IBG15" s="257"/>
      <c r="IBH15" s="257"/>
      <c r="IBI15" s="257"/>
      <c r="IBJ15" s="257"/>
      <c r="IBK15" s="257"/>
      <c r="IBL15" s="257"/>
      <c r="IBM15" s="257"/>
      <c r="IBN15" s="257"/>
      <c r="IBO15" s="257"/>
      <c r="IBP15" s="257"/>
      <c r="IBQ15" s="257"/>
      <c r="IBR15" s="257"/>
      <c r="IBS15" s="257"/>
      <c r="IBT15" s="257"/>
      <c r="IBU15" s="257"/>
      <c r="IBV15" s="257"/>
      <c r="IBW15" s="257"/>
      <c r="IBX15" s="257"/>
      <c r="IBY15" s="257"/>
      <c r="IBZ15" s="257"/>
      <c r="ICA15" s="257"/>
      <c r="ICB15" s="257"/>
      <c r="ICC15" s="257"/>
      <c r="ICD15" s="257"/>
      <c r="ICE15" s="257"/>
      <c r="ICF15" s="257"/>
      <c r="ICG15" s="257"/>
      <c r="ICH15" s="257"/>
      <c r="ICI15" s="257"/>
      <c r="ICJ15" s="257"/>
      <c r="ICK15" s="257"/>
      <c r="ICL15" s="257"/>
      <c r="ICM15" s="257"/>
      <c r="ICN15" s="257"/>
      <c r="ICO15" s="257"/>
      <c r="ICP15" s="257"/>
      <c r="ICQ15" s="257"/>
      <c r="ICR15" s="257"/>
      <c r="ICS15" s="257"/>
      <c r="ICT15" s="257"/>
      <c r="ICU15" s="257"/>
      <c r="ICV15" s="257"/>
      <c r="ICW15" s="257"/>
      <c r="ICX15" s="257"/>
      <c r="ICY15" s="257"/>
      <c r="ICZ15" s="257"/>
      <c r="IDA15" s="257"/>
      <c r="IDB15" s="257"/>
      <c r="IDC15" s="257"/>
      <c r="IDD15" s="257"/>
      <c r="IDE15" s="257"/>
      <c r="IDF15" s="257"/>
      <c r="IDG15" s="257"/>
      <c r="IDH15" s="257"/>
      <c r="IDI15" s="257"/>
      <c r="IDJ15" s="257"/>
      <c r="IDK15" s="257"/>
      <c r="IDL15" s="257"/>
      <c r="IDM15" s="257"/>
      <c r="IDN15" s="257"/>
      <c r="IDO15" s="257"/>
      <c r="IDP15" s="257"/>
      <c r="IDQ15" s="257"/>
      <c r="IDR15" s="257"/>
      <c r="IDS15" s="257"/>
      <c r="IDT15" s="257"/>
      <c r="IDU15" s="257"/>
      <c r="IDV15" s="257"/>
      <c r="IDW15" s="257"/>
      <c r="IDX15" s="257"/>
      <c r="IDY15" s="257"/>
      <c r="IDZ15" s="257"/>
      <c r="IEA15" s="257"/>
      <c r="IEB15" s="257"/>
      <c r="IEC15" s="257"/>
      <c r="IED15" s="257"/>
      <c r="IEE15" s="257"/>
      <c r="IEF15" s="257"/>
      <c r="IEG15" s="257"/>
      <c r="IEH15" s="257"/>
      <c r="IEI15" s="257"/>
      <c r="IEJ15" s="257"/>
      <c r="IEK15" s="257"/>
      <c r="IEL15" s="257"/>
      <c r="IEM15" s="257"/>
      <c r="IEN15" s="257"/>
      <c r="IEO15" s="257"/>
      <c r="IEP15" s="257"/>
      <c r="IEQ15" s="257"/>
      <c r="IER15" s="257"/>
      <c r="IES15" s="257"/>
      <c r="IET15" s="257"/>
      <c r="IEU15" s="257"/>
      <c r="IEV15" s="257"/>
      <c r="IEW15" s="257"/>
      <c r="IEX15" s="257"/>
      <c r="IEY15" s="257"/>
      <c r="IEZ15" s="257"/>
      <c r="IFA15" s="257"/>
      <c r="IFB15" s="257"/>
      <c r="IFC15" s="257"/>
      <c r="IFD15" s="257"/>
      <c r="IFE15" s="257"/>
      <c r="IFF15" s="257"/>
      <c r="IFG15" s="257"/>
      <c r="IFH15" s="257"/>
      <c r="IFI15" s="257"/>
      <c r="IFJ15" s="257"/>
      <c r="IFK15" s="257"/>
      <c r="IFL15" s="257"/>
      <c r="IFM15" s="257"/>
      <c r="IFN15" s="257"/>
      <c r="IFO15" s="257"/>
      <c r="IFP15" s="257"/>
      <c r="IFQ15" s="257"/>
      <c r="IFR15" s="257"/>
      <c r="IFS15" s="257"/>
      <c r="IFT15" s="257"/>
      <c r="IFU15" s="257"/>
      <c r="IFV15" s="257"/>
      <c r="IFW15" s="257"/>
      <c r="IFX15" s="257"/>
      <c r="IFY15" s="257"/>
      <c r="IFZ15" s="257"/>
      <c r="IGA15" s="257"/>
      <c r="IGB15" s="257"/>
      <c r="IGC15" s="257"/>
      <c r="IGD15" s="257"/>
      <c r="IGE15" s="257"/>
      <c r="IGF15" s="257"/>
      <c r="IGG15" s="257"/>
      <c r="IGH15" s="257"/>
      <c r="IGI15" s="257"/>
      <c r="IGJ15" s="257"/>
      <c r="IGK15" s="257"/>
      <c r="IGL15" s="257"/>
      <c r="IGM15" s="257"/>
      <c r="IGN15" s="257"/>
      <c r="IGO15" s="257"/>
      <c r="IGP15" s="257"/>
      <c r="IGQ15" s="257"/>
      <c r="IGR15" s="257"/>
      <c r="IGS15" s="257"/>
      <c r="IGT15" s="257"/>
      <c r="IGU15" s="257"/>
      <c r="IGV15" s="257"/>
      <c r="IGW15" s="257"/>
      <c r="IGX15" s="257"/>
      <c r="IGY15" s="257"/>
      <c r="IGZ15" s="257"/>
      <c r="IHA15" s="257"/>
      <c r="IHB15" s="257"/>
      <c r="IHC15" s="257"/>
      <c r="IHD15" s="257"/>
      <c r="IHE15" s="257"/>
      <c r="IHF15" s="257"/>
      <c r="IHG15" s="257"/>
      <c r="IHH15" s="257"/>
      <c r="IHI15" s="257"/>
      <c r="IHJ15" s="257"/>
      <c r="IHK15" s="257"/>
      <c r="IHL15" s="257"/>
      <c r="IHM15" s="257"/>
      <c r="IHN15" s="257"/>
      <c r="IHO15" s="257"/>
      <c r="IHP15" s="257"/>
      <c r="IHQ15" s="257"/>
      <c r="IHR15" s="257"/>
      <c r="IHS15" s="257"/>
      <c r="IHT15" s="257"/>
      <c r="IHU15" s="257"/>
      <c r="IHV15" s="257"/>
      <c r="IHW15" s="257"/>
      <c r="IHX15" s="257"/>
      <c r="IHY15" s="257"/>
      <c r="IHZ15" s="257"/>
      <c r="IIA15" s="257"/>
      <c r="IIB15" s="257"/>
      <c r="IIC15" s="257"/>
      <c r="IID15" s="257"/>
      <c r="IIE15" s="257"/>
      <c r="IIF15" s="257"/>
      <c r="IIG15" s="257"/>
      <c r="IIH15" s="257"/>
      <c r="III15" s="257"/>
      <c r="IIJ15" s="257"/>
      <c r="IIK15" s="257"/>
      <c r="IIL15" s="257"/>
      <c r="IIM15" s="257"/>
      <c r="IIN15" s="257"/>
      <c r="IIO15" s="257"/>
      <c r="IIP15" s="257"/>
      <c r="IIQ15" s="257"/>
      <c r="IIR15" s="257"/>
      <c r="IIS15" s="257"/>
      <c r="IIT15" s="257"/>
      <c r="IIU15" s="257"/>
      <c r="IIV15" s="257"/>
      <c r="IIW15" s="257"/>
      <c r="IIX15" s="257"/>
      <c r="IIY15" s="257"/>
      <c r="IIZ15" s="257"/>
      <c r="IJA15" s="257"/>
      <c r="IJB15" s="257"/>
      <c r="IJC15" s="257"/>
      <c r="IJD15" s="257"/>
      <c r="IJE15" s="257"/>
      <c r="IJF15" s="257"/>
      <c r="IJG15" s="257"/>
      <c r="IJH15" s="257"/>
      <c r="IJI15" s="257"/>
      <c r="IJJ15" s="257"/>
      <c r="IJK15" s="257"/>
      <c r="IJL15" s="257"/>
      <c r="IJM15" s="257"/>
      <c r="IJN15" s="257"/>
      <c r="IJO15" s="257"/>
      <c r="IJP15" s="257"/>
      <c r="IJQ15" s="257"/>
      <c r="IJR15" s="257"/>
      <c r="IJS15" s="257"/>
      <c r="IJT15" s="257"/>
      <c r="IJU15" s="257"/>
      <c r="IJV15" s="257"/>
      <c r="IJW15" s="257"/>
      <c r="IJX15" s="257"/>
      <c r="IJY15" s="257"/>
      <c r="IJZ15" s="257"/>
      <c r="IKA15" s="257"/>
      <c r="IKB15" s="257"/>
      <c r="IKC15" s="257"/>
      <c r="IKD15" s="257"/>
      <c r="IKE15" s="257"/>
      <c r="IKF15" s="257"/>
      <c r="IKG15" s="257"/>
      <c r="IKH15" s="257"/>
      <c r="IKI15" s="257"/>
      <c r="IKJ15" s="257"/>
      <c r="IKK15" s="257"/>
      <c r="IKL15" s="257"/>
      <c r="IKM15" s="257"/>
      <c r="IKN15" s="257"/>
      <c r="IKO15" s="257"/>
      <c r="IKP15" s="257"/>
      <c r="IKQ15" s="257"/>
      <c r="IKR15" s="257"/>
      <c r="IKS15" s="257"/>
      <c r="IKT15" s="257"/>
      <c r="IKU15" s="257"/>
      <c r="IKV15" s="257"/>
      <c r="IKW15" s="257"/>
      <c r="IKX15" s="257"/>
      <c r="IKY15" s="257"/>
      <c r="IKZ15" s="257"/>
      <c r="ILA15" s="257"/>
      <c r="ILB15" s="257"/>
      <c r="ILC15" s="257"/>
      <c r="ILD15" s="257"/>
      <c r="ILE15" s="257"/>
      <c r="ILF15" s="257"/>
      <c r="ILG15" s="257"/>
      <c r="ILH15" s="257"/>
      <c r="ILI15" s="257"/>
      <c r="ILJ15" s="257"/>
      <c r="ILK15" s="257"/>
      <c r="ILL15" s="257"/>
      <c r="ILM15" s="257"/>
      <c r="ILN15" s="257"/>
      <c r="ILO15" s="257"/>
      <c r="ILP15" s="257"/>
      <c r="ILQ15" s="257"/>
      <c r="ILR15" s="257"/>
      <c r="ILS15" s="257"/>
      <c r="ILT15" s="257"/>
      <c r="ILU15" s="257"/>
      <c r="ILV15" s="257"/>
      <c r="ILW15" s="257"/>
      <c r="ILX15" s="257"/>
      <c r="ILY15" s="257"/>
      <c r="ILZ15" s="257"/>
      <c r="IMA15" s="257"/>
      <c r="IMB15" s="257"/>
      <c r="IMC15" s="257"/>
      <c r="IMD15" s="257"/>
      <c r="IME15" s="257"/>
      <c r="IMF15" s="257"/>
      <c r="IMG15" s="257"/>
      <c r="IMH15" s="257"/>
      <c r="IMI15" s="257"/>
      <c r="IMJ15" s="257"/>
      <c r="IMK15" s="257"/>
      <c r="IML15" s="257"/>
      <c r="IMM15" s="257"/>
      <c r="IMN15" s="257"/>
      <c r="IMO15" s="257"/>
      <c r="IMP15" s="257"/>
      <c r="IMQ15" s="257"/>
      <c r="IMR15" s="257"/>
      <c r="IMS15" s="257"/>
      <c r="IMT15" s="257"/>
      <c r="IMU15" s="257"/>
      <c r="IMV15" s="257"/>
      <c r="IMW15" s="257"/>
      <c r="IMX15" s="257"/>
      <c r="IMY15" s="257"/>
      <c r="IMZ15" s="257"/>
      <c r="INA15" s="257"/>
      <c r="INB15" s="257"/>
      <c r="INC15" s="257"/>
      <c r="IND15" s="257"/>
      <c r="INE15" s="257"/>
      <c r="INF15" s="257"/>
      <c r="ING15" s="257"/>
      <c r="INH15" s="257"/>
      <c r="INI15" s="257"/>
      <c r="INJ15" s="257"/>
      <c r="INK15" s="257"/>
      <c r="INL15" s="257"/>
      <c r="INM15" s="257"/>
      <c r="INN15" s="257"/>
      <c r="INO15" s="257"/>
      <c r="INP15" s="257"/>
      <c r="INQ15" s="257"/>
      <c r="INR15" s="257"/>
      <c r="INS15" s="257"/>
      <c r="INT15" s="257"/>
      <c r="INU15" s="257"/>
      <c r="INV15" s="257"/>
      <c r="INW15" s="257"/>
      <c r="INX15" s="257"/>
      <c r="INY15" s="257"/>
      <c r="INZ15" s="257"/>
      <c r="IOA15" s="257"/>
      <c r="IOB15" s="257"/>
      <c r="IOC15" s="257"/>
      <c r="IOD15" s="257"/>
      <c r="IOE15" s="257"/>
      <c r="IOF15" s="257"/>
      <c r="IOG15" s="257"/>
      <c r="IOH15" s="257"/>
      <c r="IOI15" s="257"/>
      <c r="IOJ15" s="257"/>
      <c r="IOK15" s="257"/>
      <c r="IOL15" s="257"/>
      <c r="IOM15" s="257"/>
      <c r="ION15" s="257"/>
      <c r="IOO15" s="257"/>
      <c r="IOP15" s="257"/>
      <c r="IOQ15" s="257"/>
      <c r="IOR15" s="257"/>
      <c r="IOS15" s="257"/>
      <c r="IOT15" s="257"/>
      <c r="IOU15" s="257"/>
      <c r="IOV15" s="257"/>
      <c r="IOW15" s="257"/>
      <c r="IOX15" s="257"/>
      <c r="IOY15" s="257"/>
      <c r="IOZ15" s="257"/>
      <c r="IPA15" s="257"/>
      <c r="IPB15" s="257"/>
      <c r="IPC15" s="257"/>
      <c r="IPD15" s="257"/>
      <c r="IPE15" s="257"/>
      <c r="IPF15" s="257"/>
      <c r="IPG15" s="257"/>
      <c r="IPH15" s="257"/>
      <c r="IPI15" s="257"/>
      <c r="IPJ15" s="257"/>
      <c r="IPK15" s="257"/>
      <c r="IPL15" s="257"/>
      <c r="IPM15" s="257"/>
      <c r="IPN15" s="257"/>
      <c r="IPO15" s="257"/>
      <c r="IPP15" s="257"/>
      <c r="IPQ15" s="257"/>
      <c r="IPR15" s="257"/>
      <c r="IPS15" s="257"/>
      <c r="IPT15" s="257"/>
      <c r="IPU15" s="257"/>
      <c r="IPV15" s="257"/>
      <c r="IPW15" s="257"/>
      <c r="IPX15" s="257"/>
      <c r="IPY15" s="257"/>
      <c r="IPZ15" s="257"/>
      <c r="IQA15" s="257"/>
      <c r="IQB15" s="257"/>
      <c r="IQC15" s="257"/>
      <c r="IQD15" s="257"/>
      <c r="IQE15" s="257"/>
      <c r="IQF15" s="257"/>
      <c r="IQG15" s="257"/>
      <c r="IQH15" s="257"/>
      <c r="IQI15" s="257"/>
      <c r="IQJ15" s="257"/>
      <c r="IQK15" s="257"/>
      <c r="IQL15" s="257"/>
      <c r="IQM15" s="257"/>
      <c r="IQN15" s="257"/>
      <c r="IQO15" s="257"/>
      <c r="IQP15" s="257"/>
      <c r="IQQ15" s="257"/>
      <c r="IQR15" s="257"/>
      <c r="IQS15" s="257"/>
      <c r="IQT15" s="257"/>
      <c r="IQU15" s="257"/>
      <c r="IQV15" s="257"/>
      <c r="IQW15" s="257"/>
      <c r="IQX15" s="257"/>
      <c r="IQY15" s="257"/>
      <c r="IQZ15" s="257"/>
      <c r="IRA15" s="257"/>
      <c r="IRB15" s="257"/>
      <c r="IRC15" s="257"/>
      <c r="IRD15" s="257"/>
      <c r="IRE15" s="257"/>
      <c r="IRF15" s="257"/>
      <c r="IRG15" s="257"/>
      <c r="IRH15" s="257"/>
      <c r="IRI15" s="257"/>
      <c r="IRJ15" s="257"/>
      <c r="IRK15" s="257"/>
      <c r="IRL15" s="257"/>
      <c r="IRM15" s="257"/>
      <c r="IRN15" s="257"/>
      <c r="IRO15" s="257"/>
      <c r="IRP15" s="257"/>
      <c r="IRQ15" s="257"/>
      <c r="IRR15" s="257"/>
      <c r="IRS15" s="257"/>
      <c r="IRT15" s="257"/>
      <c r="IRU15" s="257"/>
      <c r="IRV15" s="257"/>
      <c r="IRW15" s="257"/>
      <c r="IRX15" s="257"/>
      <c r="IRY15" s="257"/>
      <c r="IRZ15" s="257"/>
      <c r="ISA15" s="257"/>
      <c r="ISB15" s="257"/>
      <c r="ISC15" s="257"/>
      <c r="ISD15" s="257"/>
      <c r="ISE15" s="257"/>
      <c r="ISF15" s="257"/>
      <c r="ISG15" s="257"/>
      <c r="ISH15" s="257"/>
      <c r="ISI15" s="257"/>
      <c r="ISJ15" s="257"/>
      <c r="ISK15" s="257"/>
      <c r="ISL15" s="257"/>
      <c r="ISM15" s="257"/>
      <c r="ISN15" s="257"/>
      <c r="ISO15" s="257"/>
      <c r="ISP15" s="257"/>
      <c r="ISQ15" s="257"/>
      <c r="ISR15" s="257"/>
      <c r="ISS15" s="257"/>
      <c r="IST15" s="257"/>
      <c r="ISU15" s="257"/>
      <c r="ISV15" s="257"/>
      <c r="ISW15" s="257"/>
      <c r="ISX15" s="257"/>
      <c r="ISY15" s="257"/>
      <c r="ISZ15" s="257"/>
      <c r="ITA15" s="257"/>
      <c r="ITB15" s="257"/>
      <c r="ITC15" s="257"/>
      <c r="ITD15" s="257"/>
      <c r="ITE15" s="257"/>
      <c r="ITF15" s="257"/>
      <c r="ITG15" s="257"/>
      <c r="ITH15" s="257"/>
      <c r="ITI15" s="257"/>
      <c r="ITJ15" s="257"/>
      <c r="ITK15" s="257"/>
      <c r="ITL15" s="257"/>
      <c r="ITM15" s="257"/>
      <c r="ITN15" s="257"/>
      <c r="ITO15" s="257"/>
      <c r="ITP15" s="257"/>
      <c r="ITQ15" s="257"/>
      <c r="ITR15" s="257"/>
      <c r="ITS15" s="257"/>
      <c r="ITT15" s="257"/>
      <c r="ITU15" s="257"/>
      <c r="ITV15" s="257"/>
      <c r="ITW15" s="257"/>
      <c r="ITX15" s="257"/>
      <c r="ITY15" s="257"/>
      <c r="ITZ15" s="257"/>
      <c r="IUA15" s="257"/>
      <c r="IUB15" s="257"/>
      <c r="IUC15" s="257"/>
      <c r="IUD15" s="257"/>
      <c r="IUE15" s="257"/>
      <c r="IUF15" s="257"/>
      <c r="IUG15" s="257"/>
      <c r="IUH15" s="257"/>
      <c r="IUI15" s="257"/>
      <c r="IUJ15" s="257"/>
      <c r="IUK15" s="257"/>
      <c r="IUL15" s="257"/>
      <c r="IUM15" s="257"/>
      <c r="IUN15" s="257"/>
      <c r="IUO15" s="257"/>
      <c r="IUP15" s="257"/>
      <c r="IUQ15" s="257"/>
      <c r="IUR15" s="257"/>
      <c r="IUS15" s="257"/>
      <c r="IUT15" s="257"/>
      <c r="IUU15" s="257"/>
      <c r="IUV15" s="257"/>
      <c r="IUW15" s="257"/>
      <c r="IUX15" s="257"/>
      <c r="IUY15" s="257"/>
      <c r="IUZ15" s="257"/>
      <c r="IVA15" s="257"/>
      <c r="IVB15" s="257"/>
      <c r="IVC15" s="257"/>
      <c r="IVD15" s="257"/>
      <c r="IVE15" s="257"/>
      <c r="IVF15" s="257"/>
      <c r="IVG15" s="257"/>
      <c r="IVH15" s="257"/>
      <c r="IVI15" s="257"/>
      <c r="IVJ15" s="257"/>
      <c r="IVK15" s="257"/>
      <c r="IVL15" s="257"/>
      <c r="IVM15" s="257"/>
      <c r="IVN15" s="257"/>
      <c r="IVO15" s="257"/>
      <c r="IVP15" s="257"/>
      <c r="IVQ15" s="257"/>
      <c r="IVR15" s="257"/>
      <c r="IVS15" s="257"/>
      <c r="IVT15" s="257"/>
      <c r="IVU15" s="257"/>
      <c r="IVV15" s="257"/>
      <c r="IVW15" s="257"/>
      <c r="IVX15" s="257"/>
      <c r="IVY15" s="257"/>
      <c r="IVZ15" s="257"/>
      <c r="IWA15" s="257"/>
      <c r="IWB15" s="257"/>
      <c r="IWC15" s="257"/>
      <c r="IWD15" s="257"/>
      <c r="IWE15" s="257"/>
      <c r="IWF15" s="257"/>
      <c r="IWG15" s="257"/>
      <c r="IWH15" s="257"/>
      <c r="IWI15" s="257"/>
      <c r="IWJ15" s="257"/>
      <c r="IWK15" s="257"/>
      <c r="IWL15" s="257"/>
      <c r="IWM15" s="257"/>
      <c r="IWN15" s="257"/>
      <c r="IWO15" s="257"/>
      <c r="IWP15" s="257"/>
      <c r="IWQ15" s="257"/>
      <c r="IWR15" s="257"/>
      <c r="IWS15" s="257"/>
      <c r="IWT15" s="257"/>
      <c r="IWU15" s="257"/>
      <c r="IWV15" s="257"/>
      <c r="IWW15" s="257"/>
      <c r="IWX15" s="257"/>
      <c r="IWY15" s="257"/>
      <c r="IWZ15" s="257"/>
      <c r="IXA15" s="257"/>
      <c r="IXB15" s="257"/>
      <c r="IXC15" s="257"/>
      <c r="IXD15" s="257"/>
      <c r="IXE15" s="257"/>
      <c r="IXF15" s="257"/>
      <c r="IXG15" s="257"/>
      <c r="IXH15" s="257"/>
      <c r="IXI15" s="257"/>
      <c r="IXJ15" s="257"/>
      <c r="IXK15" s="257"/>
      <c r="IXL15" s="257"/>
      <c r="IXM15" s="257"/>
      <c r="IXN15" s="257"/>
      <c r="IXO15" s="257"/>
      <c r="IXP15" s="257"/>
      <c r="IXQ15" s="257"/>
      <c r="IXR15" s="257"/>
      <c r="IXS15" s="257"/>
      <c r="IXT15" s="257"/>
      <c r="IXU15" s="257"/>
      <c r="IXV15" s="257"/>
      <c r="IXW15" s="257"/>
      <c r="IXX15" s="257"/>
      <c r="IXY15" s="257"/>
      <c r="IXZ15" s="257"/>
      <c r="IYA15" s="257"/>
      <c r="IYB15" s="257"/>
      <c r="IYC15" s="257"/>
      <c r="IYD15" s="257"/>
      <c r="IYE15" s="257"/>
      <c r="IYF15" s="257"/>
      <c r="IYG15" s="257"/>
      <c r="IYH15" s="257"/>
      <c r="IYI15" s="257"/>
      <c r="IYJ15" s="257"/>
      <c r="IYK15" s="257"/>
      <c r="IYL15" s="257"/>
      <c r="IYM15" s="257"/>
      <c r="IYN15" s="257"/>
      <c r="IYO15" s="257"/>
      <c r="IYP15" s="257"/>
      <c r="IYQ15" s="257"/>
      <c r="IYR15" s="257"/>
      <c r="IYS15" s="257"/>
      <c r="IYT15" s="257"/>
      <c r="IYU15" s="257"/>
      <c r="IYV15" s="257"/>
      <c r="IYW15" s="257"/>
      <c r="IYX15" s="257"/>
      <c r="IYY15" s="257"/>
      <c r="IYZ15" s="257"/>
      <c r="IZA15" s="257"/>
      <c r="IZB15" s="257"/>
      <c r="IZC15" s="257"/>
      <c r="IZD15" s="257"/>
      <c r="IZE15" s="257"/>
      <c r="IZF15" s="257"/>
      <c r="IZG15" s="257"/>
      <c r="IZH15" s="257"/>
      <c r="IZI15" s="257"/>
      <c r="IZJ15" s="257"/>
      <c r="IZK15" s="257"/>
      <c r="IZL15" s="257"/>
      <c r="IZM15" s="257"/>
      <c r="IZN15" s="257"/>
      <c r="IZO15" s="257"/>
      <c r="IZP15" s="257"/>
      <c r="IZQ15" s="257"/>
      <c r="IZR15" s="257"/>
      <c r="IZS15" s="257"/>
      <c r="IZT15" s="257"/>
      <c r="IZU15" s="257"/>
      <c r="IZV15" s="257"/>
      <c r="IZW15" s="257"/>
      <c r="IZX15" s="257"/>
      <c r="IZY15" s="257"/>
      <c r="IZZ15" s="257"/>
      <c r="JAA15" s="257"/>
      <c r="JAB15" s="257"/>
      <c r="JAC15" s="257"/>
      <c r="JAD15" s="257"/>
      <c r="JAE15" s="257"/>
      <c r="JAF15" s="257"/>
      <c r="JAG15" s="257"/>
      <c r="JAH15" s="257"/>
      <c r="JAI15" s="257"/>
      <c r="JAJ15" s="257"/>
      <c r="JAK15" s="257"/>
      <c r="JAL15" s="257"/>
      <c r="JAM15" s="257"/>
      <c r="JAN15" s="257"/>
      <c r="JAO15" s="257"/>
      <c r="JAP15" s="257"/>
      <c r="JAQ15" s="257"/>
      <c r="JAR15" s="257"/>
      <c r="JAS15" s="257"/>
      <c r="JAT15" s="257"/>
      <c r="JAU15" s="257"/>
      <c r="JAV15" s="257"/>
      <c r="JAW15" s="257"/>
      <c r="JAX15" s="257"/>
      <c r="JAY15" s="257"/>
      <c r="JAZ15" s="257"/>
      <c r="JBA15" s="257"/>
      <c r="JBB15" s="257"/>
      <c r="JBC15" s="257"/>
      <c r="JBD15" s="257"/>
      <c r="JBE15" s="257"/>
      <c r="JBF15" s="257"/>
      <c r="JBG15" s="257"/>
      <c r="JBH15" s="257"/>
      <c r="JBI15" s="257"/>
      <c r="JBJ15" s="257"/>
      <c r="JBK15" s="257"/>
      <c r="JBL15" s="257"/>
      <c r="JBM15" s="257"/>
      <c r="JBN15" s="257"/>
      <c r="JBO15" s="257"/>
      <c r="JBP15" s="257"/>
      <c r="JBQ15" s="257"/>
      <c r="JBR15" s="257"/>
      <c r="JBS15" s="257"/>
      <c r="JBT15" s="257"/>
      <c r="JBU15" s="257"/>
      <c r="JBV15" s="257"/>
      <c r="JBW15" s="257"/>
      <c r="JBX15" s="257"/>
      <c r="JBY15" s="257"/>
      <c r="JBZ15" s="257"/>
      <c r="JCA15" s="257"/>
      <c r="JCB15" s="257"/>
      <c r="JCC15" s="257"/>
      <c r="JCD15" s="257"/>
      <c r="JCE15" s="257"/>
      <c r="JCF15" s="257"/>
      <c r="JCG15" s="257"/>
      <c r="JCH15" s="257"/>
      <c r="JCI15" s="257"/>
      <c r="JCJ15" s="257"/>
      <c r="JCK15" s="257"/>
      <c r="JCL15" s="257"/>
      <c r="JCM15" s="257"/>
      <c r="JCN15" s="257"/>
      <c r="JCO15" s="257"/>
      <c r="JCP15" s="257"/>
      <c r="JCQ15" s="257"/>
      <c r="JCR15" s="257"/>
      <c r="JCS15" s="257"/>
      <c r="JCT15" s="257"/>
      <c r="JCU15" s="257"/>
      <c r="JCV15" s="257"/>
      <c r="JCW15" s="257"/>
      <c r="JCX15" s="257"/>
      <c r="JCY15" s="257"/>
      <c r="JCZ15" s="257"/>
      <c r="JDA15" s="257"/>
      <c r="JDB15" s="257"/>
      <c r="JDC15" s="257"/>
      <c r="JDD15" s="257"/>
      <c r="JDE15" s="257"/>
      <c r="JDF15" s="257"/>
      <c r="JDG15" s="257"/>
      <c r="JDH15" s="257"/>
      <c r="JDI15" s="257"/>
      <c r="JDJ15" s="257"/>
      <c r="JDK15" s="257"/>
      <c r="JDL15" s="257"/>
      <c r="JDM15" s="257"/>
      <c r="JDN15" s="257"/>
      <c r="JDO15" s="257"/>
      <c r="JDP15" s="257"/>
      <c r="JDQ15" s="257"/>
      <c r="JDR15" s="257"/>
      <c r="JDS15" s="257"/>
      <c r="JDT15" s="257"/>
      <c r="JDU15" s="257"/>
      <c r="JDV15" s="257"/>
      <c r="JDW15" s="257"/>
      <c r="JDX15" s="257"/>
      <c r="JDY15" s="257"/>
      <c r="JDZ15" s="257"/>
      <c r="JEA15" s="257"/>
      <c r="JEB15" s="257"/>
      <c r="JEC15" s="257"/>
      <c r="JED15" s="257"/>
      <c r="JEE15" s="257"/>
      <c r="JEF15" s="257"/>
      <c r="JEG15" s="257"/>
      <c r="JEH15" s="257"/>
      <c r="JEI15" s="257"/>
      <c r="JEJ15" s="257"/>
      <c r="JEK15" s="257"/>
      <c r="JEL15" s="257"/>
      <c r="JEM15" s="257"/>
      <c r="JEN15" s="257"/>
      <c r="JEO15" s="257"/>
      <c r="JEP15" s="257"/>
      <c r="JEQ15" s="257"/>
      <c r="JER15" s="257"/>
      <c r="JES15" s="257"/>
      <c r="JET15" s="257"/>
      <c r="JEU15" s="257"/>
      <c r="JEV15" s="257"/>
      <c r="JEW15" s="257"/>
      <c r="JEX15" s="257"/>
      <c r="JEY15" s="257"/>
      <c r="JEZ15" s="257"/>
      <c r="JFA15" s="257"/>
      <c r="JFB15" s="257"/>
      <c r="JFC15" s="257"/>
      <c r="JFD15" s="257"/>
      <c r="JFE15" s="257"/>
      <c r="JFF15" s="257"/>
      <c r="JFG15" s="257"/>
      <c r="JFH15" s="257"/>
      <c r="JFI15" s="257"/>
      <c r="JFJ15" s="257"/>
      <c r="JFK15" s="257"/>
      <c r="JFL15" s="257"/>
      <c r="JFM15" s="257"/>
      <c r="JFN15" s="257"/>
      <c r="JFO15" s="257"/>
      <c r="JFP15" s="257"/>
      <c r="JFQ15" s="257"/>
      <c r="JFR15" s="257"/>
      <c r="JFS15" s="257"/>
      <c r="JFT15" s="257"/>
      <c r="JFU15" s="257"/>
      <c r="JFV15" s="257"/>
      <c r="JFW15" s="257"/>
      <c r="JFX15" s="257"/>
      <c r="JFY15" s="257"/>
      <c r="JFZ15" s="257"/>
      <c r="JGA15" s="257"/>
      <c r="JGB15" s="257"/>
      <c r="JGC15" s="257"/>
      <c r="JGD15" s="257"/>
      <c r="JGE15" s="257"/>
      <c r="JGF15" s="257"/>
      <c r="JGG15" s="257"/>
      <c r="JGH15" s="257"/>
      <c r="JGI15" s="257"/>
      <c r="JGJ15" s="257"/>
      <c r="JGK15" s="257"/>
      <c r="JGL15" s="257"/>
      <c r="JGM15" s="257"/>
      <c r="JGN15" s="257"/>
      <c r="JGO15" s="257"/>
      <c r="JGP15" s="257"/>
      <c r="JGQ15" s="257"/>
      <c r="JGR15" s="257"/>
      <c r="JGS15" s="257"/>
      <c r="JGT15" s="257"/>
      <c r="JGU15" s="257"/>
      <c r="JGV15" s="257"/>
      <c r="JGW15" s="257"/>
      <c r="JGX15" s="257"/>
      <c r="JGY15" s="257"/>
      <c r="JGZ15" s="257"/>
      <c r="JHA15" s="257"/>
      <c r="JHB15" s="257"/>
      <c r="JHC15" s="257"/>
      <c r="JHD15" s="257"/>
      <c r="JHE15" s="257"/>
      <c r="JHF15" s="257"/>
      <c r="JHG15" s="257"/>
      <c r="JHH15" s="257"/>
      <c r="JHI15" s="257"/>
      <c r="JHJ15" s="257"/>
      <c r="JHK15" s="257"/>
      <c r="JHL15" s="257"/>
      <c r="JHM15" s="257"/>
      <c r="JHN15" s="257"/>
      <c r="JHO15" s="257"/>
      <c r="JHP15" s="257"/>
      <c r="JHQ15" s="257"/>
      <c r="JHR15" s="257"/>
      <c r="JHS15" s="257"/>
      <c r="JHT15" s="257"/>
      <c r="JHU15" s="257"/>
      <c r="JHV15" s="257"/>
      <c r="JHW15" s="257"/>
      <c r="JHX15" s="257"/>
      <c r="JHY15" s="257"/>
      <c r="JHZ15" s="257"/>
      <c r="JIA15" s="257"/>
      <c r="JIB15" s="257"/>
      <c r="JIC15" s="257"/>
      <c r="JID15" s="257"/>
      <c r="JIE15" s="257"/>
      <c r="JIF15" s="257"/>
      <c r="JIG15" s="257"/>
      <c r="JIH15" s="257"/>
      <c r="JII15" s="257"/>
      <c r="JIJ15" s="257"/>
      <c r="JIK15" s="257"/>
      <c r="JIL15" s="257"/>
      <c r="JIM15" s="257"/>
      <c r="JIN15" s="257"/>
      <c r="JIO15" s="257"/>
      <c r="JIP15" s="257"/>
      <c r="JIQ15" s="257"/>
      <c r="JIR15" s="257"/>
      <c r="JIS15" s="257"/>
      <c r="JIT15" s="257"/>
      <c r="JIU15" s="257"/>
      <c r="JIV15" s="257"/>
      <c r="JIW15" s="257"/>
      <c r="JIX15" s="257"/>
      <c r="JIY15" s="257"/>
      <c r="JIZ15" s="257"/>
      <c r="JJA15" s="257"/>
      <c r="JJB15" s="257"/>
      <c r="JJC15" s="257"/>
      <c r="JJD15" s="257"/>
      <c r="JJE15" s="257"/>
      <c r="JJF15" s="257"/>
      <c r="JJG15" s="257"/>
      <c r="JJH15" s="257"/>
      <c r="JJI15" s="257"/>
      <c r="JJJ15" s="257"/>
      <c r="JJK15" s="257"/>
      <c r="JJL15" s="257"/>
      <c r="JJM15" s="257"/>
      <c r="JJN15" s="257"/>
      <c r="JJO15" s="257"/>
      <c r="JJP15" s="257"/>
      <c r="JJQ15" s="257"/>
      <c r="JJR15" s="257"/>
      <c r="JJS15" s="257"/>
      <c r="JJT15" s="257"/>
      <c r="JJU15" s="257"/>
      <c r="JJV15" s="257"/>
      <c r="JJW15" s="257"/>
      <c r="JJX15" s="257"/>
      <c r="JJY15" s="257"/>
      <c r="JJZ15" s="257"/>
      <c r="JKA15" s="257"/>
      <c r="JKB15" s="257"/>
      <c r="JKC15" s="257"/>
      <c r="JKD15" s="257"/>
      <c r="JKE15" s="257"/>
      <c r="JKF15" s="257"/>
      <c r="JKG15" s="257"/>
      <c r="JKH15" s="257"/>
      <c r="JKI15" s="257"/>
      <c r="JKJ15" s="257"/>
      <c r="JKK15" s="257"/>
      <c r="JKL15" s="257"/>
      <c r="JKM15" s="257"/>
      <c r="JKN15" s="257"/>
      <c r="JKO15" s="257"/>
      <c r="JKP15" s="257"/>
      <c r="JKQ15" s="257"/>
      <c r="JKR15" s="257"/>
      <c r="JKS15" s="257"/>
      <c r="JKT15" s="257"/>
      <c r="JKU15" s="257"/>
      <c r="JKV15" s="257"/>
      <c r="JKW15" s="257"/>
      <c r="JKX15" s="257"/>
      <c r="JKY15" s="257"/>
      <c r="JKZ15" s="257"/>
      <c r="JLA15" s="257"/>
      <c r="JLB15" s="257"/>
      <c r="JLC15" s="257"/>
      <c r="JLD15" s="257"/>
      <c r="JLE15" s="257"/>
      <c r="JLF15" s="257"/>
      <c r="JLG15" s="257"/>
      <c r="JLH15" s="257"/>
      <c r="JLI15" s="257"/>
      <c r="JLJ15" s="257"/>
      <c r="JLK15" s="257"/>
      <c r="JLL15" s="257"/>
      <c r="JLM15" s="257"/>
      <c r="JLN15" s="257"/>
      <c r="JLO15" s="257"/>
      <c r="JLP15" s="257"/>
      <c r="JLQ15" s="257"/>
      <c r="JLR15" s="257"/>
      <c r="JLS15" s="257"/>
      <c r="JLT15" s="257"/>
      <c r="JLU15" s="257"/>
      <c r="JLV15" s="257"/>
      <c r="JLW15" s="257"/>
      <c r="JLX15" s="257"/>
      <c r="JLY15" s="257"/>
      <c r="JLZ15" s="257"/>
      <c r="JMA15" s="257"/>
      <c r="JMB15" s="257"/>
      <c r="JMC15" s="257"/>
      <c r="JMD15" s="257"/>
      <c r="JME15" s="257"/>
      <c r="JMF15" s="257"/>
      <c r="JMG15" s="257"/>
      <c r="JMH15" s="257"/>
      <c r="JMI15" s="257"/>
      <c r="JMJ15" s="257"/>
      <c r="JMK15" s="257"/>
      <c r="JML15" s="257"/>
      <c r="JMM15" s="257"/>
      <c r="JMN15" s="257"/>
      <c r="JMO15" s="257"/>
      <c r="JMP15" s="257"/>
      <c r="JMQ15" s="257"/>
      <c r="JMR15" s="257"/>
      <c r="JMS15" s="257"/>
      <c r="JMT15" s="257"/>
      <c r="JMU15" s="257"/>
      <c r="JMV15" s="257"/>
      <c r="JMW15" s="257"/>
      <c r="JMX15" s="257"/>
      <c r="JMY15" s="257"/>
      <c r="JMZ15" s="257"/>
      <c r="JNA15" s="257"/>
      <c r="JNB15" s="257"/>
      <c r="JNC15" s="257"/>
      <c r="JND15" s="257"/>
      <c r="JNE15" s="257"/>
      <c r="JNF15" s="257"/>
      <c r="JNG15" s="257"/>
      <c r="JNH15" s="257"/>
      <c r="JNI15" s="257"/>
      <c r="JNJ15" s="257"/>
      <c r="JNK15" s="257"/>
      <c r="JNL15" s="257"/>
      <c r="JNM15" s="257"/>
      <c r="JNN15" s="257"/>
      <c r="JNO15" s="257"/>
      <c r="JNP15" s="257"/>
      <c r="JNQ15" s="257"/>
      <c r="JNR15" s="257"/>
      <c r="JNS15" s="257"/>
      <c r="JNT15" s="257"/>
      <c r="JNU15" s="257"/>
      <c r="JNV15" s="257"/>
      <c r="JNW15" s="257"/>
      <c r="JNX15" s="257"/>
      <c r="JNY15" s="257"/>
      <c r="JNZ15" s="257"/>
      <c r="JOA15" s="257"/>
      <c r="JOB15" s="257"/>
      <c r="JOC15" s="257"/>
      <c r="JOD15" s="257"/>
      <c r="JOE15" s="257"/>
      <c r="JOF15" s="257"/>
      <c r="JOG15" s="257"/>
      <c r="JOH15" s="257"/>
      <c r="JOI15" s="257"/>
      <c r="JOJ15" s="257"/>
      <c r="JOK15" s="257"/>
      <c r="JOL15" s="257"/>
      <c r="JOM15" s="257"/>
      <c r="JON15" s="257"/>
      <c r="JOO15" s="257"/>
      <c r="JOP15" s="257"/>
      <c r="JOQ15" s="257"/>
      <c r="JOR15" s="257"/>
      <c r="JOS15" s="257"/>
      <c r="JOT15" s="257"/>
      <c r="JOU15" s="257"/>
      <c r="JOV15" s="257"/>
      <c r="JOW15" s="257"/>
      <c r="JOX15" s="257"/>
      <c r="JOY15" s="257"/>
      <c r="JOZ15" s="257"/>
      <c r="JPA15" s="257"/>
      <c r="JPB15" s="257"/>
      <c r="JPC15" s="257"/>
      <c r="JPD15" s="257"/>
      <c r="JPE15" s="257"/>
      <c r="JPF15" s="257"/>
      <c r="JPG15" s="257"/>
      <c r="JPH15" s="257"/>
      <c r="JPI15" s="257"/>
      <c r="JPJ15" s="257"/>
      <c r="JPK15" s="257"/>
      <c r="JPL15" s="257"/>
      <c r="JPM15" s="257"/>
      <c r="JPN15" s="257"/>
      <c r="JPO15" s="257"/>
      <c r="JPP15" s="257"/>
      <c r="JPQ15" s="257"/>
      <c r="JPR15" s="257"/>
      <c r="JPS15" s="257"/>
      <c r="JPT15" s="257"/>
      <c r="JPU15" s="257"/>
      <c r="JPV15" s="257"/>
      <c r="JPW15" s="257"/>
      <c r="JPX15" s="257"/>
      <c r="JPY15" s="257"/>
      <c r="JPZ15" s="257"/>
      <c r="JQA15" s="257"/>
      <c r="JQB15" s="257"/>
      <c r="JQC15" s="257"/>
      <c r="JQD15" s="257"/>
      <c r="JQE15" s="257"/>
      <c r="JQF15" s="257"/>
      <c r="JQG15" s="257"/>
      <c r="JQH15" s="257"/>
      <c r="JQI15" s="257"/>
      <c r="JQJ15" s="257"/>
      <c r="JQK15" s="257"/>
      <c r="JQL15" s="257"/>
      <c r="JQM15" s="257"/>
      <c r="JQN15" s="257"/>
      <c r="JQO15" s="257"/>
      <c r="JQP15" s="257"/>
      <c r="JQQ15" s="257"/>
      <c r="JQR15" s="257"/>
      <c r="JQS15" s="257"/>
      <c r="JQT15" s="257"/>
      <c r="JQU15" s="257"/>
      <c r="JQV15" s="257"/>
      <c r="JQW15" s="257"/>
      <c r="JQX15" s="257"/>
      <c r="JQY15" s="257"/>
      <c r="JQZ15" s="257"/>
      <c r="JRA15" s="257"/>
      <c r="JRB15" s="257"/>
      <c r="JRC15" s="257"/>
      <c r="JRD15" s="257"/>
      <c r="JRE15" s="257"/>
      <c r="JRF15" s="257"/>
      <c r="JRG15" s="257"/>
      <c r="JRH15" s="257"/>
      <c r="JRI15" s="257"/>
      <c r="JRJ15" s="257"/>
      <c r="JRK15" s="257"/>
      <c r="JRL15" s="257"/>
      <c r="JRM15" s="257"/>
      <c r="JRN15" s="257"/>
      <c r="JRO15" s="257"/>
      <c r="JRP15" s="257"/>
      <c r="JRQ15" s="257"/>
      <c r="JRR15" s="257"/>
      <c r="JRS15" s="257"/>
      <c r="JRT15" s="257"/>
      <c r="JRU15" s="257"/>
      <c r="JRV15" s="257"/>
      <c r="JRW15" s="257"/>
      <c r="JRX15" s="257"/>
      <c r="JRY15" s="257"/>
      <c r="JRZ15" s="257"/>
      <c r="JSA15" s="257"/>
      <c r="JSB15" s="257"/>
      <c r="JSC15" s="257"/>
      <c r="JSD15" s="257"/>
      <c r="JSE15" s="257"/>
      <c r="JSF15" s="257"/>
      <c r="JSG15" s="257"/>
      <c r="JSH15" s="257"/>
      <c r="JSI15" s="257"/>
      <c r="JSJ15" s="257"/>
      <c r="JSK15" s="257"/>
      <c r="JSL15" s="257"/>
      <c r="JSM15" s="257"/>
      <c r="JSN15" s="257"/>
      <c r="JSO15" s="257"/>
      <c r="JSP15" s="257"/>
      <c r="JSQ15" s="257"/>
      <c r="JSR15" s="257"/>
      <c r="JSS15" s="257"/>
      <c r="JST15" s="257"/>
      <c r="JSU15" s="257"/>
      <c r="JSV15" s="257"/>
      <c r="JSW15" s="257"/>
      <c r="JSX15" s="257"/>
      <c r="JSY15" s="257"/>
      <c r="JSZ15" s="257"/>
      <c r="JTA15" s="257"/>
      <c r="JTB15" s="257"/>
      <c r="JTC15" s="257"/>
      <c r="JTD15" s="257"/>
      <c r="JTE15" s="257"/>
      <c r="JTF15" s="257"/>
      <c r="JTG15" s="257"/>
      <c r="JTH15" s="257"/>
      <c r="JTI15" s="257"/>
      <c r="JTJ15" s="257"/>
      <c r="JTK15" s="257"/>
      <c r="JTL15" s="257"/>
      <c r="JTM15" s="257"/>
      <c r="JTN15" s="257"/>
      <c r="JTO15" s="257"/>
      <c r="JTP15" s="257"/>
      <c r="JTQ15" s="257"/>
      <c r="JTR15" s="257"/>
      <c r="JTS15" s="257"/>
      <c r="JTT15" s="257"/>
      <c r="JTU15" s="257"/>
      <c r="JTV15" s="257"/>
      <c r="JTW15" s="257"/>
      <c r="JTX15" s="257"/>
      <c r="JTY15" s="257"/>
      <c r="JTZ15" s="257"/>
      <c r="JUA15" s="257"/>
      <c r="JUB15" s="257"/>
      <c r="JUC15" s="257"/>
      <c r="JUD15" s="257"/>
      <c r="JUE15" s="257"/>
      <c r="JUF15" s="257"/>
      <c r="JUG15" s="257"/>
      <c r="JUH15" s="257"/>
      <c r="JUI15" s="257"/>
      <c r="JUJ15" s="257"/>
      <c r="JUK15" s="257"/>
      <c r="JUL15" s="257"/>
      <c r="JUM15" s="257"/>
      <c r="JUN15" s="257"/>
      <c r="JUO15" s="257"/>
      <c r="JUP15" s="257"/>
      <c r="JUQ15" s="257"/>
      <c r="JUR15" s="257"/>
      <c r="JUS15" s="257"/>
      <c r="JUT15" s="257"/>
      <c r="JUU15" s="257"/>
      <c r="JUV15" s="257"/>
      <c r="JUW15" s="257"/>
      <c r="JUX15" s="257"/>
      <c r="JUY15" s="257"/>
      <c r="JUZ15" s="257"/>
      <c r="JVA15" s="257"/>
      <c r="JVB15" s="257"/>
      <c r="JVC15" s="257"/>
      <c r="JVD15" s="257"/>
      <c r="JVE15" s="257"/>
      <c r="JVF15" s="257"/>
      <c r="JVG15" s="257"/>
      <c r="JVH15" s="257"/>
      <c r="JVI15" s="257"/>
      <c r="JVJ15" s="257"/>
      <c r="JVK15" s="257"/>
      <c r="JVL15" s="257"/>
      <c r="JVM15" s="257"/>
      <c r="JVN15" s="257"/>
      <c r="JVO15" s="257"/>
      <c r="JVP15" s="257"/>
      <c r="JVQ15" s="257"/>
      <c r="JVR15" s="257"/>
      <c r="JVS15" s="257"/>
      <c r="JVT15" s="257"/>
      <c r="JVU15" s="257"/>
      <c r="JVV15" s="257"/>
      <c r="JVW15" s="257"/>
      <c r="JVX15" s="257"/>
      <c r="JVY15" s="257"/>
      <c r="JVZ15" s="257"/>
      <c r="JWA15" s="257"/>
      <c r="JWB15" s="257"/>
      <c r="JWC15" s="257"/>
      <c r="JWD15" s="257"/>
      <c r="JWE15" s="257"/>
      <c r="JWF15" s="257"/>
      <c r="JWG15" s="257"/>
      <c r="JWH15" s="257"/>
      <c r="JWI15" s="257"/>
      <c r="JWJ15" s="257"/>
      <c r="JWK15" s="257"/>
      <c r="JWL15" s="257"/>
      <c r="JWM15" s="257"/>
      <c r="JWN15" s="257"/>
      <c r="JWO15" s="257"/>
      <c r="JWP15" s="257"/>
      <c r="JWQ15" s="257"/>
      <c r="JWR15" s="257"/>
      <c r="JWS15" s="257"/>
      <c r="JWT15" s="257"/>
      <c r="JWU15" s="257"/>
      <c r="JWV15" s="257"/>
      <c r="JWW15" s="257"/>
      <c r="JWX15" s="257"/>
      <c r="JWY15" s="257"/>
      <c r="JWZ15" s="257"/>
      <c r="JXA15" s="257"/>
      <c r="JXB15" s="257"/>
      <c r="JXC15" s="257"/>
      <c r="JXD15" s="257"/>
      <c r="JXE15" s="257"/>
      <c r="JXF15" s="257"/>
      <c r="JXG15" s="257"/>
      <c r="JXH15" s="257"/>
      <c r="JXI15" s="257"/>
      <c r="JXJ15" s="257"/>
      <c r="JXK15" s="257"/>
      <c r="JXL15" s="257"/>
      <c r="JXM15" s="257"/>
      <c r="JXN15" s="257"/>
      <c r="JXO15" s="257"/>
      <c r="JXP15" s="257"/>
      <c r="JXQ15" s="257"/>
      <c r="JXR15" s="257"/>
      <c r="JXS15" s="257"/>
      <c r="JXT15" s="257"/>
      <c r="JXU15" s="257"/>
      <c r="JXV15" s="257"/>
      <c r="JXW15" s="257"/>
      <c r="JXX15" s="257"/>
      <c r="JXY15" s="257"/>
      <c r="JXZ15" s="257"/>
      <c r="JYA15" s="257"/>
      <c r="JYB15" s="257"/>
      <c r="JYC15" s="257"/>
      <c r="JYD15" s="257"/>
      <c r="JYE15" s="257"/>
      <c r="JYF15" s="257"/>
      <c r="JYG15" s="257"/>
      <c r="JYH15" s="257"/>
      <c r="JYI15" s="257"/>
      <c r="JYJ15" s="257"/>
      <c r="JYK15" s="257"/>
      <c r="JYL15" s="257"/>
      <c r="JYM15" s="257"/>
      <c r="JYN15" s="257"/>
      <c r="JYO15" s="257"/>
      <c r="JYP15" s="257"/>
      <c r="JYQ15" s="257"/>
      <c r="JYR15" s="257"/>
      <c r="JYS15" s="257"/>
      <c r="JYT15" s="257"/>
      <c r="JYU15" s="257"/>
      <c r="JYV15" s="257"/>
      <c r="JYW15" s="257"/>
      <c r="JYX15" s="257"/>
      <c r="JYY15" s="257"/>
      <c r="JYZ15" s="257"/>
      <c r="JZA15" s="257"/>
      <c r="JZB15" s="257"/>
      <c r="JZC15" s="257"/>
      <c r="JZD15" s="257"/>
      <c r="JZE15" s="257"/>
      <c r="JZF15" s="257"/>
      <c r="JZG15" s="257"/>
      <c r="JZH15" s="257"/>
      <c r="JZI15" s="257"/>
      <c r="JZJ15" s="257"/>
      <c r="JZK15" s="257"/>
      <c r="JZL15" s="257"/>
      <c r="JZM15" s="257"/>
      <c r="JZN15" s="257"/>
      <c r="JZO15" s="257"/>
      <c r="JZP15" s="257"/>
      <c r="JZQ15" s="257"/>
      <c r="JZR15" s="257"/>
      <c r="JZS15" s="257"/>
      <c r="JZT15" s="257"/>
      <c r="JZU15" s="257"/>
      <c r="JZV15" s="257"/>
      <c r="JZW15" s="257"/>
      <c r="JZX15" s="257"/>
      <c r="JZY15" s="257"/>
      <c r="JZZ15" s="257"/>
      <c r="KAA15" s="257"/>
      <c r="KAB15" s="257"/>
      <c r="KAC15" s="257"/>
      <c r="KAD15" s="257"/>
      <c r="KAE15" s="257"/>
      <c r="KAF15" s="257"/>
      <c r="KAG15" s="257"/>
      <c r="KAH15" s="257"/>
      <c r="KAI15" s="257"/>
      <c r="KAJ15" s="257"/>
      <c r="KAK15" s="257"/>
      <c r="KAL15" s="257"/>
      <c r="KAM15" s="257"/>
      <c r="KAN15" s="257"/>
      <c r="KAO15" s="257"/>
      <c r="KAP15" s="257"/>
      <c r="KAQ15" s="257"/>
      <c r="KAR15" s="257"/>
      <c r="KAS15" s="257"/>
      <c r="KAT15" s="257"/>
      <c r="KAU15" s="257"/>
      <c r="KAV15" s="257"/>
      <c r="KAW15" s="257"/>
      <c r="KAX15" s="257"/>
      <c r="KAY15" s="257"/>
      <c r="KAZ15" s="257"/>
      <c r="KBA15" s="257"/>
      <c r="KBB15" s="257"/>
      <c r="KBC15" s="257"/>
      <c r="KBD15" s="257"/>
      <c r="KBE15" s="257"/>
      <c r="KBF15" s="257"/>
      <c r="KBG15" s="257"/>
      <c r="KBH15" s="257"/>
      <c r="KBI15" s="257"/>
      <c r="KBJ15" s="257"/>
      <c r="KBK15" s="257"/>
      <c r="KBL15" s="257"/>
      <c r="KBM15" s="257"/>
      <c r="KBN15" s="257"/>
      <c r="KBO15" s="257"/>
      <c r="KBP15" s="257"/>
      <c r="KBQ15" s="257"/>
      <c r="KBR15" s="257"/>
      <c r="KBS15" s="257"/>
      <c r="KBT15" s="257"/>
      <c r="KBU15" s="257"/>
      <c r="KBV15" s="257"/>
      <c r="KBW15" s="257"/>
      <c r="KBX15" s="257"/>
      <c r="KBY15" s="257"/>
      <c r="KBZ15" s="257"/>
      <c r="KCA15" s="257"/>
      <c r="KCB15" s="257"/>
      <c r="KCC15" s="257"/>
      <c r="KCD15" s="257"/>
      <c r="KCE15" s="257"/>
      <c r="KCF15" s="257"/>
      <c r="KCG15" s="257"/>
      <c r="KCH15" s="257"/>
      <c r="KCI15" s="257"/>
      <c r="KCJ15" s="257"/>
      <c r="KCK15" s="257"/>
      <c r="KCL15" s="257"/>
      <c r="KCM15" s="257"/>
      <c r="KCN15" s="257"/>
      <c r="KCO15" s="257"/>
      <c r="KCP15" s="257"/>
      <c r="KCQ15" s="257"/>
      <c r="KCR15" s="257"/>
      <c r="KCS15" s="257"/>
      <c r="KCT15" s="257"/>
      <c r="KCU15" s="257"/>
      <c r="KCV15" s="257"/>
      <c r="KCW15" s="257"/>
      <c r="KCX15" s="257"/>
      <c r="KCY15" s="257"/>
      <c r="KCZ15" s="257"/>
      <c r="KDA15" s="257"/>
      <c r="KDB15" s="257"/>
      <c r="KDC15" s="257"/>
      <c r="KDD15" s="257"/>
      <c r="KDE15" s="257"/>
      <c r="KDF15" s="257"/>
      <c r="KDG15" s="257"/>
      <c r="KDH15" s="257"/>
      <c r="KDI15" s="257"/>
      <c r="KDJ15" s="257"/>
      <c r="KDK15" s="257"/>
      <c r="KDL15" s="257"/>
      <c r="KDM15" s="257"/>
      <c r="KDN15" s="257"/>
      <c r="KDO15" s="257"/>
      <c r="KDP15" s="257"/>
      <c r="KDQ15" s="257"/>
      <c r="KDR15" s="257"/>
      <c r="KDS15" s="257"/>
      <c r="KDT15" s="257"/>
      <c r="KDU15" s="257"/>
      <c r="KDV15" s="257"/>
      <c r="KDW15" s="257"/>
      <c r="KDX15" s="257"/>
      <c r="KDY15" s="257"/>
      <c r="KDZ15" s="257"/>
      <c r="KEA15" s="257"/>
      <c r="KEB15" s="257"/>
      <c r="KEC15" s="257"/>
      <c r="KED15" s="257"/>
      <c r="KEE15" s="257"/>
      <c r="KEF15" s="257"/>
      <c r="KEG15" s="257"/>
      <c r="KEH15" s="257"/>
      <c r="KEI15" s="257"/>
      <c r="KEJ15" s="257"/>
      <c r="KEK15" s="257"/>
      <c r="KEL15" s="257"/>
      <c r="KEM15" s="257"/>
      <c r="KEN15" s="257"/>
      <c r="KEO15" s="257"/>
      <c r="KEP15" s="257"/>
      <c r="KEQ15" s="257"/>
      <c r="KER15" s="257"/>
      <c r="KES15" s="257"/>
      <c r="KET15" s="257"/>
      <c r="KEU15" s="257"/>
      <c r="KEV15" s="257"/>
      <c r="KEW15" s="257"/>
      <c r="KEX15" s="257"/>
      <c r="KEY15" s="257"/>
      <c r="KEZ15" s="257"/>
      <c r="KFA15" s="257"/>
      <c r="KFB15" s="257"/>
      <c r="KFC15" s="257"/>
      <c r="KFD15" s="257"/>
      <c r="KFE15" s="257"/>
      <c r="KFF15" s="257"/>
      <c r="KFG15" s="257"/>
      <c r="KFH15" s="257"/>
      <c r="KFI15" s="257"/>
      <c r="KFJ15" s="257"/>
      <c r="KFK15" s="257"/>
      <c r="KFL15" s="257"/>
      <c r="KFM15" s="257"/>
      <c r="KFN15" s="257"/>
      <c r="KFO15" s="257"/>
      <c r="KFP15" s="257"/>
      <c r="KFQ15" s="257"/>
      <c r="KFR15" s="257"/>
      <c r="KFS15" s="257"/>
      <c r="KFT15" s="257"/>
      <c r="KFU15" s="257"/>
      <c r="KFV15" s="257"/>
      <c r="KFW15" s="257"/>
      <c r="KFX15" s="257"/>
      <c r="KFY15" s="257"/>
      <c r="KFZ15" s="257"/>
      <c r="KGA15" s="257"/>
      <c r="KGB15" s="257"/>
      <c r="KGC15" s="257"/>
      <c r="KGD15" s="257"/>
      <c r="KGE15" s="257"/>
      <c r="KGF15" s="257"/>
      <c r="KGG15" s="257"/>
      <c r="KGH15" s="257"/>
      <c r="KGI15" s="257"/>
      <c r="KGJ15" s="257"/>
      <c r="KGK15" s="257"/>
      <c r="KGL15" s="257"/>
      <c r="KGM15" s="257"/>
      <c r="KGN15" s="257"/>
      <c r="KGO15" s="257"/>
      <c r="KGP15" s="257"/>
      <c r="KGQ15" s="257"/>
      <c r="KGR15" s="257"/>
      <c r="KGS15" s="257"/>
      <c r="KGT15" s="257"/>
      <c r="KGU15" s="257"/>
      <c r="KGV15" s="257"/>
      <c r="KGW15" s="257"/>
      <c r="KGX15" s="257"/>
      <c r="KGY15" s="257"/>
      <c r="KGZ15" s="257"/>
      <c r="KHA15" s="257"/>
      <c r="KHB15" s="257"/>
      <c r="KHC15" s="257"/>
      <c r="KHD15" s="257"/>
      <c r="KHE15" s="257"/>
      <c r="KHF15" s="257"/>
      <c r="KHG15" s="257"/>
      <c r="KHH15" s="257"/>
      <c r="KHI15" s="257"/>
      <c r="KHJ15" s="257"/>
      <c r="KHK15" s="257"/>
      <c r="KHL15" s="257"/>
      <c r="KHM15" s="257"/>
      <c r="KHN15" s="257"/>
      <c r="KHO15" s="257"/>
      <c r="KHP15" s="257"/>
      <c r="KHQ15" s="257"/>
      <c r="KHR15" s="257"/>
      <c r="KHS15" s="257"/>
      <c r="KHT15" s="257"/>
      <c r="KHU15" s="257"/>
      <c r="KHV15" s="257"/>
      <c r="KHW15" s="257"/>
      <c r="KHX15" s="257"/>
      <c r="KHY15" s="257"/>
      <c r="KHZ15" s="257"/>
      <c r="KIA15" s="257"/>
      <c r="KIB15" s="257"/>
      <c r="KIC15" s="257"/>
      <c r="KID15" s="257"/>
      <c r="KIE15" s="257"/>
      <c r="KIF15" s="257"/>
      <c r="KIG15" s="257"/>
      <c r="KIH15" s="257"/>
      <c r="KII15" s="257"/>
      <c r="KIJ15" s="257"/>
      <c r="KIK15" s="257"/>
      <c r="KIL15" s="257"/>
      <c r="KIM15" s="257"/>
      <c r="KIN15" s="257"/>
      <c r="KIO15" s="257"/>
      <c r="KIP15" s="257"/>
      <c r="KIQ15" s="257"/>
      <c r="KIR15" s="257"/>
      <c r="KIS15" s="257"/>
      <c r="KIT15" s="257"/>
      <c r="KIU15" s="257"/>
      <c r="KIV15" s="257"/>
      <c r="KIW15" s="257"/>
      <c r="KIX15" s="257"/>
      <c r="KIY15" s="257"/>
      <c r="KIZ15" s="257"/>
      <c r="KJA15" s="257"/>
      <c r="KJB15" s="257"/>
      <c r="KJC15" s="257"/>
      <c r="KJD15" s="257"/>
      <c r="KJE15" s="257"/>
      <c r="KJF15" s="257"/>
      <c r="KJG15" s="257"/>
      <c r="KJH15" s="257"/>
      <c r="KJI15" s="257"/>
      <c r="KJJ15" s="257"/>
      <c r="KJK15" s="257"/>
      <c r="KJL15" s="257"/>
      <c r="KJM15" s="257"/>
      <c r="KJN15" s="257"/>
      <c r="KJO15" s="257"/>
      <c r="KJP15" s="257"/>
      <c r="KJQ15" s="257"/>
      <c r="KJR15" s="257"/>
      <c r="KJS15" s="257"/>
      <c r="KJT15" s="257"/>
      <c r="KJU15" s="257"/>
      <c r="KJV15" s="257"/>
      <c r="KJW15" s="257"/>
      <c r="KJX15" s="257"/>
      <c r="KJY15" s="257"/>
      <c r="KJZ15" s="257"/>
      <c r="KKA15" s="257"/>
      <c r="KKB15" s="257"/>
      <c r="KKC15" s="257"/>
      <c r="KKD15" s="257"/>
      <c r="KKE15" s="257"/>
      <c r="KKF15" s="257"/>
      <c r="KKG15" s="257"/>
      <c r="KKH15" s="257"/>
      <c r="KKI15" s="257"/>
      <c r="KKJ15" s="257"/>
      <c r="KKK15" s="257"/>
      <c r="KKL15" s="257"/>
      <c r="KKM15" s="257"/>
      <c r="KKN15" s="257"/>
      <c r="KKO15" s="257"/>
      <c r="KKP15" s="257"/>
      <c r="KKQ15" s="257"/>
      <c r="KKR15" s="257"/>
      <c r="KKS15" s="257"/>
      <c r="KKT15" s="257"/>
      <c r="KKU15" s="257"/>
      <c r="KKV15" s="257"/>
      <c r="KKW15" s="257"/>
      <c r="KKX15" s="257"/>
      <c r="KKY15" s="257"/>
      <c r="KKZ15" s="257"/>
      <c r="KLA15" s="257"/>
      <c r="KLB15" s="257"/>
      <c r="KLC15" s="257"/>
      <c r="KLD15" s="257"/>
      <c r="KLE15" s="257"/>
      <c r="KLF15" s="257"/>
      <c r="KLG15" s="257"/>
      <c r="KLH15" s="257"/>
      <c r="KLI15" s="257"/>
      <c r="KLJ15" s="257"/>
      <c r="KLK15" s="257"/>
      <c r="KLL15" s="257"/>
      <c r="KLM15" s="257"/>
      <c r="KLN15" s="257"/>
      <c r="KLO15" s="257"/>
      <c r="KLP15" s="257"/>
      <c r="KLQ15" s="257"/>
      <c r="KLR15" s="257"/>
      <c r="KLS15" s="257"/>
      <c r="KLT15" s="257"/>
      <c r="KLU15" s="257"/>
      <c r="KLV15" s="257"/>
      <c r="KLW15" s="257"/>
      <c r="KLX15" s="257"/>
      <c r="KLY15" s="257"/>
      <c r="KLZ15" s="257"/>
      <c r="KMA15" s="257"/>
      <c r="KMB15" s="257"/>
      <c r="KMC15" s="257"/>
      <c r="KMD15" s="257"/>
      <c r="KME15" s="257"/>
      <c r="KMF15" s="257"/>
      <c r="KMG15" s="257"/>
      <c r="KMH15" s="257"/>
      <c r="KMI15" s="257"/>
      <c r="KMJ15" s="257"/>
      <c r="KMK15" s="257"/>
      <c r="KML15" s="257"/>
      <c r="KMM15" s="257"/>
      <c r="KMN15" s="257"/>
      <c r="KMO15" s="257"/>
      <c r="KMP15" s="257"/>
      <c r="KMQ15" s="257"/>
      <c r="KMR15" s="257"/>
      <c r="KMS15" s="257"/>
      <c r="KMT15" s="257"/>
      <c r="KMU15" s="257"/>
      <c r="KMV15" s="257"/>
      <c r="KMW15" s="257"/>
      <c r="KMX15" s="257"/>
      <c r="KMY15" s="257"/>
      <c r="KMZ15" s="257"/>
      <c r="KNA15" s="257"/>
      <c r="KNB15" s="257"/>
      <c r="KNC15" s="257"/>
      <c r="KND15" s="257"/>
      <c r="KNE15" s="257"/>
      <c r="KNF15" s="257"/>
      <c r="KNG15" s="257"/>
      <c r="KNH15" s="257"/>
      <c r="KNI15" s="257"/>
      <c r="KNJ15" s="257"/>
      <c r="KNK15" s="257"/>
      <c r="KNL15" s="257"/>
      <c r="KNM15" s="257"/>
      <c r="KNN15" s="257"/>
      <c r="KNO15" s="257"/>
      <c r="KNP15" s="257"/>
      <c r="KNQ15" s="257"/>
      <c r="KNR15" s="257"/>
      <c r="KNS15" s="257"/>
      <c r="KNT15" s="257"/>
      <c r="KNU15" s="257"/>
      <c r="KNV15" s="257"/>
      <c r="KNW15" s="257"/>
      <c r="KNX15" s="257"/>
      <c r="KNY15" s="257"/>
      <c r="KNZ15" s="257"/>
      <c r="KOA15" s="257"/>
      <c r="KOB15" s="257"/>
      <c r="KOC15" s="257"/>
      <c r="KOD15" s="257"/>
      <c r="KOE15" s="257"/>
      <c r="KOF15" s="257"/>
      <c r="KOG15" s="257"/>
      <c r="KOH15" s="257"/>
      <c r="KOI15" s="257"/>
      <c r="KOJ15" s="257"/>
      <c r="KOK15" s="257"/>
      <c r="KOL15" s="257"/>
      <c r="KOM15" s="257"/>
      <c r="KON15" s="257"/>
      <c r="KOO15" s="257"/>
      <c r="KOP15" s="257"/>
      <c r="KOQ15" s="257"/>
      <c r="KOR15" s="257"/>
      <c r="KOS15" s="257"/>
      <c r="KOT15" s="257"/>
      <c r="KOU15" s="257"/>
      <c r="KOV15" s="257"/>
      <c r="KOW15" s="257"/>
      <c r="KOX15" s="257"/>
      <c r="KOY15" s="257"/>
      <c r="KOZ15" s="257"/>
      <c r="KPA15" s="257"/>
      <c r="KPB15" s="257"/>
      <c r="KPC15" s="257"/>
      <c r="KPD15" s="257"/>
      <c r="KPE15" s="257"/>
      <c r="KPF15" s="257"/>
      <c r="KPG15" s="257"/>
      <c r="KPH15" s="257"/>
      <c r="KPI15" s="257"/>
      <c r="KPJ15" s="257"/>
      <c r="KPK15" s="257"/>
      <c r="KPL15" s="257"/>
      <c r="KPM15" s="257"/>
      <c r="KPN15" s="257"/>
      <c r="KPO15" s="257"/>
      <c r="KPP15" s="257"/>
      <c r="KPQ15" s="257"/>
      <c r="KPR15" s="257"/>
      <c r="KPS15" s="257"/>
      <c r="KPT15" s="257"/>
      <c r="KPU15" s="257"/>
      <c r="KPV15" s="257"/>
      <c r="KPW15" s="257"/>
      <c r="KPX15" s="257"/>
      <c r="KPY15" s="257"/>
      <c r="KPZ15" s="257"/>
      <c r="KQA15" s="257"/>
      <c r="KQB15" s="257"/>
      <c r="KQC15" s="257"/>
      <c r="KQD15" s="257"/>
      <c r="KQE15" s="257"/>
      <c r="KQF15" s="257"/>
      <c r="KQG15" s="257"/>
      <c r="KQH15" s="257"/>
      <c r="KQI15" s="257"/>
      <c r="KQJ15" s="257"/>
      <c r="KQK15" s="257"/>
      <c r="KQL15" s="257"/>
      <c r="KQM15" s="257"/>
      <c r="KQN15" s="257"/>
      <c r="KQO15" s="257"/>
      <c r="KQP15" s="257"/>
      <c r="KQQ15" s="257"/>
      <c r="KQR15" s="257"/>
      <c r="KQS15" s="257"/>
      <c r="KQT15" s="257"/>
      <c r="KQU15" s="257"/>
      <c r="KQV15" s="257"/>
      <c r="KQW15" s="257"/>
      <c r="KQX15" s="257"/>
      <c r="KQY15" s="257"/>
      <c r="KQZ15" s="257"/>
      <c r="KRA15" s="257"/>
      <c r="KRB15" s="257"/>
      <c r="KRC15" s="257"/>
      <c r="KRD15" s="257"/>
      <c r="KRE15" s="257"/>
      <c r="KRF15" s="257"/>
      <c r="KRG15" s="257"/>
      <c r="KRH15" s="257"/>
      <c r="KRI15" s="257"/>
      <c r="KRJ15" s="257"/>
      <c r="KRK15" s="257"/>
      <c r="KRL15" s="257"/>
      <c r="KRM15" s="257"/>
      <c r="KRN15" s="257"/>
      <c r="KRO15" s="257"/>
      <c r="KRP15" s="257"/>
      <c r="KRQ15" s="257"/>
      <c r="KRR15" s="257"/>
      <c r="KRS15" s="257"/>
      <c r="KRT15" s="257"/>
      <c r="KRU15" s="257"/>
      <c r="KRV15" s="257"/>
      <c r="KRW15" s="257"/>
      <c r="KRX15" s="257"/>
      <c r="KRY15" s="257"/>
      <c r="KRZ15" s="257"/>
      <c r="KSA15" s="257"/>
      <c r="KSB15" s="257"/>
      <c r="KSC15" s="257"/>
      <c r="KSD15" s="257"/>
      <c r="KSE15" s="257"/>
      <c r="KSF15" s="257"/>
      <c r="KSG15" s="257"/>
      <c r="KSH15" s="257"/>
      <c r="KSI15" s="257"/>
      <c r="KSJ15" s="257"/>
      <c r="KSK15" s="257"/>
      <c r="KSL15" s="257"/>
      <c r="KSM15" s="257"/>
      <c r="KSN15" s="257"/>
      <c r="KSO15" s="257"/>
      <c r="KSP15" s="257"/>
      <c r="KSQ15" s="257"/>
      <c r="KSR15" s="257"/>
      <c r="KSS15" s="257"/>
      <c r="KST15" s="257"/>
      <c r="KSU15" s="257"/>
      <c r="KSV15" s="257"/>
      <c r="KSW15" s="257"/>
      <c r="KSX15" s="257"/>
      <c r="KSY15" s="257"/>
      <c r="KSZ15" s="257"/>
      <c r="KTA15" s="257"/>
      <c r="KTB15" s="257"/>
      <c r="KTC15" s="257"/>
      <c r="KTD15" s="257"/>
      <c r="KTE15" s="257"/>
      <c r="KTF15" s="257"/>
      <c r="KTG15" s="257"/>
      <c r="KTH15" s="257"/>
      <c r="KTI15" s="257"/>
      <c r="KTJ15" s="257"/>
      <c r="KTK15" s="257"/>
      <c r="KTL15" s="257"/>
      <c r="KTM15" s="257"/>
      <c r="KTN15" s="257"/>
      <c r="KTO15" s="257"/>
      <c r="KTP15" s="257"/>
      <c r="KTQ15" s="257"/>
      <c r="KTR15" s="257"/>
      <c r="KTS15" s="257"/>
      <c r="KTT15" s="257"/>
      <c r="KTU15" s="257"/>
      <c r="KTV15" s="257"/>
      <c r="KTW15" s="257"/>
      <c r="KTX15" s="257"/>
      <c r="KTY15" s="257"/>
      <c r="KTZ15" s="257"/>
      <c r="KUA15" s="257"/>
      <c r="KUB15" s="257"/>
      <c r="KUC15" s="257"/>
      <c r="KUD15" s="257"/>
      <c r="KUE15" s="257"/>
      <c r="KUF15" s="257"/>
      <c r="KUG15" s="257"/>
      <c r="KUH15" s="257"/>
      <c r="KUI15" s="257"/>
      <c r="KUJ15" s="257"/>
      <c r="KUK15" s="257"/>
      <c r="KUL15" s="257"/>
      <c r="KUM15" s="257"/>
      <c r="KUN15" s="257"/>
      <c r="KUO15" s="257"/>
      <c r="KUP15" s="257"/>
      <c r="KUQ15" s="257"/>
      <c r="KUR15" s="257"/>
      <c r="KUS15" s="257"/>
      <c r="KUT15" s="257"/>
      <c r="KUU15" s="257"/>
      <c r="KUV15" s="257"/>
      <c r="KUW15" s="257"/>
      <c r="KUX15" s="257"/>
      <c r="KUY15" s="257"/>
      <c r="KUZ15" s="257"/>
      <c r="KVA15" s="257"/>
      <c r="KVB15" s="257"/>
      <c r="KVC15" s="257"/>
      <c r="KVD15" s="257"/>
      <c r="KVE15" s="257"/>
      <c r="KVF15" s="257"/>
      <c r="KVG15" s="257"/>
      <c r="KVH15" s="257"/>
      <c r="KVI15" s="257"/>
      <c r="KVJ15" s="257"/>
      <c r="KVK15" s="257"/>
      <c r="KVL15" s="257"/>
      <c r="KVM15" s="257"/>
      <c r="KVN15" s="257"/>
      <c r="KVO15" s="257"/>
      <c r="KVP15" s="257"/>
      <c r="KVQ15" s="257"/>
      <c r="KVR15" s="257"/>
      <c r="KVS15" s="257"/>
      <c r="KVT15" s="257"/>
      <c r="KVU15" s="257"/>
      <c r="KVV15" s="257"/>
      <c r="KVW15" s="257"/>
      <c r="KVX15" s="257"/>
      <c r="KVY15" s="257"/>
      <c r="KVZ15" s="257"/>
      <c r="KWA15" s="257"/>
      <c r="KWB15" s="257"/>
      <c r="KWC15" s="257"/>
      <c r="KWD15" s="257"/>
      <c r="KWE15" s="257"/>
      <c r="KWF15" s="257"/>
      <c r="KWG15" s="257"/>
      <c r="KWH15" s="257"/>
      <c r="KWI15" s="257"/>
      <c r="KWJ15" s="257"/>
      <c r="KWK15" s="257"/>
      <c r="KWL15" s="257"/>
      <c r="KWM15" s="257"/>
      <c r="KWN15" s="257"/>
      <c r="KWO15" s="257"/>
      <c r="KWP15" s="257"/>
      <c r="KWQ15" s="257"/>
      <c r="KWR15" s="257"/>
      <c r="KWS15" s="257"/>
      <c r="KWT15" s="257"/>
      <c r="KWU15" s="257"/>
      <c r="KWV15" s="257"/>
      <c r="KWW15" s="257"/>
      <c r="KWX15" s="257"/>
      <c r="KWY15" s="257"/>
      <c r="KWZ15" s="257"/>
      <c r="KXA15" s="257"/>
      <c r="KXB15" s="257"/>
      <c r="KXC15" s="257"/>
      <c r="KXD15" s="257"/>
      <c r="KXE15" s="257"/>
      <c r="KXF15" s="257"/>
      <c r="KXG15" s="257"/>
      <c r="KXH15" s="257"/>
      <c r="KXI15" s="257"/>
      <c r="KXJ15" s="257"/>
      <c r="KXK15" s="257"/>
      <c r="KXL15" s="257"/>
      <c r="KXM15" s="257"/>
      <c r="KXN15" s="257"/>
      <c r="KXO15" s="257"/>
      <c r="KXP15" s="257"/>
      <c r="KXQ15" s="257"/>
      <c r="KXR15" s="257"/>
      <c r="KXS15" s="257"/>
      <c r="KXT15" s="257"/>
      <c r="KXU15" s="257"/>
      <c r="KXV15" s="257"/>
      <c r="KXW15" s="257"/>
      <c r="KXX15" s="257"/>
      <c r="KXY15" s="257"/>
      <c r="KXZ15" s="257"/>
      <c r="KYA15" s="257"/>
      <c r="KYB15" s="257"/>
      <c r="KYC15" s="257"/>
      <c r="KYD15" s="257"/>
      <c r="KYE15" s="257"/>
      <c r="KYF15" s="257"/>
      <c r="KYG15" s="257"/>
      <c r="KYH15" s="257"/>
      <c r="KYI15" s="257"/>
      <c r="KYJ15" s="257"/>
      <c r="KYK15" s="257"/>
      <c r="KYL15" s="257"/>
      <c r="KYM15" s="257"/>
      <c r="KYN15" s="257"/>
      <c r="KYO15" s="257"/>
      <c r="KYP15" s="257"/>
      <c r="KYQ15" s="257"/>
      <c r="KYR15" s="257"/>
      <c r="KYS15" s="257"/>
      <c r="KYT15" s="257"/>
      <c r="KYU15" s="257"/>
      <c r="KYV15" s="257"/>
      <c r="KYW15" s="257"/>
      <c r="KYX15" s="257"/>
      <c r="KYY15" s="257"/>
      <c r="KYZ15" s="257"/>
      <c r="KZA15" s="257"/>
      <c r="KZB15" s="257"/>
      <c r="KZC15" s="257"/>
      <c r="KZD15" s="257"/>
      <c r="KZE15" s="257"/>
      <c r="KZF15" s="257"/>
      <c r="KZG15" s="257"/>
      <c r="KZH15" s="257"/>
      <c r="KZI15" s="257"/>
      <c r="KZJ15" s="257"/>
      <c r="KZK15" s="257"/>
      <c r="KZL15" s="257"/>
      <c r="KZM15" s="257"/>
      <c r="KZN15" s="257"/>
      <c r="KZO15" s="257"/>
      <c r="KZP15" s="257"/>
      <c r="KZQ15" s="257"/>
      <c r="KZR15" s="257"/>
      <c r="KZS15" s="257"/>
      <c r="KZT15" s="257"/>
      <c r="KZU15" s="257"/>
      <c r="KZV15" s="257"/>
      <c r="KZW15" s="257"/>
      <c r="KZX15" s="257"/>
      <c r="KZY15" s="257"/>
      <c r="KZZ15" s="257"/>
      <c r="LAA15" s="257"/>
      <c r="LAB15" s="257"/>
      <c r="LAC15" s="257"/>
      <c r="LAD15" s="257"/>
      <c r="LAE15" s="257"/>
      <c r="LAF15" s="257"/>
      <c r="LAG15" s="257"/>
      <c r="LAH15" s="257"/>
      <c r="LAI15" s="257"/>
      <c r="LAJ15" s="257"/>
      <c r="LAK15" s="257"/>
      <c r="LAL15" s="257"/>
      <c r="LAM15" s="257"/>
      <c r="LAN15" s="257"/>
      <c r="LAO15" s="257"/>
      <c r="LAP15" s="257"/>
      <c r="LAQ15" s="257"/>
      <c r="LAR15" s="257"/>
      <c r="LAS15" s="257"/>
      <c r="LAT15" s="257"/>
      <c r="LAU15" s="257"/>
      <c r="LAV15" s="257"/>
      <c r="LAW15" s="257"/>
      <c r="LAX15" s="257"/>
      <c r="LAY15" s="257"/>
      <c r="LAZ15" s="257"/>
      <c r="LBA15" s="257"/>
      <c r="LBB15" s="257"/>
      <c r="LBC15" s="257"/>
      <c r="LBD15" s="257"/>
      <c r="LBE15" s="257"/>
      <c r="LBF15" s="257"/>
      <c r="LBG15" s="257"/>
      <c r="LBH15" s="257"/>
      <c r="LBI15" s="257"/>
      <c r="LBJ15" s="257"/>
      <c r="LBK15" s="257"/>
      <c r="LBL15" s="257"/>
      <c r="LBM15" s="257"/>
      <c r="LBN15" s="257"/>
      <c r="LBO15" s="257"/>
      <c r="LBP15" s="257"/>
      <c r="LBQ15" s="257"/>
      <c r="LBR15" s="257"/>
      <c r="LBS15" s="257"/>
      <c r="LBT15" s="257"/>
      <c r="LBU15" s="257"/>
      <c r="LBV15" s="257"/>
      <c r="LBW15" s="257"/>
      <c r="LBX15" s="257"/>
      <c r="LBY15" s="257"/>
      <c r="LBZ15" s="257"/>
      <c r="LCA15" s="257"/>
      <c r="LCB15" s="257"/>
      <c r="LCC15" s="257"/>
      <c r="LCD15" s="257"/>
      <c r="LCE15" s="257"/>
      <c r="LCF15" s="257"/>
      <c r="LCG15" s="257"/>
      <c r="LCH15" s="257"/>
      <c r="LCI15" s="257"/>
      <c r="LCJ15" s="257"/>
      <c r="LCK15" s="257"/>
      <c r="LCL15" s="257"/>
      <c r="LCM15" s="257"/>
      <c r="LCN15" s="257"/>
      <c r="LCO15" s="257"/>
      <c r="LCP15" s="257"/>
      <c r="LCQ15" s="257"/>
      <c r="LCR15" s="257"/>
      <c r="LCS15" s="257"/>
      <c r="LCT15" s="257"/>
      <c r="LCU15" s="257"/>
      <c r="LCV15" s="257"/>
      <c r="LCW15" s="257"/>
      <c r="LCX15" s="257"/>
      <c r="LCY15" s="257"/>
      <c r="LCZ15" s="257"/>
      <c r="LDA15" s="257"/>
      <c r="LDB15" s="257"/>
      <c r="LDC15" s="257"/>
      <c r="LDD15" s="257"/>
      <c r="LDE15" s="257"/>
      <c r="LDF15" s="257"/>
      <c r="LDG15" s="257"/>
      <c r="LDH15" s="257"/>
      <c r="LDI15" s="257"/>
      <c r="LDJ15" s="257"/>
      <c r="LDK15" s="257"/>
      <c r="LDL15" s="257"/>
      <c r="LDM15" s="257"/>
      <c r="LDN15" s="257"/>
      <c r="LDO15" s="257"/>
      <c r="LDP15" s="257"/>
      <c r="LDQ15" s="257"/>
      <c r="LDR15" s="257"/>
      <c r="LDS15" s="257"/>
      <c r="LDT15" s="257"/>
      <c r="LDU15" s="257"/>
      <c r="LDV15" s="257"/>
      <c r="LDW15" s="257"/>
      <c r="LDX15" s="257"/>
      <c r="LDY15" s="257"/>
      <c r="LDZ15" s="257"/>
      <c r="LEA15" s="257"/>
      <c r="LEB15" s="257"/>
      <c r="LEC15" s="257"/>
      <c r="LED15" s="257"/>
      <c r="LEE15" s="257"/>
      <c r="LEF15" s="257"/>
      <c r="LEG15" s="257"/>
      <c r="LEH15" s="257"/>
      <c r="LEI15" s="257"/>
      <c r="LEJ15" s="257"/>
      <c r="LEK15" s="257"/>
      <c r="LEL15" s="257"/>
      <c r="LEM15" s="257"/>
      <c r="LEN15" s="257"/>
      <c r="LEO15" s="257"/>
      <c r="LEP15" s="257"/>
      <c r="LEQ15" s="257"/>
      <c r="LER15" s="257"/>
      <c r="LES15" s="257"/>
      <c r="LET15" s="257"/>
      <c r="LEU15" s="257"/>
      <c r="LEV15" s="257"/>
      <c r="LEW15" s="257"/>
      <c r="LEX15" s="257"/>
      <c r="LEY15" s="257"/>
      <c r="LEZ15" s="257"/>
      <c r="LFA15" s="257"/>
      <c r="LFB15" s="257"/>
      <c r="LFC15" s="257"/>
      <c r="LFD15" s="257"/>
      <c r="LFE15" s="257"/>
      <c r="LFF15" s="257"/>
      <c r="LFG15" s="257"/>
      <c r="LFH15" s="257"/>
      <c r="LFI15" s="257"/>
      <c r="LFJ15" s="257"/>
      <c r="LFK15" s="257"/>
      <c r="LFL15" s="257"/>
      <c r="LFM15" s="257"/>
      <c r="LFN15" s="257"/>
      <c r="LFO15" s="257"/>
      <c r="LFP15" s="257"/>
      <c r="LFQ15" s="257"/>
      <c r="LFR15" s="257"/>
      <c r="LFS15" s="257"/>
      <c r="LFT15" s="257"/>
      <c r="LFU15" s="257"/>
      <c r="LFV15" s="257"/>
      <c r="LFW15" s="257"/>
      <c r="LFX15" s="257"/>
      <c r="LFY15" s="257"/>
      <c r="LFZ15" s="257"/>
      <c r="LGA15" s="257"/>
      <c r="LGB15" s="257"/>
      <c r="LGC15" s="257"/>
      <c r="LGD15" s="257"/>
      <c r="LGE15" s="257"/>
      <c r="LGF15" s="257"/>
      <c r="LGG15" s="257"/>
      <c r="LGH15" s="257"/>
      <c r="LGI15" s="257"/>
      <c r="LGJ15" s="257"/>
      <c r="LGK15" s="257"/>
      <c r="LGL15" s="257"/>
      <c r="LGM15" s="257"/>
      <c r="LGN15" s="257"/>
      <c r="LGO15" s="257"/>
      <c r="LGP15" s="257"/>
      <c r="LGQ15" s="257"/>
      <c r="LGR15" s="257"/>
      <c r="LGS15" s="257"/>
      <c r="LGT15" s="257"/>
      <c r="LGU15" s="257"/>
      <c r="LGV15" s="257"/>
      <c r="LGW15" s="257"/>
      <c r="LGX15" s="257"/>
      <c r="LGY15" s="257"/>
      <c r="LGZ15" s="257"/>
      <c r="LHA15" s="257"/>
      <c r="LHB15" s="257"/>
      <c r="LHC15" s="257"/>
      <c r="LHD15" s="257"/>
      <c r="LHE15" s="257"/>
      <c r="LHF15" s="257"/>
      <c r="LHG15" s="257"/>
      <c r="LHH15" s="257"/>
      <c r="LHI15" s="257"/>
      <c r="LHJ15" s="257"/>
      <c r="LHK15" s="257"/>
      <c r="LHL15" s="257"/>
      <c r="LHM15" s="257"/>
      <c r="LHN15" s="257"/>
      <c r="LHO15" s="257"/>
      <c r="LHP15" s="257"/>
      <c r="LHQ15" s="257"/>
      <c r="LHR15" s="257"/>
      <c r="LHS15" s="257"/>
      <c r="LHT15" s="257"/>
      <c r="LHU15" s="257"/>
      <c r="LHV15" s="257"/>
      <c r="LHW15" s="257"/>
      <c r="LHX15" s="257"/>
      <c r="LHY15" s="257"/>
      <c r="LHZ15" s="257"/>
      <c r="LIA15" s="257"/>
      <c r="LIB15" s="257"/>
      <c r="LIC15" s="257"/>
      <c r="LID15" s="257"/>
      <c r="LIE15" s="257"/>
      <c r="LIF15" s="257"/>
      <c r="LIG15" s="257"/>
      <c r="LIH15" s="257"/>
      <c r="LII15" s="257"/>
      <c r="LIJ15" s="257"/>
      <c r="LIK15" s="257"/>
      <c r="LIL15" s="257"/>
      <c r="LIM15" s="257"/>
      <c r="LIN15" s="257"/>
      <c r="LIO15" s="257"/>
      <c r="LIP15" s="257"/>
      <c r="LIQ15" s="257"/>
      <c r="LIR15" s="257"/>
      <c r="LIS15" s="257"/>
      <c r="LIT15" s="257"/>
      <c r="LIU15" s="257"/>
      <c r="LIV15" s="257"/>
      <c r="LIW15" s="257"/>
      <c r="LIX15" s="257"/>
      <c r="LIY15" s="257"/>
      <c r="LIZ15" s="257"/>
      <c r="LJA15" s="257"/>
      <c r="LJB15" s="257"/>
      <c r="LJC15" s="257"/>
      <c r="LJD15" s="257"/>
      <c r="LJE15" s="257"/>
      <c r="LJF15" s="257"/>
      <c r="LJG15" s="257"/>
      <c r="LJH15" s="257"/>
      <c r="LJI15" s="257"/>
      <c r="LJJ15" s="257"/>
      <c r="LJK15" s="257"/>
      <c r="LJL15" s="257"/>
      <c r="LJM15" s="257"/>
      <c r="LJN15" s="257"/>
      <c r="LJO15" s="257"/>
      <c r="LJP15" s="257"/>
      <c r="LJQ15" s="257"/>
      <c r="LJR15" s="257"/>
      <c r="LJS15" s="257"/>
      <c r="LJT15" s="257"/>
      <c r="LJU15" s="257"/>
      <c r="LJV15" s="257"/>
      <c r="LJW15" s="257"/>
      <c r="LJX15" s="257"/>
      <c r="LJY15" s="257"/>
      <c r="LJZ15" s="257"/>
      <c r="LKA15" s="257"/>
      <c r="LKB15" s="257"/>
      <c r="LKC15" s="257"/>
      <c r="LKD15" s="257"/>
      <c r="LKE15" s="257"/>
      <c r="LKF15" s="257"/>
      <c r="LKG15" s="257"/>
      <c r="LKH15" s="257"/>
      <c r="LKI15" s="257"/>
      <c r="LKJ15" s="257"/>
      <c r="LKK15" s="257"/>
      <c r="LKL15" s="257"/>
      <c r="LKM15" s="257"/>
      <c r="LKN15" s="257"/>
      <c r="LKO15" s="257"/>
      <c r="LKP15" s="257"/>
      <c r="LKQ15" s="257"/>
      <c r="LKR15" s="257"/>
      <c r="LKS15" s="257"/>
      <c r="LKT15" s="257"/>
      <c r="LKU15" s="257"/>
      <c r="LKV15" s="257"/>
      <c r="LKW15" s="257"/>
      <c r="LKX15" s="257"/>
      <c r="LKY15" s="257"/>
      <c r="LKZ15" s="257"/>
      <c r="LLA15" s="257"/>
      <c r="LLB15" s="257"/>
      <c r="LLC15" s="257"/>
      <c r="LLD15" s="257"/>
      <c r="LLE15" s="257"/>
      <c r="LLF15" s="257"/>
      <c r="LLG15" s="257"/>
      <c r="LLH15" s="257"/>
      <c r="LLI15" s="257"/>
      <c r="LLJ15" s="257"/>
      <c r="LLK15" s="257"/>
      <c r="LLL15" s="257"/>
      <c r="LLM15" s="257"/>
      <c r="LLN15" s="257"/>
      <c r="LLO15" s="257"/>
      <c r="LLP15" s="257"/>
      <c r="LLQ15" s="257"/>
      <c r="LLR15" s="257"/>
      <c r="LLS15" s="257"/>
      <c r="LLT15" s="257"/>
      <c r="LLU15" s="257"/>
      <c r="LLV15" s="257"/>
      <c r="LLW15" s="257"/>
      <c r="LLX15" s="257"/>
      <c r="LLY15" s="257"/>
      <c r="LLZ15" s="257"/>
      <c r="LMA15" s="257"/>
      <c r="LMB15" s="257"/>
      <c r="LMC15" s="257"/>
      <c r="LMD15" s="257"/>
      <c r="LME15" s="257"/>
      <c r="LMF15" s="257"/>
      <c r="LMG15" s="257"/>
      <c r="LMH15" s="257"/>
      <c r="LMI15" s="257"/>
      <c r="LMJ15" s="257"/>
      <c r="LMK15" s="257"/>
      <c r="LML15" s="257"/>
      <c r="LMM15" s="257"/>
      <c r="LMN15" s="257"/>
      <c r="LMO15" s="257"/>
      <c r="LMP15" s="257"/>
      <c r="LMQ15" s="257"/>
      <c r="LMR15" s="257"/>
      <c r="LMS15" s="257"/>
      <c r="LMT15" s="257"/>
      <c r="LMU15" s="257"/>
      <c r="LMV15" s="257"/>
      <c r="LMW15" s="257"/>
      <c r="LMX15" s="257"/>
      <c r="LMY15" s="257"/>
      <c r="LMZ15" s="257"/>
      <c r="LNA15" s="257"/>
      <c r="LNB15" s="257"/>
      <c r="LNC15" s="257"/>
      <c r="LND15" s="257"/>
      <c r="LNE15" s="257"/>
      <c r="LNF15" s="257"/>
      <c r="LNG15" s="257"/>
      <c r="LNH15" s="257"/>
      <c r="LNI15" s="257"/>
      <c r="LNJ15" s="257"/>
      <c r="LNK15" s="257"/>
      <c r="LNL15" s="257"/>
      <c r="LNM15" s="257"/>
      <c r="LNN15" s="257"/>
      <c r="LNO15" s="257"/>
      <c r="LNP15" s="257"/>
      <c r="LNQ15" s="257"/>
      <c r="LNR15" s="257"/>
      <c r="LNS15" s="257"/>
      <c r="LNT15" s="257"/>
      <c r="LNU15" s="257"/>
      <c r="LNV15" s="257"/>
      <c r="LNW15" s="257"/>
      <c r="LNX15" s="257"/>
      <c r="LNY15" s="257"/>
      <c r="LNZ15" s="257"/>
      <c r="LOA15" s="257"/>
      <c r="LOB15" s="257"/>
      <c r="LOC15" s="257"/>
      <c r="LOD15" s="257"/>
      <c r="LOE15" s="257"/>
      <c r="LOF15" s="257"/>
      <c r="LOG15" s="257"/>
      <c r="LOH15" s="257"/>
      <c r="LOI15" s="257"/>
      <c r="LOJ15" s="257"/>
      <c r="LOK15" s="257"/>
      <c r="LOL15" s="257"/>
      <c r="LOM15" s="257"/>
      <c r="LON15" s="257"/>
      <c r="LOO15" s="257"/>
      <c r="LOP15" s="257"/>
      <c r="LOQ15" s="257"/>
      <c r="LOR15" s="257"/>
      <c r="LOS15" s="257"/>
      <c r="LOT15" s="257"/>
      <c r="LOU15" s="257"/>
      <c r="LOV15" s="257"/>
      <c r="LOW15" s="257"/>
      <c r="LOX15" s="257"/>
      <c r="LOY15" s="257"/>
      <c r="LOZ15" s="257"/>
      <c r="LPA15" s="257"/>
      <c r="LPB15" s="257"/>
      <c r="LPC15" s="257"/>
      <c r="LPD15" s="257"/>
      <c r="LPE15" s="257"/>
      <c r="LPF15" s="257"/>
      <c r="LPG15" s="257"/>
      <c r="LPH15" s="257"/>
      <c r="LPI15" s="257"/>
      <c r="LPJ15" s="257"/>
      <c r="LPK15" s="257"/>
      <c r="LPL15" s="257"/>
      <c r="LPM15" s="257"/>
      <c r="LPN15" s="257"/>
      <c r="LPO15" s="257"/>
      <c r="LPP15" s="257"/>
      <c r="LPQ15" s="257"/>
      <c r="LPR15" s="257"/>
      <c r="LPS15" s="257"/>
      <c r="LPT15" s="257"/>
      <c r="LPU15" s="257"/>
      <c r="LPV15" s="257"/>
      <c r="LPW15" s="257"/>
      <c r="LPX15" s="257"/>
      <c r="LPY15" s="257"/>
      <c r="LPZ15" s="257"/>
      <c r="LQA15" s="257"/>
      <c r="LQB15" s="257"/>
      <c r="LQC15" s="257"/>
      <c r="LQD15" s="257"/>
      <c r="LQE15" s="257"/>
      <c r="LQF15" s="257"/>
      <c r="LQG15" s="257"/>
      <c r="LQH15" s="257"/>
      <c r="LQI15" s="257"/>
      <c r="LQJ15" s="257"/>
      <c r="LQK15" s="257"/>
      <c r="LQL15" s="257"/>
      <c r="LQM15" s="257"/>
      <c r="LQN15" s="257"/>
      <c r="LQO15" s="257"/>
      <c r="LQP15" s="257"/>
      <c r="LQQ15" s="257"/>
      <c r="LQR15" s="257"/>
      <c r="LQS15" s="257"/>
      <c r="LQT15" s="257"/>
      <c r="LQU15" s="257"/>
      <c r="LQV15" s="257"/>
      <c r="LQW15" s="257"/>
      <c r="LQX15" s="257"/>
      <c r="LQY15" s="257"/>
      <c r="LQZ15" s="257"/>
      <c r="LRA15" s="257"/>
      <c r="LRB15" s="257"/>
      <c r="LRC15" s="257"/>
      <c r="LRD15" s="257"/>
      <c r="LRE15" s="257"/>
      <c r="LRF15" s="257"/>
      <c r="LRG15" s="257"/>
      <c r="LRH15" s="257"/>
      <c r="LRI15" s="257"/>
      <c r="LRJ15" s="257"/>
      <c r="LRK15" s="257"/>
      <c r="LRL15" s="257"/>
      <c r="LRM15" s="257"/>
      <c r="LRN15" s="257"/>
      <c r="LRO15" s="257"/>
      <c r="LRP15" s="257"/>
      <c r="LRQ15" s="257"/>
      <c r="LRR15" s="257"/>
      <c r="LRS15" s="257"/>
      <c r="LRT15" s="257"/>
      <c r="LRU15" s="257"/>
      <c r="LRV15" s="257"/>
      <c r="LRW15" s="257"/>
      <c r="LRX15" s="257"/>
      <c r="LRY15" s="257"/>
      <c r="LRZ15" s="257"/>
      <c r="LSA15" s="257"/>
      <c r="LSB15" s="257"/>
      <c r="LSC15" s="257"/>
      <c r="LSD15" s="257"/>
      <c r="LSE15" s="257"/>
      <c r="LSF15" s="257"/>
      <c r="LSG15" s="257"/>
      <c r="LSH15" s="257"/>
      <c r="LSI15" s="257"/>
      <c r="LSJ15" s="257"/>
      <c r="LSK15" s="257"/>
      <c r="LSL15" s="257"/>
      <c r="LSM15" s="257"/>
      <c r="LSN15" s="257"/>
      <c r="LSO15" s="257"/>
      <c r="LSP15" s="257"/>
      <c r="LSQ15" s="257"/>
      <c r="LSR15" s="257"/>
      <c r="LSS15" s="257"/>
      <c r="LST15" s="257"/>
      <c r="LSU15" s="257"/>
      <c r="LSV15" s="257"/>
      <c r="LSW15" s="257"/>
      <c r="LSX15" s="257"/>
      <c r="LSY15" s="257"/>
      <c r="LSZ15" s="257"/>
      <c r="LTA15" s="257"/>
      <c r="LTB15" s="257"/>
      <c r="LTC15" s="257"/>
      <c r="LTD15" s="257"/>
      <c r="LTE15" s="257"/>
      <c r="LTF15" s="257"/>
      <c r="LTG15" s="257"/>
      <c r="LTH15" s="257"/>
      <c r="LTI15" s="257"/>
      <c r="LTJ15" s="257"/>
      <c r="LTK15" s="257"/>
      <c r="LTL15" s="257"/>
      <c r="LTM15" s="257"/>
      <c r="LTN15" s="257"/>
      <c r="LTO15" s="257"/>
      <c r="LTP15" s="257"/>
      <c r="LTQ15" s="257"/>
      <c r="LTR15" s="257"/>
      <c r="LTS15" s="257"/>
      <c r="LTT15" s="257"/>
      <c r="LTU15" s="257"/>
      <c r="LTV15" s="257"/>
      <c r="LTW15" s="257"/>
      <c r="LTX15" s="257"/>
      <c r="LTY15" s="257"/>
      <c r="LTZ15" s="257"/>
      <c r="LUA15" s="257"/>
      <c r="LUB15" s="257"/>
      <c r="LUC15" s="257"/>
      <c r="LUD15" s="257"/>
      <c r="LUE15" s="257"/>
      <c r="LUF15" s="257"/>
      <c r="LUG15" s="257"/>
      <c r="LUH15" s="257"/>
      <c r="LUI15" s="257"/>
      <c r="LUJ15" s="257"/>
      <c r="LUK15" s="257"/>
      <c r="LUL15" s="257"/>
      <c r="LUM15" s="257"/>
      <c r="LUN15" s="257"/>
      <c r="LUO15" s="257"/>
      <c r="LUP15" s="257"/>
      <c r="LUQ15" s="257"/>
      <c r="LUR15" s="257"/>
      <c r="LUS15" s="257"/>
      <c r="LUT15" s="257"/>
      <c r="LUU15" s="257"/>
      <c r="LUV15" s="257"/>
      <c r="LUW15" s="257"/>
      <c r="LUX15" s="257"/>
      <c r="LUY15" s="257"/>
      <c r="LUZ15" s="257"/>
      <c r="LVA15" s="257"/>
      <c r="LVB15" s="257"/>
      <c r="LVC15" s="257"/>
      <c r="LVD15" s="257"/>
      <c r="LVE15" s="257"/>
      <c r="LVF15" s="257"/>
      <c r="LVG15" s="257"/>
      <c r="LVH15" s="257"/>
      <c r="LVI15" s="257"/>
      <c r="LVJ15" s="257"/>
      <c r="LVK15" s="257"/>
      <c r="LVL15" s="257"/>
      <c r="LVM15" s="257"/>
      <c r="LVN15" s="257"/>
      <c r="LVO15" s="257"/>
      <c r="LVP15" s="257"/>
      <c r="LVQ15" s="257"/>
      <c r="LVR15" s="257"/>
      <c r="LVS15" s="257"/>
      <c r="LVT15" s="257"/>
      <c r="LVU15" s="257"/>
      <c r="LVV15" s="257"/>
      <c r="LVW15" s="257"/>
      <c r="LVX15" s="257"/>
      <c r="LVY15" s="257"/>
      <c r="LVZ15" s="257"/>
      <c r="LWA15" s="257"/>
      <c r="LWB15" s="257"/>
      <c r="LWC15" s="257"/>
      <c r="LWD15" s="257"/>
      <c r="LWE15" s="257"/>
      <c r="LWF15" s="257"/>
      <c r="LWG15" s="257"/>
      <c r="LWH15" s="257"/>
      <c r="LWI15" s="257"/>
      <c r="LWJ15" s="257"/>
      <c r="LWK15" s="257"/>
      <c r="LWL15" s="257"/>
      <c r="LWM15" s="257"/>
      <c r="LWN15" s="257"/>
      <c r="LWO15" s="257"/>
      <c r="LWP15" s="257"/>
      <c r="LWQ15" s="257"/>
      <c r="LWR15" s="257"/>
      <c r="LWS15" s="257"/>
      <c r="LWT15" s="257"/>
      <c r="LWU15" s="257"/>
      <c r="LWV15" s="257"/>
      <c r="LWW15" s="257"/>
      <c r="LWX15" s="257"/>
      <c r="LWY15" s="257"/>
      <c r="LWZ15" s="257"/>
      <c r="LXA15" s="257"/>
      <c r="LXB15" s="257"/>
      <c r="LXC15" s="257"/>
      <c r="LXD15" s="257"/>
      <c r="LXE15" s="257"/>
      <c r="LXF15" s="257"/>
      <c r="LXG15" s="257"/>
      <c r="LXH15" s="257"/>
      <c r="LXI15" s="257"/>
      <c r="LXJ15" s="257"/>
      <c r="LXK15" s="257"/>
      <c r="LXL15" s="257"/>
      <c r="LXM15" s="257"/>
      <c r="LXN15" s="257"/>
      <c r="LXO15" s="257"/>
      <c r="LXP15" s="257"/>
      <c r="LXQ15" s="257"/>
      <c r="LXR15" s="257"/>
      <c r="LXS15" s="257"/>
      <c r="LXT15" s="257"/>
      <c r="LXU15" s="257"/>
      <c r="LXV15" s="257"/>
      <c r="LXW15" s="257"/>
      <c r="LXX15" s="257"/>
      <c r="LXY15" s="257"/>
      <c r="LXZ15" s="257"/>
      <c r="LYA15" s="257"/>
      <c r="LYB15" s="257"/>
      <c r="LYC15" s="257"/>
      <c r="LYD15" s="257"/>
      <c r="LYE15" s="257"/>
      <c r="LYF15" s="257"/>
      <c r="LYG15" s="257"/>
      <c r="LYH15" s="257"/>
      <c r="LYI15" s="257"/>
      <c r="LYJ15" s="257"/>
      <c r="LYK15" s="257"/>
      <c r="LYL15" s="257"/>
      <c r="LYM15" s="257"/>
      <c r="LYN15" s="257"/>
      <c r="LYO15" s="257"/>
      <c r="LYP15" s="257"/>
      <c r="LYQ15" s="257"/>
      <c r="LYR15" s="257"/>
      <c r="LYS15" s="257"/>
      <c r="LYT15" s="257"/>
      <c r="LYU15" s="257"/>
      <c r="LYV15" s="257"/>
      <c r="LYW15" s="257"/>
      <c r="LYX15" s="257"/>
      <c r="LYY15" s="257"/>
      <c r="LYZ15" s="257"/>
      <c r="LZA15" s="257"/>
      <c r="LZB15" s="257"/>
      <c r="LZC15" s="257"/>
      <c r="LZD15" s="257"/>
      <c r="LZE15" s="257"/>
      <c r="LZF15" s="257"/>
      <c r="LZG15" s="257"/>
      <c r="LZH15" s="257"/>
      <c r="LZI15" s="257"/>
      <c r="LZJ15" s="257"/>
      <c r="LZK15" s="257"/>
      <c r="LZL15" s="257"/>
      <c r="LZM15" s="257"/>
      <c r="LZN15" s="257"/>
      <c r="LZO15" s="257"/>
      <c r="LZP15" s="257"/>
      <c r="LZQ15" s="257"/>
      <c r="LZR15" s="257"/>
      <c r="LZS15" s="257"/>
      <c r="LZT15" s="257"/>
      <c r="LZU15" s="257"/>
      <c r="LZV15" s="257"/>
      <c r="LZW15" s="257"/>
      <c r="LZX15" s="257"/>
      <c r="LZY15" s="257"/>
      <c r="LZZ15" s="257"/>
      <c r="MAA15" s="257"/>
      <c r="MAB15" s="257"/>
      <c r="MAC15" s="257"/>
      <c r="MAD15" s="257"/>
      <c r="MAE15" s="257"/>
      <c r="MAF15" s="257"/>
      <c r="MAG15" s="257"/>
      <c r="MAH15" s="257"/>
      <c r="MAI15" s="257"/>
      <c r="MAJ15" s="257"/>
      <c r="MAK15" s="257"/>
      <c r="MAL15" s="257"/>
      <c r="MAM15" s="257"/>
      <c r="MAN15" s="257"/>
      <c r="MAO15" s="257"/>
      <c r="MAP15" s="257"/>
      <c r="MAQ15" s="257"/>
      <c r="MAR15" s="257"/>
      <c r="MAS15" s="257"/>
      <c r="MAT15" s="257"/>
      <c r="MAU15" s="257"/>
      <c r="MAV15" s="257"/>
      <c r="MAW15" s="257"/>
      <c r="MAX15" s="257"/>
      <c r="MAY15" s="257"/>
      <c r="MAZ15" s="257"/>
      <c r="MBA15" s="257"/>
      <c r="MBB15" s="257"/>
      <c r="MBC15" s="257"/>
      <c r="MBD15" s="257"/>
      <c r="MBE15" s="257"/>
      <c r="MBF15" s="257"/>
      <c r="MBG15" s="257"/>
      <c r="MBH15" s="257"/>
      <c r="MBI15" s="257"/>
      <c r="MBJ15" s="257"/>
      <c r="MBK15" s="257"/>
      <c r="MBL15" s="257"/>
      <c r="MBM15" s="257"/>
      <c r="MBN15" s="257"/>
      <c r="MBO15" s="257"/>
      <c r="MBP15" s="257"/>
      <c r="MBQ15" s="257"/>
      <c r="MBR15" s="257"/>
      <c r="MBS15" s="257"/>
      <c r="MBT15" s="257"/>
      <c r="MBU15" s="257"/>
      <c r="MBV15" s="257"/>
      <c r="MBW15" s="257"/>
      <c r="MBX15" s="257"/>
      <c r="MBY15" s="257"/>
      <c r="MBZ15" s="257"/>
      <c r="MCA15" s="257"/>
      <c r="MCB15" s="257"/>
      <c r="MCC15" s="257"/>
      <c r="MCD15" s="257"/>
      <c r="MCE15" s="257"/>
      <c r="MCF15" s="257"/>
      <c r="MCG15" s="257"/>
      <c r="MCH15" s="257"/>
      <c r="MCI15" s="257"/>
      <c r="MCJ15" s="257"/>
      <c r="MCK15" s="257"/>
      <c r="MCL15" s="257"/>
      <c r="MCM15" s="257"/>
      <c r="MCN15" s="257"/>
      <c r="MCO15" s="257"/>
      <c r="MCP15" s="257"/>
      <c r="MCQ15" s="257"/>
      <c r="MCR15" s="257"/>
      <c r="MCS15" s="257"/>
      <c r="MCT15" s="257"/>
      <c r="MCU15" s="257"/>
      <c r="MCV15" s="257"/>
      <c r="MCW15" s="257"/>
      <c r="MCX15" s="257"/>
      <c r="MCY15" s="257"/>
      <c r="MCZ15" s="257"/>
      <c r="MDA15" s="257"/>
      <c r="MDB15" s="257"/>
      <c r="MDC15" s="257"/>
      <c r="MDD15" s="257"/>
      <c r="MDE15" s="257"/>
      <c r="MDF15" s="257"/>
      <c r="MDG15" s="257"/>
      <c r="MDH15" s="257"/>
      <c r="MDI15" s="257"/>
      <c r="MDJ15" s="257"/>
      <c r="MDK15" s="257"/>
      <c r="MDL15" s="257"/>
      <c r="MDM15" s="257"/>
      <c r="MDN15" s="257"/>
      <c r="MDO15" s="257"/>
      <c r="MDP15" s="257"/>
      <c r="MDQ15" s="257"/>
      <c r="MDR15" s="257"/>
      <c r="MDS15" s="257"/>
      <c r="MDT15" s="257"/>
      <c r="MDU15" s="257"/>
      <c r="MDV15" s="257"/>
      <c r="MDW15" s="257"/>
      <c r="MDX15" s="257"/>
      <c r="MDY15" s="257"/>
      <c r="MDZ15" s="257"/>
      <c r="MEA15" s="257"/>
      <c r="MEB15" s="257"/>
      <c r="MEC15" s="257"/>
      <c r="MED15" s="257"/>
      <c r="MEE15" s="257"/>
      <c r="MEF15" s="257"/>
      <c r="MEG15" s="257"/>
      <c r="MEH15" s="257"/>
      <c r="MEI15" s="257"/>
      <c r="MEJ15" s="257"/>
      <c r="MEK15" s="257"/>
      <c r="MEL15" s="257"/>
      <c r="MEM15" s="257"/>
      <c r="MEN15" s="257"/>
      <c r="MEO15" s="257"/>
      <c r="MEP15" s="257"/>
      <c r="MEQ15" s="257"/>
      <c r="MER15" s="257"/>
      <c r="MES15" s="257"/>
      <c r="MET15" s="257"/>
      <c r="MEU15" s="257"/>
      <c r="MEV15" s="257"/>
      <c r="MEW15" s="257"/>
      <c r="MEX15" s="257"/>
      <c r="MEY15" s="257"/>
      <c r="MEZ15" s="257"/>
      <c r="MFA15" s="257"/>
      <c r="MFB15" s="257"/>
      <c r="MFC15" s="257"/>
      <c r="MFD15" s="257"/>
      <c r="MFE15" s="257"/>
      <c r="MFF15" s="257"/>
      <c r="MFG15" s="257"/>
      <c r="MFH15" s="257"/>
      <c r="MFI15" s="257"/>
      <c r="MFJ15" s="257"/>
      <c r="MFK15" s="257"/>
      <c r="MFL15" s="257"/>
      <c r="MFM15" s="257"/>
      <c r="MFN15" s="257"/>
      <c r="MFO15" s="257"/>
      <c r="MFP15" s="257"/>
      <c r="MFQ15" s="257"/>
      <c r="MFR15" s="257"/>
      <c r="MFS15" s="257"/>
      <c r="MFT15" s="257"/>
      <c r="MFU15" s="257"/>
      <c r="MFV15" s="257"/>
      <c r="MFW15" s="257"/>
      <c r="MFX15" s="257"/>
      <c r="MFY15" s="257"/>
      <c r="MFZ15" s="257"/>
      <c r="MGA15" s="257"/>
      <c r="MGB15" s="257"/>
      <c r="MGC15" s="257"/>
      <c r="MGD15" s="257"/>
      <c r="MGE15" s="257"/>
      <c r="MGF15" s="257"/>
      <c r="MGG15" s="257"/>
      <c r="MGH15" s="257"/>
      <c r="MGI15" s="257"/>
      <c r="MGJ15" s="257"/>
      <c r="MGK15" s="257"/>
      <c r="MGL15" s="257"/>
      <c r="MGM15" s="257"/>
      <c r="MGN15" s="257"/>
      <c r="MGO15" s="257"/>
      <c r="MGP15" s="257"/>
      <c r="MGQ15" s="257"/>
      <c r="MGR15" s="257"/>
      <c r="MGS15" s="257"/>
      <c r="MGT15" s="257"/>
      <c r="MGU15" s="257"/>
      <c r="MGV15" s="257"/>
      <c r="MGW15" s="257"/>
      <c r="MGX15" s="257"/>
      <c r="MGY15" s="257"/>
      <c r="MGZ15" s="257"/>
      <c r="MHA15" s="257"/>
      <c r="MHB15" s="257"/>
      <c r="MHC15" s="257"/>
      <c r="MHD15" s="257"/>
      <c r="MHE15" s="257"/>
      <c r="MHF15" s="257"/>
      <c r="MHG15" s="257"/>
      <c r="MHH15" s="257"/>
      <c r="MHI15" s="257"/>
      <c r="MHJ15" s="257"/>
      <c r="MHK15" s="257"/>
      <c r="MHL15" s="257"/>
      <c r="MHM15" s="257"/>
      <c r="MHN15" s="257"/>
      <c r="MHO15" s="257"/>
      <c r="MHP15" s="257"/>
      <c r="MHQ15" s="257"/>
      <c r="MHR15" s="257"/>
      <c r="MHS15" s="257"/>
      <c r="MHT15" s="257"/>
      <c r="MHU15" s="257"/>
      <c r="MHV15" s="257"/>
      <c r="MHW15" s="257"/>
      <c r="MHX15" s="257"/>
      <c r="MHY15" s="257"/>
      <c r="MHZ15" s="257"/>
      <c r="MIA15" s="257"/>
      <c r="MIB15" s="257"/>
      <c r="MIC15" s="257"/>
      <c r="MID15" s="257"/>
      <c r="MIE15" s="257"/>
      <c r="MIF15" s="257"/>
      <c r="MIG15" s="257"/>
      <c r="MIH15" s="257"/>
      <c r="MII15" s="257"/>
      <c r="MIJ15" s="257"/>
      <c r="MIK15" s="257"/>
      <c r="MIL15" s="257"/>
      <c r="MIM15" s="257"/>
      <c r="MIN15" s="257"/>
      <c r="MIO15" s="257"/>
      <c r="MIP15" s="257"/>
      <c r="MIQ15" s="257"/>
      <c r="MIR15" s="257"/>
      <c r="MIS15" s="257"/>
      <c r="MIT15" s="257"/>
      <c r="MIU15" s="257"/>
      <c r="MIV15" s="257"/>
      <c r="MIW15" s="257"/>
      <c r="MIX15" s="257"/>
      <c r="MIY15" s="257"/>
      <c r="MIZ15" s="257"/>
      <c r="MJA15" s="257"/>
      <c r="MJB15" s="257"/>
      <c r="MJC15" s="257"/>
      <c r="MJD15" s="257"/>
      <c r="MJE15" s="257"/>
      <c r="MJF15" s="257"/>
      <c r="MJG15" s="257"/>
      <c r="MJH15" s="257"/>
      <c r="MJI15" s="257"/>
      <c r="MJJ15" s="257"/>
      <c r="MJK15" s="257"/>
      <c r="MJL15" s="257"/>
      <c r="MJM15" s="257"/>
      <c r="MJN15" s="257"/>
      <c r="MJO15" s="257"/>
      <c r="MJP15" s="257"/>
      <c r="MJQ15" s="257"/>
      <c r="MJR15" s="257"/>
      <c r="MJS15" s="257"/>
      <c r="MJT15" s="257"/>
      <c r="MJU15" s="257"/>
      <c r="MJV15" s="257"/>
      <c r="MJW15" s="257"/>
      <c r="MJX15" s="257"/>
      <c r="MJY15" s="257"/>
      <c r="MJZ15" s="257"/>
      <c r="MKA15" s="257"/>
      <c r="MKB15" s="257"/>
      <c r="MKC15" s="257"/>
      <c r="MKD15" s="257"/>
      <c r="MKE15" s="257"/>
      <c r="MKF15" s="257"/>
      <c r="MKG15" s="257"/>
      <c r="MKH15" s="257"/>
      <c r="MKI15" s="257"/>
      <c r="MKJ15" s="257"/>
      <c r="MKK15" s="257"/>
      <c r="MKL15" s="257"/>
      <c r="MKM15" s="257"/>
      <c r="MKN15" s="257"/>
      <c r="MKO15" s="257"/>
      <c r="MKP15" s="257"/>
      <c r="MKQ15" s="257"/>
      <c r="MKR15" s="257"/>
      <c r="MKS15" s="257"/>
      <c r="MKT15" s="257"/>
      <c r="MKU15" s="257"/>
      <c r="MKV15" s="257"/>
      <c r="MKW15" s="257"/>
      <c r="MKX15" s="257"/>
      <c r="MKY15" s="257"/>
      <c r="MKZ15" s="257"/>
      <c r="MLA15" s="257"/>
      <c r="MLB15" s="257"/>
      <c r="MLC15" s="257"/>
      <c r="MLD15" s="257"/>
      <c r="MLE15" s="257"/>
      <c r="MLF15" s="257"/>
      <c r="MLG15" s="257"/>
      <c r="MLH15" s="257"/>
      <c r="MLI15" s="257"/>
      <c r="MLJ15" s="257"/>
      <c r="MLK15" s="257"/>
      <c r="MLL15" s="257"/>
      <c r="MLM15" s="257"/>
      <c r="MLN15" s="257"/>
      <c r="MLO15" s="257"/>
      <c r="MLP15" s="257"/>
      <c r="MLQ15" s="257"/>
      <c r="MLR15" s="257"/>
      <c r="MLS15" s="257"/>
      <c r="MLT15" s="257"/>
      <c r="MLU15" s="257"/>
      <c r="MLV15" s="257"/>
      <c r="MLW15" s="257"/>
      <c r="MLX15" s="257"/>
      <c r="MLY15" s="257"/>
      <c r="MLZ15" s="257"/>
      <c r="MMA15" s="257"/>
      <c r="MMB15" s="257"/>
      <c r="MMC15" s="257"/>
      <c r="MMD15" s="257"/>
      <c r="MME15" s="257"/>
      <c r="MMF15" s="257"/>
      <c r="MMG15" s="257"/>
      <c r="MMH15" s="257"/>
      <c r="MMI15" s="257"/>
      <c r="MMJ15" s="257"/>
      <c r="MMK15" s="257"/>
      <c r="MML15" s="257"/>
      <c r="MMM15" s="257"/>
      <c r="MMN15" s="257"/>
      <c r="MMO15" s="257"/>
      <c r="MMP15" s="257"/>
      <c r="MMQ15" s="257"/>
      <c r="MMR15" s="257"/>
      <c r="MMS15" s="257"/>
      <c r="MMT15" s="257"/>
      <c r="MMU15" s="257"/>
      <c r="MMV15" s="257"/>
      <c r="MMW15" s="257"/>
      <c r="MMX15" s="257"/>
      <c r="MMY15" s="257"/>
      <c r="MMZ15" s="257"/>
      <c r="MNA15" s="257"/>
      <c r="MNB15" s="257"/>
      <c r="MNC15" s="257"/>
      <c r="MND15" s="257"/>
      <c r="MNE15" s="257"/>
      <c r="MNF15" s="257"/>
      <c r="MNG15" s="257"/>
      <c r="MNH15" s="257"/>
      <c r="MNI15" s="257"/>
      <c r="MNJ15" s="257"/>
      <c r="MNK15" s="257"/>
      <c r="MNL15" s="257"/>
      <c r="MNM15" s="257"/>
      <c r="MNN15" s="257"/>
      <c r="MNO15" s="257"/>
      <c r="MNP15" s="257"/>
      <c r="MNQ15" s="257"/>
      <c r="MNR15" s="257"/>
      <c r="MNS15" s="257"/>
      <c r="MNT15" s="257"/>
      <c r="MNU15" s="257"/>
      <c r="MNV15" s="257"/>
      <c r="MNW15" s="257"/>
      <c r="MNX15" s="257"/>
      <c r="MNY15" s="257"/>
      <c r="MNZ15" s="257"/>
      <c r="MOA15" s="257"/>
      <c r="MOB15" s="257"/>
      <c r="MOC15" s="257"/>
      <c r="MOD15" s="257"/>
      <c r="MOE15" s="257"/>
      <c r="MOF15" s="257"/>
      <c r="MOG15" s="257"/>
      <c r="MOH15" s="257"/>
      <c r="MOI15" s="257"/>
      <c r="MOJ15" s="257"/>
      <c r="MOK15" s="257"/>
      <c r="MOL15" s="257"/>
      <c r="MOM15" s="257"/>
      <c r="MON15" s="257"/>
      <c r="MOO15" s="257"/>
      <c r="MOP15" s="257"/>
      <c r="MOQ15" s="257"/>
      <c r="MOR15" s="257"/>
      <c r="MOS15" s="257"/>
      <c r="MOT15" s="257"/>
      <c r="MOU15" s="257"/>
      <c r="MOV15" s="257"/>
      <c r="MOW15" s="257"/>
      <c r="MOX15" s="257"/>
      <c r="MOY15" s="257"/>
      <c r="MOZ15" s="257"/>
      <c r="MPA15" s="257"/>
      <c r="MPB15" s="257"/>
      <c r="MPC15" s="257"/>
      <c r="MPD15" s="257"/>
      <c r="MPE15" s="257"/>
      <c r="MPF15" s="257"/>
      <c r="MPG15" s="257"/>
      <c r="MPH15" s="257"/>
      <c r="MPI15" s="257"/>
      <c r="MPJ15" s="257"/>
      <c r="MPK15" s="257"/>
      <c r="MPL15" s="257"/>
      <c r="MPM15" s="257"/>
      <c r="MPN15" s="257"/>
      <c r="MPO15" s="257"/>
      <c r="MPP15" s="257"/>
      <c r="MPQ15" s="257"/>
      <c r="MPR15" s="257"/>
      <c r="MPS15" s="257"/>
      <c r="MPT15" s="257"/>
      <c r="MPU15" s="257"/>
      <c r="MPV15" s="257"/>
      <c r="MPW15" s="257"/>
      <c r="MPX15" s="257"/>
      <c r="MPY15" s="257"/>
      <c r="MPZ15" s="257"/>
      <c r="MQA15" s="257"/>
      <c r="MQB15" s="257"/>
      <c r="MQC15" s="257"/>
      <c r="MQD15" s="257"/>
      <c r="MQE15" s="257"/>
      <c r="MQF15" s="257"/>
      <c r="MQG15" s="257"/>
      <c r="MQH15" s="257"/>
      <c r="MQI15" s="257"/>
      <c r="MQJ15" s="257"/>
      <c r="MQK15" s="257"/>
      <c r="MQL15" s="257"/>
      <c r="MQM15" s="257"/>
      <c r="MQN15" s="257"/>
      <c r="MQO15" s="257"/>
      <c r="MQP15" s="257"/>
      <c r="MQQ15" s="257"/>
      <c r="MQR15" s="257"/>
      <c r="MQS15" s="257"/>
      <c r="MQT15" s="257"/>
      <c r="MQU15" s="257"/>
      <c r="MQV15" s="257"/>
      <c r="MQW15" s="257"/>
      <c r="MQX15" s="257"/>
      <c r="MQY15" s="257"/>
      <c r="MQZ15" s="257"/>
      <c r="MRA15" s="257"/>
      <c r="MRB15" s="257"/>
      <c r="MRC15" s="257"/>
      <c r="MRD15" s="257"/>
      <c r="MRE15" s="257"/>
      <c r="MRF15" s="257"/>
      <c r="MRG15" s="257"/>
      <c r="MRH15" s="257"/>
      <c r="MRI15" s="257"/>
      <c r="MRJ15" s="257"/>
      <c r="MRK15" s="257"/>
      <c r="MRL15" s="257"/>
      <c r="MRM15" s="257"/>
      <c r="MRN15" s="257"/>
      <c r="MRO15" s="257"/>
      <c r="MRP15" s="257"/>
      <c r="MRQ15" s="257"/>
      <c r="MRR15" s="257"/>
      <c r="MRS15" s="257"/>
      <c r="MRT15" s="257"/>
      <c r="MRU15" s="257"/>
      <c r="MRV15" s="257"/>
      <c r="MRW15" s="257"/>
      <c r="MRX15" s="257"/>
      <c r="MRY15" s="257"/>
      <c r="MRZ15" s="257"/>
      <c r="MSA15" s="257"/>
      <c r="MSB15" s="257"/>
      <c r="MSC15" s="257"/>
      <c r="MSD15" s="257"/>
      <c r="MSE15" s="257"/>
      <c r="MSF15" s="257"/>
      <c r="MSG15" s="257"/>
      <c r="MSH15" s="257"/>
      <c r="MSI15" s="257"/>
      <c r="MSJ15" s="257"/>
      <c r="MSK15" s="257"/>
      <c r="MSL15" s="257"/>
      <c r="MSM15" s="257"/>
      <c r="MSN15" s="257"/>
      <c r="MSO15" s="257"/>
      <c r="MSP15" s="257"/>
      <c r="MSQ15" s="257"/>
      <c r="MSR15" s="257"/>
      <c r="MSS15" s="257"/>
      <c r="MST15" s="257"/>
      <c r="MSU15" s="257"/>
      <c r="MSV15" s="257"/>
      <c r="MSW15" s="257"/>
      <c r="MSX15" s="257"/>
      <c r="MSY15" s="257"/>
      <c r="MSZ15" s="257"/>
      <c r="MTA15" s="257"/>
      <c r="MTB15" s="257"/>
      <c r="MTC15" s="257"/>
      <c r="MTD15" s="257"/>
      <c r="MTE15" s="257"/>
      <c r="MTF15" s="257"/>
      <c r="MTG15" s="257"/>
      <c r="MTH15" s="257"/>
      <c r="MTI15" s="257"/>
      <c r="MTJ15" s="257"/>
      <c r="MTK15" s="257"/>
      <c r="MTL15" s="257"/>
      <c r="MTM15" s="257"/>
      <c r="MTN15" s="257"/>
      <c r="MTO15" s="257"/>
      <c r="MTP15" s="257"/>
      <c r="MTQ15" s="257"/>
      <c r="MTR15" s="257"/>
      <c r="MTS15" s="257"/>
      <c r="MTT15" s="257"/>
      <c r="MTU15" s="257"/>
      <c r="MTV15" s="257"/>
      <c r="MTW15" s="257"/>
      <c r="MTX15" s="257"/>
      <c r="MTY15" s="257"/>
      <c r="MTZ15" s="257"/>
      <c r="MUA15" s="257"/>
      <c r="MUB15" s="257"/>
      <c r="MUC15" s="257"/>
      <c r="MUD15" s="257"/>
      <c r="MUE15" s="257"/>
      <c r="MUF15" s="257"/>
      <c r="MUG15" s="257"/>
      <c r="MUH15" s="257"/>
      <c r="MUI15" s="257"/>
      <c r="MUJ15" s="257"/>
      <c r="MUK15" s="257"/>
      <c r="MUL15" s="257"/>
      <c r="MUM15" s="257"/>
      <c r="MUN15" s="257"/>
      <c r="MUO15" s="257"/>
      <c r="MUP15" s="257"/>
      <c r="MUQ15" s="257"/>
      <c r="MUR15" s="257"/>
      <c r="MUS15" s="257"/>
      <c r="MUT15" s="257"/>
      <c r="MUU15" s="257"/>
      <c r="MUV15" s="257"/>
      <c r="MUW15" s="257"/>
      <c r="MUX15" s="257"/>
      <c r="MUY15" s="257"/>
      <c r="MUZ15" s="257"/>
      <c r="MVA15" s="257"/>
      <c r="MVB15" s="257"/>
      <c r="MVC15" s="257"/>
      <c r="MVD15" s="257"/>
      <c r="MVE15" s="257"/>
      <c r="MVF15" s="257"/>
      <c r="MVG15" s="257"/>
      <c r="MVH15" s="257"/>
      <c r="MVI15" s="257"/>
      <c r="MVJ15" s="257"/>
      <c r="MVK15" s="257"/>
      <c r="MVL15" s="257"/>
      <c r="MVM15" s="257"/>
      <c r="MVN15" s="257"/>
      <c r="MVO15" s="257"/>
      <c r="MVP15" s="257"/>
      <c r="MVQ15" s="257"/>
      <c r="MVR15" s="257"/>
      <c r="MVS15" s="257"/>
      <c r="MVT15" s="257"/>
      <c r="MVU15" s="257"/>
      <c r="MVV15" s="257"/>
      <c r="MVW15" s="257"/>
      <c r="MVX15" s="257"/>
      <c r="MVY15" s="257"/>
      <c r="MVZ15" s="257"/>
      <c r="MWA15" s="257"/>
      <c r="MWB15" s="257"/>
      <c r="MWC15" s="257"/>
      <c r="MWD15" s="257"/>
      <c r="MWE15" s="257"/>
      <c r="MWF15" s="257"/>
      <c r="MWG15" s="257"/>
      <c r="MWH15" s="257"/>
      <c r="MWI15" s="257"/>
      <c r="MWJ15" s="257"/>
      <c r="MWK15" s="257"/>
      <c r="MWL15" s="257"/>
      <c r="MWM15" s="257"/>
      <c r="MWN15" s="257"/>
      <c r="MWO15" s="257"/>
      <c r="MWP15" s="257"/>
      <c r="MWQ15" s="257"/>
      <c r="MWR15" s="257"/>
      <c r="MWS15" s="257"/>
      <c r="MWT15" s="257"/>
      <c r="MWU15" s="257"/>
      <c r="MWV15" s="257"/>
      <c r="MWW15" s="257"/>
      <c r="MWX15" s="257"/>
      <c r="MWY15" s="257"/>
      <c r="MWZ15" s="257"/>
      <c r="MXA15" s="257"/>
      <c r="MXB15" s="257"/>
      <c r="MXC15" s="257"/>
      <c r="MXD15" s="257"/>
      <c r="MXE15" s="257"/>
      <c r="MXF15" s="257"/>
      <c r="MXG15" s="257"/>
      <c r="MXH15" s="257"/>
      <c r="MXI15" s="257"/>
      <c r="MXJ15" s="257"/>
      <c r="MXK15" s="257"/>
      <c r="MXL15" s="257"/>
      <c r="MXM15" s="257"/>
      <c r="MXN15" s="257"/>
      <c r="MXO15" s="257"/>
      <c r="MXP15" s="257"/>
      <c r="MXQ15" s="257"/>
      <c r="MXR15" s="257"/>
      <c r="MXS15" s="257"/>
      <c r="MXT15" s="257"/>
      <c r="MXU15" s="257"/>
      <c r="MXV15" s="257"/>
      <c r="MXW15" s="257"/>
      <c r="MXX15" s="257"/>
      <c r="MXY15" s="257"/>
      <c r="MXZ15" s="257"/>
      <c r="MYA15" s="257"/>
      <c r="MYB15" s="257"/>
      <c r="MYC15" s="257"/>
      <c r="MYD15" s="257"/>
      <c r="MYE15" s="257"/>
      <c r="MYF15" s="257"/>
      <c r="MYG15" s="257"/>
      <c r="MYH15" s="257"/>
      <c r="MYI15" s="257"/>
      <c r="MYJ15" s="257"/>
      <c r="MYK15" s="257"/>
      <c r="MYL15" s="257"/>
      <c r="MYM15" s="257"/>
      <c r="MYN15" s="257"/>
      <c r="MYO15" s="257"/>
      <c r="MYP15" s="257"/>
      <c r="MYQ15" s="257"/>
      <c r="MYR15" s="257"/>
      <c r="MYS15" s="257"/>
      <c r="MYT15" s="257"/>
      <c r="MYU15" s="257"/>
      <c r="MYV15" s="257"/>
      <c r="MYW15" s="257"/>
      <c r="MYX15" s="257"/>
      <c r="MYY15" s="257"/>
      <c r="MYZ15" s="257"/>
      <c r="MZA15" s="257"/>
      <c r="MZB15" s="257"/>
      <c r="MZC15" s="257"/>
      <c r="MZD15" s="257"/>
      <c r="MZE15" s="257"/>
      <c r="MZF15" s="257"/>
      <c r="MZG15" s="257"/>
      <c r="MZH15" s="257"/>
      <c r="MZI15" s="257"/>
      <c r="MZJ15" s="257"/>
      <c r="MZK15" s="257"/>
      <c r="MZL15" s="257"/>
      <c r="MZM15" s="257"/>
      <c r="MZN15" s="257"/>
      <c r="MZO15" s="257"/>
      <c r="MZP15" s="257"/>
      <c r="MZQ15" s="257"/>
      <c r="MZR15" s="257"/>
      <c r="MZS15" s="257"/>
      <c r="MZT15" s="257"/>
      <c r="MZU15" s="257"/>
      <c r="MZV15" s="257"/>
      <c r="MZW15" s="257"/>
      <c r="MZX15" s="257"/>
      <c r="MZY15" s="257"/>
      <c r="MZZ15" s="257"/>
      <c r="NAA15" s="257"/>
      <c r="NAB15" s="257"/>
      <c r="NAC15" s="257"/>
      <c r="NAD15" s="257"/>
      <c r="NAE15" s="257"/>
      <c r="NAF15" s="257"/>
      <c r="NAG15" s="257"/>
      <c r="NAH15" s="257"/>
      <c r="NAI15" s="257"/>
      <c r="NAJ15" s="257"/>
      <c r="NAK15" s="257"/>
      <c r="NAL15" s="257"/>
      <c r="NAM15" s="257"/>
      <c r="NAN15" s="257"/>
      <c r="NAO15" s="257"/>
      <c r="NAP15" s="257"/>
      <c r="NAQ15" s="257"/>
      <c r="NAR15" s="257"/>
      <c r="NAS15" s="257"/>
      <c r="NAT15" s="257"/>
      <c r="NAU15" s="257"/>
      <c r="NAV15" s="257"/>
      <c r="NAW15" s="257"/>
      <c r="NAX15" s="257"/>
      <c r="NAY15" s="257"/>
      <c r="NAZ15" s="257"/>
      <c r="NBA15" s="257"/>
      <c r="NBB15" s="257"/>
      <c r="NBC15" s="257"/>
      <c r="NBD15" s="257"/>
      <c r="NBE15" s="257"/>
      <c r="NBF15" s="257"/>
      <c r="NBG15" s="257"/>
      <c r="NBH15" s="257"/>
      <c r="NBI15" s="257"/>
      <c r="NBJ15" s="257"/>
      <c r="NBK15" s="257"/>
      <c r="NBL15" s="257"/>
      <c r="NBM15" s="257"/>
      <c r="NBN15" s="257"/>
      <c r="NBO15" s="257"/>
      <c r="NBP15" s="257"/>
      <c r="NBQ15" s="257"/>
      <c r="NBR15" s="257"/>
      <c r="NBS15" s="257"/>
      <c r="NBT15" s="257"/>
      <c r="NBU15" s="257"/>
      <c r="NBV15" s="257"/>
      <c r="NBW15" s="257"/>
      <c r="NBX15" s="257"/>
      <c r="NBY15" s="257"/>
      <c r="NBZ15" s="257"/>
      <c r="NCA15" s="257"/>
      <c r="NCB15" s="257"/>
      <c r="NCC15" s="257"/>
      <c r="NCD15" s="257"/>
      <c r="NCE15" s="257"/>
      <c r="NCF15" s="257"/>
      <c r="NCG15" s="257"/>
      <c r="NCH15" s="257"/>
      <c r="NCI15" s="257"/>
      <c r="NCJ15" s="257"/>
      <c r="NCK15" s="257"/>
      <c r="NCL15" s="257"/>
      <c r="NCM15" s="257"/>
      <c r="NCN15" s="257"/>
      <c r="NCO15" s="257"/>
      <c r="NCP15" s="257"/>
      <c r="NCQ15" s="257"/>
      <c r="NCR15" s="257"/>
      <c r="NCS15" s="257"/>
      <c r="NCT15" s="257"/>
      <c r="NCU15" s="257"/>
      <c r="NCV15" s="257"/>
      <c r="NCW15" s="257"/>
      <c r="NCX15" s="257"/>
      <c r="NCY15" s="257"/>
      <c r="NCZ15" s="257"/>
      <c r="NDA15" s="257"/>
      <c r="NDB15" s="257"/>
      <c r="NDC15" s="257"/>
      <c r="NDD15" s="257"/>
      <c r="NDE15" s="257"/>
      <c r="NDF15" s="257"/>
      <c r="NDG15" s="257"/>
      <c r="NDH15" s="257"/>
      <c r="NDI15" s="257"/>
      <c r="NDJ15" s="257"/>
      <c r="NDK15" s="257"/>
      <c r="NDL15" s="257"/>
      <c r="NDM15" s="257"/>
      <c r="NDN15" s="257"/>
      <c r="NDO15" s="257"/>
      <c r="NDP15" s="257"/>
      <c r="NDQ15" s="257"/>
      <c r="NDR15" s="257"/>
      <c r="NDS15" s="257"/>
      <c r="NDT15" s="257"/>
      <c r="NDU15" s="257"/>
      <c r="NDV15" s="257"/>
      <c r="NDW15" s="257"/>
      <c r="NDX15" s="257"/>
      <c r="NDY15" s="257"/>
      <c r="NDZ15" s="257"/>
      <c r="NEA15" s="257"/>
      <c r="NEB15" s="257"/>
      <c r="NEC15" s="257"/>
      <c r="NED15" s="257"/>
      <c r="NEE15" s="257"/>
      <c r="NEF15" s="257"/>
      <c r="NEG15" s="257"/>
      <c r="NEH15" s="257"/>
      <c r="NEI15" s="257"/>
      <c r="NEJ15" s="257"/>
      <c r="NEK15" s="257"/>
      <c r="NEL15" s="257"/>
      <c r="NEM15" s="257"/>
      <c r="NEN15" s="257"/>
      <c r="NEO15" s="257"/>
      <c r="NEP15" s="257"/>
      <c r="NEQ15" s="257"/>
      <c r="NER15" s="257"/>
      <c r="NES15" s="257"/>
      <c r="NET15" s="257"/>
      <c r="NEU15" s="257"/>
      <c r="NEV15" s="257"/>
      <c r="NEW15" s="257"/>
      <c r="NEX15" s="257"/>
      <c r="NEY15" s="257"/>
      <c r="NEZ15" s="257"/>
      <c r="NFA15" s="257"/>
      <c r="NFB15" s="257"/>
      <c r="NFC15" s="257"/>
      <c r="NFD15" s="257"/>
      <c r="NFE15" s="257"/>
      <c r="NFF15" s="257"/>
      <c r="NFG15" s="257"/>
      <c r="NFH15" s="257"/>
      <c r="NFI15" s="257"/>
      <c r="NFJ15" s="257"/>
      <c r="NFK15" s="257"/>
      <c r="NFL15" s="257"/>
      <c r="NFM15" s="257"/>
      <c r="NFN15" s="257"/>
      <c r="NFO15" s="257"/>
      <c r="NFP15" s="257"/>
      <c r="NFQ15" s="257"/>
      <c r="NFR15" s="257"/>
      <c r="NFS15" s="257"/>
      <c r="NFT15" s="257"/>
      <c r="NFU15" s="257"/>
      <c r="NFV15" s="257"/>
      <c r="NFW15" s="257"/>
      <c r="NFX15" s="257"/>
      <c r="NFY15" s="257"/>
      <c r="NFZ15" s="257"/>
      <c r="NGA15" s="257"/>
      <c r="NGB15" s="257"/>
      <c r="NGC15" s="257"/>
      <c r="NGD15" s="257"/>
      <c r="NGE15" s="257"/>
      <c r="NGF15" s="257"/>
      <c r="NGG15" s="257"/>
      <c r="NGH15" s="257"/>
      <c r="NGI15" s="257"/>
      <c r="NGJ15" s="257"/>
      <c r="NGK15" s="257"/>
      <c r="NGL15" s="257"/>
      <c r="NGM15" s="257"/>
      <c r="NGN15" s="257"/>
      <c r="NGO15" s="257"/>
      <c r="NGP15" s="257"/>
      <c r="NGQ15" s="257"/>
      <c r="NGR15" s="257"/>
      <c r="NGS15" s="257"/>
      <c r="NGT15" s="257"/>
      <c r="NGU15" s="257"/>
      <c r="NGV15" s="257"/>
      <c r="NGW15" s="257"/>
      <c r="NGX15" s="257"/>
      <c r="NGY15" s="257"/>
      <c r="NGZ15" s="257"/>
      <c r="NHA15" s="257"/>
      <c r="NHB15" s="257"/>
      <c r="NHC15" s="257"/>
      <c r="NHD15" s="257"/>
      <c r="NHE15" s="257"/>
      <c r="NHF15" s="257"/>
      <c r="NHG15" s="257"/>
      <c r="NHH15" s="257"/>
      <c r="NHI15" s="257"/>
      <c r="NHJ15" s="257"/>
      <c r="NHK15" s="257"/>
      <c r="NHL15" s="257"/>
      <c r="NHM15" s="257"/>
      <c r="NHN15" s="257"/>
      <c r="NHO15" s="257"/>
      <c r="NHP15" s="257"/>
      <c r="NHQ15" s="257"/>
      <c r="NHR15" s="257"/>
      <c r="NHS15" s="257"/>
      <c r="NHT15" s="257"/>
      <c r="NHU15" s="257"/>
      <c r="NHV15" s="257"/>
      <c r="NHW15" s="257"/>
      <c r="NHX15" s="257"/>
      <c r="NHY15" s="257"/>
      <c r="NHZ15" s="257"/>
      <c r="NIA15" s="257"/>
      <c r="NIB15" s="257"/>
      <c r="NIC15" s="257"/>
      <c r="NID15" s="257"/>
      <c r="NIE15" s="257"/>
      <c r="NIF15" s="257"/>
      <c r="NIG15" s="257"/>
      <c r="NIH15" s="257"/>
      <c r="NII15" s="257"/>
      <c r="NIJ15" s="257"/>
      <c r="NIK15" s="257"/>
      <c r="NIL15" s="257"/>
      <c r="NIM15" s="257"/>
      <c r="NIN15" s="257"/>
      <c r="NIO15" s="257"/>
      <c r="NIP15" s="257"/>
      <c r="NIQ15" s="257"/>
      <c r="NIR15" s="257"/>
      <c r="NIS15" s="257"/>
      <c r="NIT15" s="257"/>
      <c r="NIU15" s="257"/>
      <c r="NIV15" s="257"/>
      <c r="NIW15" s="257"/>
      <c r="NIX15" s="257"/>
      <c r="NIY15" s="257"/>
      <c r="NIZ15" s="257"/>
      <c r="NJA15" s="257"/>
      <c r="NJB15" s="257"/>
      <c r="NJC15" s="257"/>
      <c r="NJD15" s="257"/>
      <c r="NJE15" s="257"/>
      <c r="NJF15" s="257"/>
      <c r="NJG15" s="257"/>
      <c r="NJH15" s="257"/>
      <c r="NJI15" s="257"/>
      <c r="NJJ15" s="257"/>
      <c r="NJK15" s="257"/>
      <c r="NJL15" s="257"/>
      <c r="NJM15" s="257"/>
      <c r="NJN15" s="257"/>
      <c r="NJO15" s="257"/>
      <c r="NJP15" s="257"/>
      <c r="NJQ15" s="257"/>
      <c r="NJR15" s="257"/>
      <c r="NJS15" s="257"/>
      <c r="NJT15" s="257"/>
      <c r="NJU15" s="257"/>
      <c r="NJV15" s="257"/>
      <c r="NJW15" s="257"/>
      <c r="NJX15" s="257"/>
      <c r="NJY15" s="257"/>
      <c r="NJZ15" s="257"/>
      <c r="NKA15" s="257"/>
      <c r="NKB15" s="257"/>
      <c r="NKC15" s="257"/>
      <c r="NKD15" s="257"/>
      <c r="NKE15" s="257"/>
      <c r="NKF15" s="257"/>
      <c r="NKG15" s="257"/>
      <c r="NKH15" s="257"/>
      <c r="NKI15" s="257"/>
      <c r="NKJ15" s="257"/>
      <c r="NKK15" s="257"/>
      <c r="NKL15" s="257"/>
      <c r="NKM15" s="257"/>
      <c r="NKN15" s="257"/>
      <c r="NKO15" s="257"/>
      <c r="NKP15" s="257"/>
      <c r="NKQ15" s="257"/>
      <c r="NKR15" s="257"/>
      <c r="NKS15" s="257"/>
      <c r="NKT15" s="257"/>
      <c r="NKU15" s="257"/>
      <c r="NKV15" s="257"/>
      <c r="NKW15" s="257"/>
      <c r="NKX15" s="257"/>
      <c r="NKY15" s="257"/>
      <c r="NKZ15" s="257"/>
      <c r="NLA15" s="257"/>
      <c r="NLB15" s="257"/>
      <c r="NLC15" s="257"/>
      <c r="NLD15" s="257"/>
      <c r="NLE15" s="257"/>
      <c r="NLF15" s="257"/>
      <c r="NLG15" s="257"/>
      <c r="NLH15" s="257"/>
      <c r="NLI15" s="257"/>
      <c r="NLJ15" s="257"/>
      <c r="NLK15" s="257"/>
      <c r="NLL15" s="257"/>
      <c r="NLM15" s="257"/>
      <c r="NLN15" s="257"/>
      <c r="NLO15" s="257"/>
      <c r="NLP15" s="257"/>
      <c r="NLQ15" s="257"/>
      <c r="NLR15" s="257"/>
      <c r="NLS15" s="257"/>
      <c r="NLT15" s="257"/>
      <c r="NLU15" s="257"/>
      <c r="NLV15" s="257"/>
      <c r="NLW15" s="257"/>
      <c r="NLX15" s="257"/>
      <c r="NLY15" s="257"/>
      <c r="NLZ15" s="257"/>
      <c r="NMA15" s="257"/>
      <c r="NMB15" s="257"/>
      <c r="NMC15" s="257"/>
      <c r="NMD15" s="257"/>
      <c r="NME15" s="257"/>
      <c r="NMF15" s="257"/>
      <c r="NMG15" s="257"/>
      <c r="NMH15" s="257"/>
      <c r="NMI15" s="257"/>
      <c r="NMJ15" s="257"/>
      <c r="NMK15" s="257"/>
      <c r="NML15" s="257"/>
      <c r="NMM15" s="257"/>
      <c r="NMN15" s="257"/>
      <c r="NMO15" s="257"/>
      <c r="NMP15" s="257"/>
      <c r="NMQ15" s="257"/>
      <c r="NMR15" s="257"/>
      <c r="NMS15" s="257"/>
      <c r="NMT15" s="257"/>
      <c r="NMU15" s="257"/>
      <c r="NMV15" s="257"/>
      <c r="NMW15" s="257"/>
      <c r="NMX15" s="257"/>
      <c r="NMY15" s="257"/>
      <c r="NMZ15" s="257"/>
      <c r="NNA15" s="257"/>
      <c r="NNB15" s="257"/>
      <c r="NNC15" s="257"/>
      <c r="NND15" s="257"/>
      <c r="NNE15" s="257"/>
      <c r="NNF15" s="257"/>
      <c r="NNG15" s="257"/>
      <c r="NNH15" s="257"/>
      <c r="NNI15" s="257"/>
      <c r="NNJ15" s="257"/>
      <c r="NNK15" s="257"/>
      <c r="NNL15" s="257"/>
      <c r="NNM15" s="257"/>
      <c r="NNN15" s="257"/>
      <c r="NNO15" s="257"/>
      <c r="NNP15" s="257"/>
      <c r="NNQ15" s="257"/>
      <c r="NNR15" s="257"/>
      <c r="NNS15" s="257"/>
      <c r="NNT15" s="257"/>
      <c r="NNU15" s="257"/>
      <c r="NNV15" s="257"/>
      <c r="NNW15" s="257"/>
      <c r="NNX15" s="257"/>
      <c r="NNY15" s="257"/>
      <c r="NNZ15" s="257"/>
      <c r="NOA15" s="257"/>
      <c r="NOB15" s="257"/>
      <c r="NOC15" s="257"/>
      <c r="NOD15" s="257"/>
      <c r="NOE15" s="257"/>
      <c r="NOF15" s="257"/>
      <c r="NOG15" s="257"/>
      <c r="NOH15" s="257"/>
      <c r="NOI15" s="257"/>
      <c r="NOJ15" s="257"/>
      <c r="NOK15" s="257"/>
      <c r="NOL15" s="257"/>
      <c r="NOM15" s="257"/>
      <c r="NON15" s="257"/>
      <c r="NOO15" s="257"/>
      <c r="NOP15" s="257"/>
      <c r="NOQ15" s="257"/>
      <c r="NOR15" s="257"/>
      <c r="NOS15" s="257"/>
      <c r="NOT15" s="257"/>
      <c r="NOU15" s="257"/>
      <c r="NOV15" s="257"/>
      <c r="NOW15" s="257"/>
      <c r="NOX15" s="257"/>
      <c r="NOY15" s="257"/>
      <c r="NOZ15" s="257"/>
      <c r="NPA15" s="257"/>
      <c r="NPB15" s="257"/>
      <c r="NPC15" s="257"/>
      <c r="NPD15" s="257"/>
      <c r="NPE15" s="257"/>
      <c r="NPF15" s="257"/>
      <c r="NPG15" s="257"/>
      <c r="NPH15" s="257"/>
      <c r="NPI15" s="257"/>
      <c r="NPJ15" s="257"/>
      <c r="NPK15" s="257"/>
      <c r="NPL15" s="257"/>
      <c r="NPM15" s="257"/>
      <c r="NPN15" s="257"/>
      <c r="NPO15" s="257"/>
      <c r="NPP15" s="257"/>
      <c r="NPQ15" s="257"/>
      <c r="NPR15" s="257"/>
      <c r="NPS15" s="257"/>
      <c r="NPT15" s="257"/>
      <c r="NPU15" s="257"/>
      <c r="NPV15" s="257"/>
      <c r="NPW15" s="257"/>
      <c r="NPX15" s="257"/>
      <c r="NPY15" s="257"/>
      <c r="NPZ15" s="257"/>
      <c r="NQA15" s="257"/>
      <c r="NQB15" s="257"/>
      <c r="NQC15" s="257"/>
      <c r="NQD15" s="257"/>
      <c r="NQE15" s="257"/>
      <c r="NQF15" s="257"/>
      <c r="NQG15" s="257"/>
      <c r="NQH15" s="257"/>
      <c r="NQI15" s="257"/>
      <c r="NQJ15" s="257"/>
      <c r="NQK15" s="257"/>
      <c r="NQL15" s="257"/>
      <c r="NQM15" s="257"/>
      <c r="NQN15" s="257"/>
      <c r="NQO15" s="257"/>
      <c r="NQP15" s="257"/>
      <c r="NQQ15" s="257"/>
      <c r="NQR15" s="257"/>
      <c r="NQS15" s="257"/>
      <c r="NQT15" s="257"/>
      <c r="NQU15" s="257"/>
      <c r="NQV15" s="257"/>
      <c r="NQW15" s="257"/>
      <c r="NQX15" s="257"/>
      <c r="NQY15" s="257"/>
      <c r="NQZ15" s="257"/>
      <c r="NRA15" s="257"/>
      <c r="NRB15" s="257"/>
      <c r="NRC15" s="257"/>
      <c r="NRD15" s="257"/>
      <c r="NRE15" s="257"/>
      <c r="NRF15" s="257"/>
      <c r="NRG15" s="257"/>
      <c r="NRH15" s="257"/>
      <c r="NRI15" s="257"/>
      <c r="NRJ15" s="257"/>
      <c r="NRK15" s="257"/>
      <c r="NRL15" s="257"/>
      <c r="NRM15" s="257"/>
      <c r="NRN15" s="257"/>
      <c r="NRO15" s="257"/>
      <c r="NRP15" s="257"/>
      <c r="NRQ15" s="257"/>
      <c r="NRR15" s="257"/>
      <c r="NRS15" s="257"/>
      <c r="NRT15" s="257"/>
      <c r="NRU15" s="257"/>
      <c r="NRV15" s="257"/>
      <c r="NRW15" s="257"/>
      <c r="NRX15" s="257"/>
      <c r="NRY15" s="257"/>
      <c r="NRZ15" s="257"/>
      <c r="NSA15" s="257"/>
      <c r="NSB15" s="257"/>
      <c r="NSC15" s="257"/>
      <c r="NSD15" s="257"/>
      <c r="NSE15" s="257"/>
      <c r="NSF15" s="257"/>
      <c r="NSG15" s="257"/>
      <c r="NSH15" s="257"/>
      <c r="NSI15" s="257"/>
      <c r="NSJ15" s="257"/>
      <c r="NSK15" s="257"/>
      <c r="NSL15" s="257"/>
      <c r="NSM15" s="257"/>
      <c r="NSN15" s="257"/>
      <c r="NSO15" s="257"/>
      <c r="NSP15" s="257"/>
      <c r="NSQ15" s="257"/>
      <c r="NSR15" s="257"/>
      <c r="NSS15" s="257"/>
      <c r="NST15" s="257"/>
      <c r="NSU15" s="257"/>
      <c r="NSV15" s="257"/>
      <c r="NSW15" s="257"/>
      <c r="NSX15" s="257"/>
      <c r="NSY15" s="257"/>
      <c r="NSZ15" s="257"/>
      <c r="NTA15" s="257"/>
      <c r="NTB15" s="257"/>
      <c r="NTC15" s="257"/>
      <c r="NTD15" s="257"/>
      <c r="NTE15" s="257"/>
      <c r="NTF15" s="257"/>
      <c r="NTG15" s="257"/>
      <c r="NTH15" s="257"/>
      <c r="NTI15" s="257"/>
      <c r="NTJ15" s="257"/>
      <c r="NTK15" s="257"/>
      <c r="NTL15" s="257"/>
      <c r="NTM15" s="257"/>
      <c r="NTN15" s="257"/>
      <c r="NTO15" s="257"/>
      <c r="NTP15" s="257"/>
      <c r="NTQ15" s="257"/>
      <c r="NTR15" s="257"/>
      <c r="NTS15" s="257"/>
      <c r="NTT15" s="257"/>
      <c r="NTU15" s="257"/>
      <c r="NTV15" s="257"/>
      <c r="NTW15" s="257"/>
      <c r="NTX15" s="257"/>
      <c r="NTY15" s="257"/>
      <c r="NTZ15" s="257"/>
      <c r="NUA15" s="257"/>
      <c r="NUB15" s="257"/>
      <c r="NUC15" s="257"/>
      <c r="NUD15" s="257"/>
      <c r="NUE15" s="257"/>
      <c r="NUF15" s="257"/>
      <c r="NUG15" s="257"/>
      <c r="NUH15" s="257"/>
      <c r="NUI15" s="257"/>
      <c r="NUJ15" s="257"/>
      <c r="NUK15" s="257"/>
      <c r="NUL15" s="257"/>
      <c r="NUM15" s="257"/>
      <c r="NUN15" s="257"/>
      <c r="NUO15" s="257"/>
      <c r="NUP15" s="257"/>
      <c r="NUQ15" s="257"/>
      <c r="NUR15" s="257"/>
      <c r="NUS15" s="257"/>
      <c r="NUT15" s="257"/>
      <c r="NUU15" s="257"/>
      <c r="NUV15" s="257"/>
      <c r="NUW15" s="257"/>
      <c r="NUX15" s="257"/>
      <c r="NUY15" s="257"/>
      <c r="NUZ15" s="257"/>
      <c r="NVA15" s="257"/>
      <c r="NVB15" s="257"/>
      <c r="NVC15" s="257"/>
      <c r="NVD15" s="257"/>
      <c r="NVE15" s="257"/>
      <c r="NVF15" s="257"/>
      <c r="NVG15" s="257"/>
      <c r="NVH15" s="257"/>
      <c r="NVI15" s="257"/>
      <c r="NVJ15" s="257"/>
      <c r="NVK15" s="257"/>
      <c r="NVL15" s="257"/>
      <c r="NVM15" s="257"/>
      <c r="NVN15" s="257"/>
      <c r="NVO15" s="257"/>
      <c r="NVP15" s="257"/>
      <c r="NVQ15" s="257"/>
      <c r="NVR15" s="257"/>
      <c r="NVS15" s="257"/>
      <c r="NVT15" s="257"/>
      <c r="NVU15" s="257"/>
      <c r="NVV15" s="257"/>
      <c r="NVW15" s="257"/>
      <c r="NVX15" s="257"/>
      <c r="NVY15" s="257"/>
      <c r="NVZ15" s="257"/>
      <c r="NWA15" s="257"/>
      <c r="NWB15" s="257"/>
      <c r="NWC15" s="257"/>
      <c r="NWD15" s="257"/>
      <c r="NWE15" s="257"/>
      <c r="NWF15" s="257"/>
      <c r="NWG15" s="257"/>
      <c r="NWH15" s="257"/>
      <c r="NWI15" s="257"/>
      <c r="NWJ15" s="257"/>
      <c r="NWK15" s="257"/>
      <c r="NWL15" s="257"/>
      <c r="NWM15" s="257"/>
      <c r="NWN15" s="257"/>
      <c r="NWO15" s="257"/>
      <c r="NWP15" s="257"/>
      <c r="NWQ15" s="257"/>
      <c r="NWR15" s="257"/>
      <c r="NWS15" s="257"/>
      <c r="NWT15" s="257"/>
      <c r="NWU15" s="257"/>
      <c r="NWV15" s="257"/>
      <c r="NWW15" s="257"/>
      <c r="NWX15" s="257"/>
      <c r="NWY15" s="257"/>
      <c r="NWZ15" s="257"/>
      <c r="NXA15" s="257"/>
      <c r="NXB15" s="257"/>
      <c r="NXC15" s="257"/>
      <c r="NXD15" s="257"/>
      <c r="NXE15" s="257"/>
      <c r="NXF15" s="257"/>
      <c r="NXG15" s="257"/>
      <c r="NXH15" s="257"/>
      <c r="NXI15" s="257"/>
      <c r="NXJ15" s="257"/>
      <c r="NXK15" s="257"/>
      <c r="NXL15" s="257"/>
      <c r="NXM15" s="257"/>
      <c r="NXN15" s="257"/>
      <c r="NXO15" s="257"/>
      <c r="NXP15" s="257"/>
      <c r="NXQ15" s="257"/>
      <c r="NXR15" s="257"/>
      <c r="NXS15" s="257"/>
      <c r="NXT15" s="257"/>
      <c r="NXU15" s="257"/>
      <c r="NXV15" s="257"/>
      <c r="NXW15" s="257"/>
      <c r="NXX15" s="257"/>
      <c r="NXY15" s="257"/>
      <c r="NXZ15" s="257"/>
      <c r="NYA15" s="257"/>
      <c r="NYB15" s="257"/>
      <c r="NYC15" s="257"/>
      <c r="NYD15" s="257"/>
      <c r="NYE15" s="257"/>
      <c r="NYF15" s="257"/>
      <c r="NYG15" s="257"/>
      <c r="NYH15" s="257"/>
      <c r="NYI15" s="257"/>
      <c r="NYJ15" s="257"/>
      <c r="NYK15" s="257"/>
      <c r="NYL15" s="257"/>
      <c r="NYM15" s="257"/>
      <c r="NYN15" s="257"/>
      <c r="NYO15" s="257"/>
      <c r="NYP15" s="257"/>
      <c r="NYQ15" s="257"/>
      <c r="NYR15" s="257"/>
      <c r="NYS15" s="257"/>
      <c r="NYT15" s="257"/>
      <c r="NYU15" s="257"/>
      <c r="NYV15" s="257"/>
      <c r="NYW15" s="257"/>
      <c r="NYX15" s="257"/>
      <c r="NYY15" s="257"/>
      <c r="NYZ15" s="257"/>
      <c r="NZA15" s="257"/>
      <c r="NZB15" s="257"/>
      <c r="NZC15" s="257"/>
      <c r="NZD15" s="257"/>
      <c r="NZE15" s="257"/>
      <c r="NZF15" s="257"/>
      <c r="NZG15" s="257"/>
      <c r="NZH15" s="257"/>
      <c r="NZI15" s="257"/>
      <c r="NZJ15" s="257"/>
      <c r="NZK15" s="257"/>
      <c r="NZL15" s="257"/>
      <c r="NZM15" s="257"/>
      <c r="NZN15" s="257"/>
      <c r="NZO15" s="257"/>
      <c r="NZP15" s="257"/>
      <c r="NZQ15" s="257"/>
      <c r="NZR15" s="257"/>
      <c r="NZS15" s="257"/>
      <c r="NZT15" s="257"/>
      <c r="NZU15" s="257"/>
      <c r="NZV15" s="257"/>
      <c r="NZW15" s="257"/>
      <c r="NZX15" s="257"/>
      <c r="NZY15" s="257"/>
      <c r="NZZ15" s="257"/>
      <c r="OAA15" s="257"/>
      <c r="OAB15" s="257"/>
      <c r="OAC15" s="257"/>
      <c r="OAD15" s="257"/>
      <c r="OAE15" s="257"/>
      <c r="OAF15" s="257"/>
      <c r="OAG15" s="257"/>
      <c r="OAH15" s="257"/>
      <c r="OAI15" s="257"/>
      <c r="OAJ15" s="257"/>
      <c r="OAK15" s="257"/>
      <c r="OAL15" s="257"/>
      <c r="OAM15" s="257"/>
      <c r="OAN15" s="257"/>
      <c r="OAO15" s="257"/>
      <c r="OAP15" s="257"/>
      <c r="OAQ15" s="257"/>
      <c r="OAR15" s="257"/>
      <c r="OAS15" s="257"/>
      <c r="OAT15" s="257"/>
      <c r="OAU15" s="257"/>
      <c r="OAV15" s="257"/>
      <c r="OAW15" s="257"/>
      <c r="OAX15" s="257"/>
      <c r="OAY15" s="257"/>
      <c r="OAZ15" s="257"/>
      <c r="OBA15" s="257"/>
      <c r="OBB15" s="257"/>
      <c r="OBC15" s="257"/>
      <c r="OBD15" s="257"/>
      <c r="OBE15" s="257"/>
      <c r="OBF15" s="257"/>
      <c r="OBG15" s="257"/>
      <c r="OBH15" s="257"/>
      <c r="OBI15" s="257"/>
      <c r="OBJ15" s="257"/>
      <c r="OBK15" s="257"/>
      <c r="OBL15" s="257"/>
      <c r="OBM15" s="257"/>
      <c r="OBN15" s="257"/>
      <c r="OBO15" s="257"/>
      <c r="OBP15" s="257"/>
      <c r="OBQ15" s="257"/>
      <c r="OBR15" s="257"/>
      <c r="OBS15" s="257"/>
      <c r="OBT15" s="257"/>
      <c r="OBU15" s="257"/>
      <c r="OBV15" s="257"/>
      <c r="OBW15" s="257"/>
      <c r="OBX15" s="257"/>
      <c r="OBY15" s="257"/>
      <c r="OBZ15" s="257"/>
      <c r="OCA15" s="257"/>
      <c r="OCB15" s="257"/>
      <c r="OCC15" s="257"/>
      <c r="OCD15" s="257"/>
      <c r="OCE15" s="257"/>
      <c r="OCF15" s="257"/>
      <c r="OCG15" s="257"/>
      <c r="OCH15" s="257"/>
      <c r="OCI15" s="257"/>
      <c r="OCJ15" s="257"/>
      <c r="OCK15" s="257"/>
      <c r="OCL15" s="257"/>
      <c r="OCM15" s="257"/>
      <c r="OCN15" s="257"/>
      <c r="OCO15" s="257"/>
      <c r="OCP15" s="257"/>
      <c r="OCQ15" s="257"/>
      <c r="OCR15" s="257"/>
      <c r="OCS15" s="257"/>
      <c r="OCT15" s="257"/>
      <c r="OCU15" s="257"/>
      <c r="OCV15" s="257"/>
      <c r="OCW15" s="257"/>
      <c r="OCX15" s="257"/>
      <c r="OCY15" s="257"/>
      <c r="OCZ15" s="257"/>
      <c r="ODA15" s="257"/>
      <c r="ODB15" s="257"/>
      <c r="ODC15" s="257"/>
      <c r="ODD15" s="257"/>
      <c r="ODE15" s="257"/>
      <c r="ODF15" s="257"/>
      <c r="ODG15" s="257"/>
      <c r="ODH15" s="257"/>
      <c r="ODI15" s="257"/>
      <c r="ODJ15" s="257"/>
      <c r="ODK15" s="257"/>
      <c r="ODL15" s="257"/>
      <c r="ODM15" s="257"/>
      <c r="ODN15" s="257"/>
      <c r="ODO15" s="257"/>
      <c r="ODP15" s="257"/>
      <c r="ODQ15" s="257"/>
      <c r="ODR15" s="257"/>
      <c r="ODS15" s="257"/>
      <c r="ODT15" s="257"/>
      <c r="ODU15" s="257"/>
      <c r="ODV15" s="257"/>
      <c r="ODW15" s="257"/>
      <c r="ODX15" s="257"/>
      <c r="ODY15" s="257"/>
      <c r="ODZ15" s="257"/>
      <c r="OEA15" s="257"/>
      <c r="OEB15" s="257"/>
      <c r="OEC15" s="257"/>
      <c r="OED15" s="257"/>
      <c r="OEE15" s="257"/>
      <c r="OEF15" s="257"/>
      <c r="OEG15" s="257"/>
      <c r="OEH15" s="257"/>
      <c r="OEI15" s="257"/>
      <c r="OEJ15" s="257"/>
      <c r="OEK15" s="257"/>
      <c r="OEL15" s="257"/>
      <c r="OEM15" s="257"/>
      <c r="OEN15" s="257"/>
      <c r="OEO15" s="257"/>
      <c r="OEP15" s="257"/>
      <c r="OEQ15" s="257"/>
      <c r="OER15" s="257"/>
      <c r="OES15" s="257"/>
      <c r="OET15" s="257"/>
      <c r="OEU15" s="257"/>
      <c r="OEV15" s="257"/>
      <c r="OEW15" s="257"/>
      <c r="OEX15" s="257"/>
      <c r="OEY15" s="257"/>
      <c r="OEZ15" s="257"/>
      <c r="OFA15" s="257"/>
      <c r="OFB15" s="257"/>
      <c r="OFC15" s="257"/>
      <c r="OFD15" s="257"/>
      <c r="OFE15" s="257"/>
      <c r="OFF15" s="257"/>
      <c r="OFG15" s="257"/>
      <c r="OFH15" s="257"/>
      <c r="OFI15" s="257"/>
      <c r="OFJ15" s="257"/>
      <c r="OFK15" s="257"/>
      <c r="OFL15" s="257"/>
      <c r="OFM15" s="257"/>
      <c r="OFN15" s="257"/>
      <c r="OFO15" s="257"/>
      <c r="OFP15" s="257"/>
      <c r="OFQ15" s="257"/>
      <c r="OFR15" s="257"/>
      <c r="OFS15" s="257"/>
      <c r="OFT15" s="257"/>
      <c r="OFU15" s="257"/>
      <c r="OFV15" s="257"/>
      <c r="OFW15" s="257"/>
      <c r="OFX15" s="257"/>
      <c r="OFY15" s="257"/>
      <c r="OFZ15" s="257"/>
      <c r="OGA15" s="257"/>
      <c r="OGB15" s="257"/>
      <c r="OGC15" s="257"/>
      <c r="OGD15" s="257"/>
      <c r="OGE15" s="257"/>
      <c r="OGF15" s="257"/>
      <c r="OGG15" s="257"/>
      <c r="OGH15" s="257"/>
      <c r="OGI15" s="257"/>
      <c r="OGJ15" s="257"/>
      <c r="OGK15" s="257"/>
      <c r="OGL15" s="257"/>
      <c r="OGM15" s="257"/>
      <c r="OGN15" s="257"/>
      <c r="OGO15" s="257"/>
      <c r="OGP15" s="257"/>
      <c r="OGQ15" s="257"/>
      <c r="OGR15" s="257"/>
      <c r="OGS15" s="257"/>
      <c r="OGT15" s="257"/>
      <c r="OGU15" s="257"/>
      <c r="OGV15" s="257"/>
      <c r="OGW15" s="257"/>
      <c r="OGX15" s="257"/>
      <c r="OGY15" s="257"/>
      <c r="OGZ15" s="257"/>
      <c r="OHA15" s="257"/>
      <c r="OHB15" s="257"/>
      <c r="OHC15" s="257"/>
      <c r="OHD15" s="257"/>
      <c r="OHE15" s="257"/>
      <c r="OHF15" s="257"/>
      <c r="OHG15" s="257"/>
      <c r="OHH15" s="257"/>
      <c r="OHI15" s="257"/>
      <c r="OHJ15" s="257"/>
      <c r="OHK15" s="257"/>
      <c r="OHL15" s="257"/>
      <c r="OHM15" s="257"/>
      <c r="OHN15" s="257"/>
      <c r="OHO15" s="257"/>
      <c r="OHP15" s="257"/>
      <c r="OHQ15" s="257"/>
      <c r="OHR15" s="257"/>
      <c r="OHS15" s="257"/>
      <c r="OHT15" s="257"/>
      <c r="OHU15" s="257"/>
      <c r="OHV15" s="257"/>
      <c r="OHW15" s="257"/>
      <c r="OHX15" s="257"/>
      <c r="OHY15" s="257"/>
      <c r="OHZ15" s="257"/>
      <c r="OIA15" s="257"/>
      <c r="OIB15" s="257"/>
      <c r="OIC15" s="257"/>
      <c r="OID15" s="257"/>
      <c r="OIE15" s="257"/>
      <c r="OIF15" s="257"/>
      <c r="OIG15" s="257"/>
      <c r="OIH15" s="257"/>
      <c r="OII15" s="257"/>
      <c r="OIJ15" s="257"/>
      <c r="OIK15" s="257"/>
      <c r="OIL15" s="257"/>
      <c r="OIM15" s="257"/>
      <c r="OIN15" s="257"/>
      <c r="OIO15" s="257"/>
      <c r="OIP15" s="257"/>
      <c r="OIQ15" s="257"/>
      <c r="OIR15" s="257"/>
      <c r="OIS15" s="257"/>
      <c r="OIT15" s="257"/>
      <c r="OIU15" s="257"/>
      <c r="OIV15" s="257"/>
      <c r="OIW15" s="257"/>
      <c r="OIX15" s="257"/>
      <c r="OIY15" s="257"/>
      <c r="OIZ15" s="257"/>
      <c r="OJA15" s="257"/>
      <c r="OJB15" s="257"/>
      <c r="OJC15" s="257"/>
      <c r="OJD15" s="257"/>
      <c r="OJE15" s="257"/>
      <c r="OJF15" s="257"/>
      <c r="OJG15" s="257"/>
      <c r="OJH15" s="257"/>
      <c r="OJI15" s="257"/>
      <c r="OJJ15" s="257"/>
      <c r="OJK15" s="257"/>
      <c r="OJL15" s="257"/>
      <c r="OJM15" s="257"/>
      <c r="OJN15" s="257"/>
      <c r="OJO15" s="257"/>
      <c r="OJP15" s="257"/>
      <c r="OJQ15" s="257"/>
      <c r="OJR15" s="257"/>
      <c r="OJS15" s="257"/>
      <c r="OJT15" s="257"/>
      <c r="OJU15" s="257"/>
      <c r="OJV15" s="257"/>
      <c r="OJW15" s="257"/>
      <c r="OJX15" s="257"/>
      <c r="OJY15" s="257"/>
      <c r="OJZ15" s="257"/>
      <c r="OKA15" s="257"/>
      <c r="OKB15" s="257"/>
      <c r="OKC15" s="257"/>
      <c r="OKD15" s="257"/>
      <c r="OKE15" s="257"/>
      <c r="OKF15" s="257"/>
      <c r="OKG15" s="257"/>
      <c r="OKH15" s="257"/>
      <c r="OKI15" s="257"/>
      <c r="OKJ15" s="257"/>
      <c r="OKK15" s="257"/>
      <c r="OKL15" s="257"/>
      <c r="OKM15" s="257"/>
      <c r="OKN15" s="257"/>
      <c r="OKO15" s="257"/>
      <c r="OKP15" s="257"/>
      <c r="OKQ15" s="257"/>
      <c r="OKR15" s="257"/>
      <c r="OKS15" s="257"/>
      <c r="OKT15" s="257"/>
      <c r="OKU15" s="257"/>
      <c r="OKV15" s="257"/>
      <c r="OKW15" s="257"/>
      <c r="OKX15" s="257"/>
      <c r="OKY15" s="257"/>
      <c r="OKZ15" s="257"/>
      <c r="OLA15" s="257"/>
      <c r="OLB15" s="257"/>
      <c r="OLC15" s="257"/>
      <c r="OLD15" s="257"/>
      <c r="OLE15" s="257"/>
      <c r="OLF15" s="257"/>
      <c r="OLG15" s="257"/>
      <c r="OLH15" s="257"/>
      <c r="OLI15" s="257"/>
      <c r="OLJ15" s="257"/>
      <c r="OLK15" s="257"/>
      <c r="OLL15" s="257"/>
      <c r="OLM15" s="257"/>
      <c r="OLN15" s="257"/>
      <c r="OLO15" s="257"/>
      <c r="OLP15" s="257"/>
      <c r="OLQ15" s="257"/>
      <c r="OLR15" s="257"/>
      <c r="OLS15" s="257"/>
      <c r="OLT15" s="257"/>
      <c r="OLU15" s="257"/>
      <c r="OLV15" s="257"/>
      <c r="OLW15" s="257"/>
      <c r="OLX15" s="257"/>
      <c r="OLY15" s="257"/>
      <c r="OLZ15" s="257"/>
      <c r="OMA15" s="257"/>
      <c r="OMB15" s="257"/>
      <c r="OMC15" s="257"/>
      <c r="OMD15" s="257"/>
      <c r="OME15" s="257"/>
      <c r="OMF15" s="257"/>
      <c r="OMG15" s="257"/>
      <c r="OMH15" s="257"/>
      <c r="OMI15" s="257"/>
      <c r="OMJ15" s="257"/>
      <c r="OMK15" s="257"/>
      <c r="OML15" s="257"/>
      <c r="OMM15" s="257"/>
      <c r="OMN15" s="257"/>
      <c r="OMO15" s="257"/>
      <c r="OMP15" s="257"/>
      <c r="OMQ15" s="257"/>
      <c r="OMR15" s="257"/>
      <c r="OMS15" s="257"/>
      <c r="OMT15" s="257"/>
      <c r="OMU15" s="257"/>
      <c r="OMV15" s="257"/>
      <c r="OMW15" s="257"/>
      <c r="OMX15" s="257"/>
      <c r="OMY15" s="257"/>
      <c r="OMZ15" s="257"/>
      <c r="ONA15" s="257"/>
      <c r="ONB15" s="257"/>
      <c r="ONC15" s="257"/>
      <c r="OND15" s="257"/>
      <c r="ONE15" s="257"/>
      <c r="ONF15" s="257"/>
      <c r="ONG15" s="257"/>
      <c r="ONH15" s="257"/>
      <c r="ONI15" s="257"/>
      <c r="ONJ15" s="257"/>
      <c r="ONK15" s="257"/>
      <c r="ONL15" s="257"/>
      <c r="ONM15" s="257"/>
      <c r="ONN15" s="257"/>
      <c r="ONO15" s="257"/>
      <c r="ONP15" s="257"/>
      <c r="ONQ15" s="257"/>
      <c r="ONR15" s="257"/>
      <c r="ONS15" s="257"/>
      <c r="ONT15" s="257"/>
      <c r="ONU15" s="257"/>
      <c r="ONV15" s="257"/>
      <c r="ONW15" s="257"/>
      <c r="ONX15" s="257"/>
      <c r="ONY15" s="257"/>
      <c r="ONZ15" s="257"/>
      <c r="OOA15" s="257"/>
      <c r="OOB15" s="257"/>
      <c r="OOC15" s="257"/>
      <c r="OOD15" s="257"/>
      <c r="OOE15" s="257"/>
      <c r="OOF15" s="257"/>
      <c r="OOG15" s="257"/>
      <c r="OOH15" s="257"/>
      <c r="OOI15" s="257"/>
      <c r="OOJ15" s="257"/>
      <c r="OOK15" s="257"/>
      <c r="OOL15" s="257"/>
      <c r="OOM15" s="257"/>
      <c r="OON15" s="257"/>
      <c r="OOO15" s="257"/>
      <c r="OOP15" s="257"/>
      <c r="OOQ15" s="257"/>
      <c r="OOR15" s="257"/>
      <c r="OOS15" s="257"/>
      <c r="OOT15" s="257"/>
      <c r="OOU15" s="257"/>
      <c r="OOV15" s="257"/>
      <c r="OOW15" s="257"/>
      <c r="OOX15" s="257"/>
      <c r="OOY15" s="257"/>
      <c r="OOZ15" s="257"/>
      <c r="OPA15" s="257"/>
      <c r="OPB15" s="257"/>
      <c r="OPC15" s="257"/>
      <c r="OPD15" s="257"/>
      <c r="OPE15" s="257"/>
      <c r="OPF15" s="257"/>
      <c r="OPG15" s="257"/>
      <c r="OPH15" s="257"/>
      <c r="OPI15" s="257"/>
      <c r="OPJ15" s="257"/>
      <c r="OPK15" s="257"/>
      <c r="OPL15" s="257"/>
      <c r="OPM15" s="257"/>
      <c r="OPN15" s="257"/>
      <c r="OPO15" s="257"/>
      <c r="OPP15" s="257"/>
      <c r="OPQ15" s="257"/>
      <c r="OPR15" s="257"/>
      <c r="OPS15" s="257"/>
      <c r="OPT15" s="257"/>
      <c r="OPU15" s="257"/>
      <c r="OPV15" s="257"/>
      <c r="OPW15" s="257"/>
      <c r="OPX15" s="257"/>
      <c r="OPY15" s="257"/>
      <c r="OPZ15" s="257"/>
      <c r="OQA15" s="257"/>
      <c r="OQB15" s="257"/>
      <c r="OQC15" s="257"/>
      <c r="OQD15" s="257"/>
      <c r="OQE15" s="257"/>
      <c r="OQF15" s="257"/>
      <c r="OQG15" s="257"/>
      <c r="OQH15" s="257"/>
      <c r="OQI15" s="257"/>
      <c r="OQJ15" s="257"/>
      <c r="OQK15" s="257"/>
      <c r="OQL15" s="257"/>
      <c r="OQM15" s="257"/>
      <c r="OQN15" s="257"/>
      <c r="OQO15" s="257"/>
      <c r="OQP15" s="257"/>
      <c r="OQQ15" s="257"/>
      <c r="OQR15" s="257"/>
      <c r="OQS15" s="257"/>
      <c r="OQT15" s="257"/>
      <c r="OQU15" s="257"/>
      <c r="OQV15" s="257"/>
      <c r="OQW15" s="257"/>
      <c r="OQX15" s="257"/>
      <c r="OQY15" s="257"/>
      <c r="OQZ15" s="257"/>
      <c r="ORA15" s="257"/>
      <c r="ORB15" s="257"/>
      <c r="ORC15" s="257"/>
      <c r="ORD15" s="257"/>
      <c r="ORE15" s="257"/>
      <c r="ORF15" s="257"/>
      <c r="ORG15" s="257"/>
      <c r="ORH15" s="257"/>
      <c r="ORI15" s="257"/>
      <c r="ORJ15" s="257"/>
      <c r="ORK15" s="257"/>
      <c r="ORL15" s="257"/>
      <c r="ORM15" s="257"/>
      <c r="ORN15" s="257"/>
      <c r="ORO15" s="257"/>
      <c r="ORP15" s="257"/>
      <c r="ORQ15" s="257"/>
      <c r="ORR15" s="257"/>
      <c r="ORS15" s="257"/>
      <c r="ORT15" s="257"/>
      <c r="ORU15" s="257"/>
      <c r="ORV15" s="257"/>
      <c r="ORW15" s="257"/>
      <c r="ORX15" s="257"/>
      <c r="ORY15" s="257"/>
      <c r="ORZ15" s="257"/>
      <c r="OSA15" s="257"/>
      <c r="OSB15" s="257"/>
      <c r="OSC15" s="257"/>
      <c r="OSD15" s="257"/>
      <c r="OSE15" s="257"/>
      <c r="OSF15" s="257"/>
      <c r="OSG15" s="257"/>
      <c r="OSH15" s="257"/>
      <c r="OSI15" s="257"/>
      <c r="OSJ15" s="257"/>
      <c r="OSK15" s="257"/>
      <c r="OSL15" s="257"/>
      <c r="OSM15" s="257"/>
      <c r="OSN15" s="257"/>
      <c r="OSO15" s="257"/>
      <c r="OSP15" s="257"/>
      <c r="OSQ15" s="257"/>
      <c r="OSR15" s="257"/>
      <c r="OSS15" s="257"/>
      <c r="OST15" s="257"/>
      <c r="OSU15" s="257"/>
      <c r="OSV15" s="257"/>
      <c r="OSW15" s="257"/>
      <c r="OSX15" s="257"/>
      <c r="OSY15" s="257"/>
      <c r="OSZ15" s="257"/>
      <c r="OTA15" s="257"/>
      <c r="OTB15" s="257"/>
      <c r="OTC15" s="257"/>
      <c r="OTD15" s="257"/>
      <c r="OTE15" s="257"/>
      <c r="OTF15" s="257"/>
      <c r="OTG15" s="257"/>
      <c r="OTH15" s="257"/>
      <c r="OTI15" s="257"/>
      <c r="OTJ15" s="257"/>
      <c r="OTK15" s="257"/>
      <c r="OTL15" s="257"/>
      <c r="OTM15" s="257"/>
      <c r="OTN15" s="257"/>
      <c r="OTO15" s="257"/>
      <c r="OTP15" s="257"/>
      <c r="OTQ15" s="257"/>
      <c r="OTR15" s="257"/>
      <c r="OTS15" s="257"/>
      <c r="OTT15" s="257"/>
      <c r="OTU15" s="257"/>
      <c r="OTV15" s="257"/>
      <c r="OTW15" s="257"/>
      <c r="OTX15" s="257"/>
      <c r="OTY15" s="257"/>
      <c r="OTZ15" s="257"/>
      <c r="OUA15" s="257"/>
      <c r="OUB15" s="257"/>
      <c r="OUC15" s="257"/>
      <c r="OUD15" s="257"/>
      <c r="OUE15" s="257"/>
      <c r="OUF15" s="257"/>
      <c r="OUG15" s="257"/>
      <c r="OUH15" s="257"/>
      <c r="OUI15" s="257"/>
      <c r="OUJ15" s="257"/>
      <c r="OUK15" s="257"/>
      <c r="OUL15" s="257"/>
      <c r="OUM15" s="257"/>
      <c r="OUN15" s="257"/>
      <c r="OUO15" s="257"/>
      <c r="OUP15" s="257"/>
      <c r="OUQ15" s="257"/>
      <c r="OUR15" s="257"/>
      <c r="OUS15" s="257"/>
      <c r="OUT15" s="257"/>
      <c r="OUU15" s="257"/>
      <c r="OUV15" s="257"/>
      <c r="OUW15" s="257"/>
      <c r="OUX15" s="257"/>
      <c r="OUY15" s="257"/>
      <c r="OUZ15" s="257"/>
      <c r="OVA15" s="257"/>
      <c r="OVB15" s="257"/>
      <c r="OVC15" s="257"/>
      <c r="OVD15" s="257"/>
      <c r="OVE15" s="257"/>
      <c r="OVF15" s="257"/>
      <c r="OVG15" s="257"/>
      <c r="OVH15" s="257"/>
      <c r="OVI15" s="257"/>
      <c r="OVJ15" s="257"/>
      <c r="OVK15" s="257"/>
      <c r="OVL15" s="257"/>
      <c r="OVM15" s="257"/>
      <c r="OVN15" s="257"/>
      <c r="OVO15" s="257"/>
      <c r="OVP15" s="257"/>
      <c r="OVQ15" s="257"/>
      <c r="OVR15" s="257"/>
      <c r="OVS15" s="257"/>
      <c r="OVT15" s="257"/>
      <c r="OVU15" s="257"/>
      <c r="OVV15" s="257"/>
      <c r="OVW15" s="257"/>
      <c r="OVX15" s="257"/>
      <c r="OVY15" s="257"/>
      <c r="OVZ15" s="257"/>
      <c r="OWA15" s="257"/>
      <c r="OWB15" s="257"/>
      <c r="OWC15" s="257"/>
      <c r="OWD15" s="257"/>
      <c r="OWE15" s="257"/>
      <c r="OWF15" s="257"/>
      <c r="OWG15" s="257"/>
      <c r="OWH15" s="257"/>
      <c r="OWI15" s="257"/>
      <c r="OWJ15" s="257"/>
      <c r="OWK15" s="257"/>
      <c r="OWL15" s="257"/>
      <c r="OWM15" s="257"/>
      <c r="OWN15" s="257"/>
      <c r="OWO15" s="257"/>
      <c r="OWP15" s="257"/>
      <c r="OWQ15" s="257"/>
      <c r="OWR15" s="257"/>
      <c r="OWS15" s="257"/>
      <c r="OWT15" s="257"/>
      <c r="OWU15" s="257"/>
      <c r="OWV15" s="257"/>
      <c r="OWW15" s="257"/>
      <c r="OWX15" s="257"/>
      <c r="OWY15" s="257"/>
      <c r="OWZ15" s="257"/>
      <c r="OXA15" s="257"/>
      <c r="OXB15" s="257"/>
      <c r="OXC15" s="257"/>
      <c r="OXD15" s="257"/>
      <c r="OXE15" s="257"/>
      <c r="OXF15" s="257"/>
      <c r="OXG15" s="257"/>
      <c r="OXH15" s="257"/>
      <c r="OXI15" s="257"/>
      <c r="OXJ15" s="257"/>
      <c r="OXK15" s="257"/>
      <c r="OXL15" s="257"/>
      <c r="OXM15" s="257"/>
      <c r="OXN15" s="257"/>
      <c r="OXO15" s="257"/>
      <c r="OXP15" s="257"/>
      <c r="OXQ15" s="257"/>
      <c r="OXR15" s="257"/>
      <c r="OXS15" s="257"/>
      <c r="OXT15" s="257"/>
      <c r="OXU15" s="257"/>
      <c r="OXV15" s="257"/>
      <c r="OXW15" s="257"/>
      <c r="OXX15" s="257"/>
      <c r="OXY15" s="257"/>
      <c r="OXZ15" s="257"/>
      <c r="OYA15" s="257"/>
      <c r="OYB15" s="257"/>
      <c r="OYC15" s="257"/>
      <c r="OYD15" s="257"/>
      <c r="OYE15" s="257"/>
      <c r="OYF15" s="257"/>
      <c r="OYG15" s="257"/>
      <c r="OYH15" s="257"/>
      <c r="OYI15" s="257"/>
      <c r="OYJ15" s="257"/>
      <c r="OYK15" s="257"/>
      <c r="OYL15" s="257"/>
      <c r="OYM15" s="257"/>
      <c r="OYN15" s="257"/>
      <c r="OYO15" s="257"/>
      <c r="OYP15" s="257"/>
      <c r="OYQ15" s="257"/>
      <c r="OYR15" s="257"/>
      <c r="OYS15" s="257"/>
      <c r="OYT15" s="257"/>
      <c r="OYU15" s="257"/>
      <c r="OYV15" s="257"/>
      <c r="OYW15" s="257"/>
      <c r="OYX15" s="257"/>
      <c r="OYY15" s="257"/>
      <c r="OYZ15" s="257"/>
      <c r="OZA15" s="257"/>
      <c r="OZB15" s="257"/>
      <c r="OZC15" s="257"/>
      <c r="OZD15" s="257"/>
      <c r="OZE15" s="257"/>
      <c r="OZF15" s="257"/>
      <c r="OZG15" s="257"/>
      <c r="OZH15" s="257"/>
      <c r="OZI15" s="257"/>
      <c r="OZJ15" s="257"/>
      <c r="OZK15" s="257"/>
      <c r="OZL15" s="257"/>
      <c r="OZM15" s="257"/>
      <c r="OZN15" s="257"/>
      <c r="OZO15" s="257"/>
      <c r="OZP15" s="257"/>
      <c r="OZQ15" s="257"/>
      <c r="OZR15" s="257"/>
      <c r="OZS15" s="257"/>
      <c r="OZT15" s="257"/>
      <c r="OZU15" s="257"/>
      <c r="OZV15" s="257"/>
      <c r="OZW15" s="257"/>
      <c r="OZX15" s="257"/>
      <c r="OZY15" s="257"/>
      <c r="OZZ15" s="257"/>
      <c r="PAA15" s="257"/>
      <c r="PAB15" s="257"/>
      <c r="PAC15" s="257"/>
      <c r="PAD15" s="257"/>
      <c r="PAE15" s="257"/>
      <c r="PAF15" s="257"/>
      <c r="PAG15" s="257"/>
      <c r="PAH15" s="257"/>
      <c r="PAI15" s="257"/>
      <c r="PAJ15" s="257"/>
      <c r="PAK15" s="257"/>
      <c r="PAL15" s="257"/>
      <c r="PAM15" s="257"/>
      <c r="PAN15" s="257"/>
      <c r="PAO15" s="257"/>
      <c r="PAP15" s="257"/>
      <c r="PAQ15" s="257"/>
      <c r="PAR15" s="257"/>
      <c r="PAS15" s="257"/>
      <c r="PAT15" s="257"/>
      <c r="PAU15" s="257"/>
      <c r="PAV15" s="257"/>
      <c r="PAW15" s="257"/>
      <c r="PAX15" s="257"/>
      <c r="PAY15" s="257"/>
      <c r="PAZ15" s="257"/>
      <c r="PBA15" s="257"/>
      <c r="PBB15" s="257"/>
      <c r="PBC15" s="257"/>
      <c r="PBD15" s="257"/>
      <c r="PBE15" s="257"/>
      <c r="PBF15" s="257"/>
      <c r="PBG15" s="257"/>
      <c r="PBH15" s="257"/>
      <c r="PBI15" s="257"/>
      <c r="PBJ15" s="257"/>
      <c r="PBK15" s="257"/>
      <c r="PBL15" s="257"/>
      <c r="PBM15" s="257"/>
      <c r="PBN15" s="257"/>
      <c r="PBO15" s="257"/>
      <c r="PBP15" s="257"/>
      <c r="PBQ15" s="257"/>
      <c r="PBR15" s="257"/>
      <c r="PBS15" s="257"/>
      <c r="PBT15" s="257"/>
      <c r="PBU15" s="257"/>
      <c r="PBV15" s="257"/>
      <c r="PBW15" s="257"/>
      <c r="PBX15" s="257"/>
      <c r="PBY15" s="257"/>
      <c r="PBZ15" s="257"/>
      <c r="PCA15" s="257"/>
      <c r="PCB15" s="257"/>
      <c r="PCC15" s="257"/>
      <c r="PCD15" s="257"/>
      <c r="PCE15" s="257"/>
      <c r="PCF15" s="257"/>
      <c r="PCG15" s="257"/>
      <c r="PCH15" s="257"/>
      <c r="PCI15" s="257"/>
      <c r="PCJ15" s="257"/>
      <c r="PCK15" s="257"/>
      <c r="PCL15" s="257"/>
      <c r="PCM15" s="257"/>
      <c r="PCN15" s="257"/>
      <c r="PCO15" s="257"/>
      <c r="PCP15" s="257"/>
      <c r="PCQ15" s="257"/>
      <c r="PCR15" s="257"/>
      <c r="PCS15" s="257"/>
      <c r="PCT15" s="257"/>
      <c r="PCU15" s="257"/>
      <c r="PCV15" s="257"/>
      <c r="PCW15" s="257"/>
      <c r="PCX15" s="257"/>
      <c r="PCY15" s="257"/>
      <c r="PCZ15" s="257"/>
      <c r="PDA15" s="257"/>
      <c r="PDB15" s="257"/>
      <c r="PDC15" s="257"/>
      <c r="PDD15" s="257"/>
      <c r="PDE15" s="257"/>
      <c r="PDF15" s="257"/>
      <c r="PDG15" s="257"/>
      <c r="PDH15" s="257"/>
      <c r="PDI15" s="257"/>
      <c r="PDJ15" s="257"/>
      <c r="PDK15" s="257"/>
      <c r="PDL15" s="257"/>
      <c r="PDM15" s="257"/>
      <c r="PDN15" s="257"/>
      <c r="PDO15" s="257"/>
      <c r="PDP15" s="257"/>
      <c r="PDQ15" s="257"/>
      <c r="PDR15" s="257"/>
      <c r="PDS15" s="257"/>
      <c r="PDT15" s="257"/>
      <c r="PDU15" s="257"/>
      <c r="PDV15" s="257"/>
      <c r="PDW15" s="257"/>
      <c r="PDX15" s="257"/>
      <c r="PDY15" s="257"/>
      <c r="PDZ15" s="257"/>
      <c r="PEA15" s="257"/>
      <c r="PEB15" s="257"/>
      <c r="PEC15" s="257"/>
      <c r="PED15" s="257"/>
      <c r="PEE15" s="257"/>
      <c r="PEF15" s="257"/>
      <c r="PEG15" s="257"/>
      <c r="PEH15" s="257"/>
      <c r="PEI15" s="257"/>
      <c r="PEJ15" s="257"/>
      <c r="PEK15" s="257"/>
      <c r="PEL15" s="257"/>
      <c r="PEM15" s="257"/>
      <c r="PEN15" s="257"/>
      <c r="PEO15" s="257"/>
      <c r="PEP15" s="257"/>
      <c r="PEQ15" s="257"/>
      <c r="PER15" s="257"/>
      <c r="PES15" s="257"/>
      <c r="PET15" s="257"/>
      <c r="PEU15" s="257"/>
      <c r="PEV15" s="257"/>
      <c r="PEW15" s="257"/>
      <c r="PEX15" s="257"/>
      <c r="PEY15" s="257"/>
      <c r="PEZ15" s="257"/>
      <c r="PFA15" s="257"/>
      <c r="PFB15" s="257"/>
      <c r="PFC15" s="257"/>
      <c r="PFD15" s="257"/>
      <c r="PFE15" s="257"/>
      <c r="PFF15" s="257"/>
      <c r="PFG15" s="257"/>
      <c r="PFH15" s="257"/>
      <c r="PFI15" s="257"/>
      <c r="PFJ15" s="257"/>
      <c r="PFK15" s="257"/>
      <c r="PFL15" s="257"/>
      <c r="PFM15" s="257"/>
      <c r="PFN15" s="257"/>
      <c r="PFO15" s="257"/>
      <c r="PFP15" s="257"/>
      <c r="PFQ15" s="257"/>
      <c r="PFR15" s="257"/>
      <c r="PFS15" s="257"/>
      <c r="PFT15" s="257"/>
      <c r="PFU15" s="257"/>
      <c r="PFV15" s="257"/>
      <c r="PFW15" s="257"/>
      <c r="PFX15" s="257"/>
      <c r="PFY15" s="257"/>
      <c r="PFZ15" s="257"/>
      <c r="PGA15" s="257"/>
      <c r="PGB15" s="257"/>
      <c r="PGC15" s="257"/>
      <c r="PGD15" s="257"/>
      <c r="PGE15" s="257"/>
      <c r="PGF15" s="257"/>
      <c r="PGG15" s="257"/>
      <c r="PGH15" s="257"/>
      <c r="PGI15" s="257"/>
      <c r="PGJ15" s="257"/>
      <c r="PGK15" s="257"/>
      <c r="PGL15" s="257"/>
      <c r="PGM15" s="257"/>
      <c r="PGN15" s="257"/>
      <c r="PGO15" s="257"/>
      <c r="PGP15" s="257"/>
      <c r="PGQ15" s="257"/>
      <c r="PGR15" s="257"/>
      <c r="PGS15" s="257"/>
      <c r="PGT15" s="257"/>
      <c r="PGU15" s="257"/>
      <c r="PGV15" s="257"/>
      <c r="PGW15" s="257"/>
      <c r="PGX15" s="257"/>
      <c r="PGY15" s="257"/>
      <c r="PGZ15" s="257"/>
      <c r="PHA15" s="257"/>
      <c r="PHB15" s="257"/>
      <c r="PHC15" s="257"/>
      <c r="PHD15" s="257"/>
      <c r="PHE15" s="257"/>
      <c r="PHF15" s="257"/>
      <c r="PHG15" s="257"/>
      <c r="PHH15" s="257"/>
      <c r="PHI15" s="257"/>
      <c r="PHJ15" s="257"/>
      <c r="PHK15" s="257"/>
      <c r="PHL15" s="257"/>
      <c r="PHM15" s="257"/>
      <c r="PHN15" s="257"/>
      <c r="PHO15" s="257"/>
      <c r="PHP15" s="257"/>
      <c r="PHQ15" s="257"/>
      <c r="PHR15" s="257"/>
      <c r="PHS15" s="257"/>
      <c r="PHT15" s="257"/>
      <c r="PHU15" s="257"/>
      <c r="PHV15" s="257"/>
      <c r="PHW15" s="257"/>
      <c r="PHX15" s="257"/>
      <c r="PHY15" s="257"/>
      <c r="PHZ15" s="257"/>
      <c r="PIA15" s="257"/>
      <c r="PIB15" s="257"/>
      <c r="PIC15" s="257"/>
      <c r="PID15" s="257"/>
      <c r="PIE15" s="257"/>
      <c r="PIF15" s="257"/>
      <c r="PIG15" s="257"/>
      <c r="PIH15" s="257"/>
      <c r="PII15" s="257"/>
      <c r="PIJ15" s="257"/>
      <c r="PIK15" s="257"/>
      <c r="PIL15" s="257"/>
      <c r="PIM15" s="257"/>
      <c r="PIN15" s="257"/>
      <c r="PIO15" s="257"/>
      <c r="PIP15" s="257"/>
      <c r="PIQ15" s="257"/>
      <c r="PIR15" s="257"/>
      <c r="PIS15" s="257"/>
      <c r="PIT15" s="257"/>
      <c r="PIU15" s="257"/>
      <c r="PIV15" s="257"/>
      <c r="PIW15" s="257"/>
      <c r="PIX15" s="257"/>
      <c r="PIY15" s="257"/>
      <c r="PIZ15" s="257"/>
      <c r="PJA15" s="257"/>
      <c r="PJB15" s="257"/>
      <c r="PJC15" s="257"/>
      <c r="PJD15" s="257"/>
      <c r="PJE15" s="257"/>
      <c r="PJF15" s="257"/>
      <c r="PJG15" s="257"/>
      <c r="PJH15" s="257"/>
      <c r="PJI15" s="257"/>
      <c r="PJJ15" s="257"/>
      <c r="PJK15" s="257"/>
      <c r="PJL15" s="257"/>
      <c r="PJM15" s="257"/>
      <c r="PJN15" s="257"/>
      <c r="PJO15" s="257"/>
      <c r="PJP15" s="257"/>
      <c r="PJQ15" s="257"/>
      <c r="PJR15" s="257"/>
      <c r="PJS15" s="257"/>
      <c r="PJT15" s="257"/>
      <c r="PJU15" s="257"/>
      <c r="PJV15" s="257"/>
      <c r="PJW15" s="257"/>
      <c r="PJX15" s="257"/>
      <c r="PJY15" s="257"/>
      <c r="PJZ15" s="257"/>
      <c r="PKA15" s="257"/>
      <c r="PKB15" s="257"/>
      <c r="PKC15" s="257"/>
      <c r="PKD15" s="257"/>
      <c r="PKE15" s="257"/>
      <c r="PKF15" s="257"/>
      <c r="PKG15" s="257"/>
      <c r="PKH15" s="257"/>
      <c r="PKI15" s="257"/>
      <c r="PKJ15" s="257"/>
      <c r="PKK15" s="257"/>
      <c r="PKL15" s="257"/>
      <c r="PKM15" s="257"/>
      <c r="PKN15" s="257"/>
      <c r="PKO15" s="257"/>
      <c r="PKP15" s="257"/>
      <c r="PKQ15" s="257"/>
      <c r="PKR15" s="257"/>
      <c r="PKS15" s="257"/>
      <c r="PKT15" s="257"/>
      <c r="PKU15" s="257"/>
      <c r="PKV15" s="257"/>
      <c r="PKW15" s="257"/>
      <c r="PKX15" s="257"/>
      <c r="PKY15" s="257"/>
      <c r="PKZ15" s="257"/>
      <c r="PLA15" s="257"/>
      <c r="PLB15" s="257"/>
      <c r="PLC15" s="257"/>
      <c r="PLD15" s="257"/>
      <c r="PLE15" s="257"/>
      <c r="PLF15" s="257"/>
      <c r="PLG15" s="257"/>
      <c r="PLH15" s="257"/>
      <c r="PLI15" s="257"/>
      <c r="PLJ15" s="257"/>
      <c r="PLK15" s="257"/>
      <c r="PLL15" s="257"/>
      <c r="PLM15" s="257"/>
      <c r="PLN15" s="257"/>
      <c r="PLO15" s="257"/>
      <c r="PLP15" s="257"/>
      <c r="PLQ15" s="257"/>
      <c r="PLR15" s="257"/>
      <c r="PLS15" s="257"/>
      <c r="PLT15" s="257"/>
      <c r="PLU15" s="257"/>
      <c r="PLV15" s="257"/>
      <c r="PLW15" s="257"/>
      <c r="PLX15" s="257"/>
      <c r="PLY15" s="257"/>
      <c r="PLZ15" s="257"/>
      <c r="PMA15" s="257"/>
      <c r="PMB15" s="257"/>
      <c r="PMC15" s="257"/>
      <c r="PMD15" s="257"/>
      <c r="PME15" s="257"/>
      <c r="PMF15" s="257"/>
      <c r="PMG15" s="257"/>
      <c r="PMH15" s="257"/>
      <c r="PMI15" s="257"/>
      <c r="PMJ15" s="257"/>
      <c r="PMK15" s="257"/>
      <c r="PML15" s="257"/>
      <c r="PMM15" s="257"/>
      <c r="PMN15" s="257"/>
      <c r="PMO15" s="257"/>
      <c r="PMP15" s="257"/>
      <c r="PMQ15" s="257"/>
      <c r="PMR15" s="257"/>
      <c r="PMS15" s="257"/>
      <c r="PMT15" s="257"/>
      <c r="PMU15" s="257"/>
      <c r="PMV15" s="257"/>
      <c r="PMW15" s="257"/>
      <c r="PMX15" s="257"/>
      <c r="PMY15" s="257"/>
      <c r="PMZ15" s="257"/>
      <c r="PNA15" s="257"/>
      <c r="PNB15" s="257"/>
      <c r="PNC15" s="257"/>
      <c r="PND15" s="257"/>
      <c r="PNE15" s="257"/>
      <c r="PNF15" s="257"/>
      <c r="PNG15" s="257"/>
      <c r="PNH15" s="257"/>
      <c r="PNI15" s="257"/>
      <c r="PNJ15" s="257"/>
      <c r="PNK15" s="257"/>
      <c r="PNL15" s="257"/>
      <c r="PNM15" s="257"/>
      <c r="PNN15" s="257"/>
      <c r="PNO15" s="257"/>
      <c r="PNP15" s="257"/>
      <c r="PNQ15" s="257"/>
      <c r="PNR15" s="257"/>
      <c r="PNS15" s="257"/>
      <c r="PNT15" s="257"/>
      <c r="PNU15" s="257"/>
      <c r="PNV15" s="257"/>
      <c r="PNW15" s="257"/>
      <c r="PNX15" s="257"/>
      <c r="PNY15" s="257"/>
      <c r="PNZ15" s="257"/>
      <c r="POA15" s="257"/>
      <c r="POB15" s="257"/>
      <c r="POC15" s="257"/>
      <c r="POD15" s="257"/>
      <c r="POE15" s="257"/>
      <c r="POF15" s="257"/>
      <c r="POG15" s="257"/>
      <c r="POH15" s="257"/>
      <c r="POI15" s="257"/>
      <c r="POJ15" s="257"/>
      <c r="POK15" s="257"/>
      <c r="POL15" s="257"/>
      <c r="POM15" s="257"/>
      <c r="PON15" s="257"/>
      <c r="POO15" s="257"/>
      <c r="POP15" s="257"/>
      <c r="POQ15" s="257"/>
      <c r="POR15" s="257"/>
      <c r="POS15" s="257"/>
      <c r="POT15" s="257"/>
      <c r="POU15" s="257"/>
      <c r="POV15" s="257"/>
      <c r="POW15" s="257"/>
      <c r="POX15" s="257"/>
      <c r="POY15" s="257"/>
      <c r="POZ15" s="257"/>
      <c r="PPA15" s="257"/>
      <c r="PPB15" s="257"/>
      <c r="PPC15" s="257"/>
      <c r="PPD15" s="257"/>
      <c r="PPE15" s="257"/>
      <c r="PPF15" s="257"/>
      <c r="PPG15" s="257"/>
      <c r="PPH15" s="257"/>
      <c r="PPI15" s="257"/>
      <c r="PPJ15" s="257"/>
      <c r="PPK15" s="257"/>
      <c r="PPL15" s="257"/>
      <c r="PPM15" s="257"/>
      <c r="PPN15" s="257"/>
      <c r="PPO15" s="257"/>
      <c r="PPP15" s="257"/>
      <c r="PPQ15" s="257"/>
      <c r="PPR15" s="257"/>
      <c r="PPS15" s="257"/>
      <c r="PPT15" s="257"/>
      <c r="PPU15" s="257"/>
      <c r="PPV15" s="257"/>
      <c r="PPW15" s="257"/>
      <c r="PPX15" s="257"/>
      <c r="PPY15" s="257"/>
      <c r="PPZ15" s="257"/>
      <c r="PQA15" s="257"/>
      <c r="PQB15" s="257"/>
      <c r="PQC15" s="257"/>
      <c r="PQD15" s="257"/>
      <c r="PQE15" s="257"/>
      <c r="PQF15" s="257"/>
      <c r="PQG15" s="257"/>
      <c r="PQH15" s="257"/>
      <c r="PQI15" s="257"/>
      <c r="PQJ15" s="257"/>
      <c r="PQK15" s="257"/>
      <c r="PQL15" s="257"/>
      <c r="PQM15" s="257"/>
      <c r="PQN15" s="257"/>
      <c r="PQO15" s="257"/>
      <c r="PQP15" s="257"/>
      <c r="PQQ15" s="257"/>
      <c r="PQR15" s="257"/>
      <c r="PQS15" s="257"/>
      <c r="PQT15" s="257"/>
      <c r="PQU15" s="257"/>
      <c r="PQV15" s="257"/>
      <c r="PQW15" s="257"/>
      <c r="PQX15" s="257"/>
      <c r="PQY15" s="257"/>
      <c r="PQZ15" s="257"/>
      <c r="PRA15" s="257"/>
      <c r="PRB15" s="257"/>
      <c r="PRC15" s="257"/>
      <c r="PRD15" s="257"/>
      <c r="PRE15" s="257"/>
      <c r="PRF15" s="257"/>
      <c r="PRG15" s="257"/>
      <c r="PRH15" s="257"/>
      <c r="PRI15" s="257"/>
      <c r="PRJ15" s="257"/>
      <c r="PRK15" s="257"/>
      <c r="PRL15" s="257"/>
      <c r="PRM15" s="257"/>
      <c r="PRN15" s="257"/>
      <c r="PRO15" s="257"/>
      <c r="PRP15" s="257"/>
      <c r="PRQ15" s="257"/>
      <c r="PRR15" s="257"/>
      <c r="PRS15" s="257"/>
      <c r="PRT15" s="257"/>
      <c r="PRU15" s="257"/>
      <c r="PRV15" s="257"/>
      <c r="PRW15" s="257"/>
      <c r="PRX15" s="257"/>
      <c r="PRY15" s="257"/>
      <c r="PRZ15" s="257"/>
      <c r="PSA15" s="257"/>
      <c r="PSB15" s="257"/>
      <c r="PSC15" s="257"/>
      <c r="PSD15" s="257"/>
      <c r="PSE15" s="257"/>
      <c r="PSF15" s="257"/>
      <c r="PSG15" s="257"/>
      <c r="PSH15" s="257"/>
      <c r="PSI15" s="257"/>
      <c r="PSJ15" s="257"/>
      <c r="PSK15" s="257"/>
      <c r="PSL15" s="257"/>
      <c r="PSM15" s="257"/>
      <c r="PSN15" s="257"/>
      <c r="PSO15" s="257"/>
      <c r="PSP15" s="257"/>
      <c r="PSQ15" s="257"/>
      <c r="PSR15" s="257"/>
      <c r="PSS15" s="257"/>
      <c r="PST15" s="257"/>
      <c r="PSU15" s="257"/>
      <c r="PSV15" s="257"/>
      <c r="PSW15" s="257"/>
      <c r="PSX15" s="257"/>
      <c r="PSY15" s="257"/>
      <c r="PSZ15" s="257"/>
      <c r="PTA15" s="257"/>
      <c r="PTB15" s="257"/>
      <c r="PTC15" s="257"/>
      <c r="PTD15" s="257"/>
      <c r="PTE15" s="257"/>
      <c r="PTF15" s="257"/>
      <c r="PTG15" s="257"/>
      <c r="PTH15" s="257"/>
      <c r="PTI15" s="257"/>
      <c r="PTJ15" s="257"/>
      <c r="PTK15" s="257"/>
      <c r="PTL15" s="257"/>
      <c r="PTM15" s="257"/>
      <c r="PTN15" s="257"/>
      <c r="PTO15" s="257"/>
      <c r="PTP15" s="257"/>
      <c r="PTQ15" s="257"/>
      <c r="PTR15" s="257"/>
      <c r="PTS15" s="257"/>
      <c r="PTT15" s="257"/>
      <c r="PTU15" s="257"/>
      <c r="PTV15" s="257"/>
      <c r="PTW15" s="257"/>
      <c r="PTX15" s="257"/>
      <c r="PTY15" s="257"/>
      <c r="PTZ15" s="257"/>
      <c r="PUA15" s="257"/>
      <c r="PUB15" s="257"/>
      <c r="PUC15" s="257"/>
      <c r="PUD15" s="257"/>
      <c r="PUE15" s="257"/>
      <c r="PUF15" s="257"/>
      <c r="PUG15" s="257"/>
      <c r="PUH15" s="257"/>
      <c r="PUI15" s="257"/>
      <c r="PUJ15" s="257"/>
      <c r="PUK15" s="257"/>
      <c r="PUL15" s="257"/>
      <c r="PUM15" s="257"/>
      <c r="PUN15" s="257"/>
      <c r="PUO15" s="257"/>
      <c r="PUP15" s="257"/>
      <c r="PUQ15" s="257"/>
      <c r="PUR15" s="257"/>
      <c r="PUS15" s="257"/>
      <c r="PUT15" s="257"/>
      <c r="PUU15" s="257"/>
      <c r="PUV15" s="257"/>
      <c r="PUW15" s="257"/>
      <c r="PUX15" s="257"/>
      <c r="PUY15" s="257"/>
      <c r="PUZ15" s="257"/>
      <c r="PVA15" s="257"/>
      <c r="PVB15" s="257"/>
      <c r="PVC15" s="257"/>
      <c r="PVD15" s="257"/>
      <c r="PVE15" s="257"/>
      <c r="PVF15" s="257"/>
      <c r="PVG15" s="257"/>
      <c r="PVH15" s="257"/>
      <c r="PVI15" s="257"/>
      <c r="PVJ15" s="257"/>
      <c r="PVK15" s="257"/>
      <c r="PVL15" s="257"/>
      <c r="PVM15" s="257"/>
      <c r="PVN15" s="257"/>
      <c r="PVO15" s="257"/>
      <c r="PVP15" s="257"/>
      <c r="PVQ15" s="257"/>
      <c r="PVR15" s="257"/>
      <c r="PVS15" s="257"/>
      <c r="PVT15" s="257"/>
      <c r="PVU15" s="257"/>
      <c r="PVV15" s="257"/>
      <c r="PVW15" s="257"/>
      <c r="PVX15" s="257"/>
      <c r="PVY15" s="257"/>
      <c r="PVZ15" s="257"/>
      <c r="PWA15" s="257"/>
      <c r="PWB15" s="257"/>
      <c r="PWC15" s="257"/>
      <c r="PWD15" s="257"/>
      <c r="PWE15" s="257"/>
      <c r="PWF15" s="257"/>
      <c r="PWG15" s="257"/>
      <c r="PWH15" s="257"/>
      <c r="PWI15" s="257"/>
      <c r="PWJ15" s="257"/>
      <c r="PWK15" s="257"/>
      <c r="PWL15" s="257"/>
      <c r="PWM15" s="257"/>
      <c r="PWN15" s="257"/>
      <c r="PWO15" s="257"/>
      <c r="PWP15" s="257"/>
      <c r="PWQ15" s="257"/>
      <c r="PWR15" s="257"/>
      <c r="PWS15" s="257"/>
      <c r="PWT15" s="257"/>
      <c r="PWU15" s="257"/>
      <c r="PWV15" s="257"/>
      <c r="PWW15" s="257"/>
      <c r="PWX15" s="257"/>
      <c r="PWY15" s="257"/>
      <c r="PWZ15" s="257"/>
      <c r="PXA15" s="257"/>
      <c r="PXB15" s="257"/>
      <c r="PXC15" s="257"/>
      <c r="PXD15" s="257"/>
      <c r="PXE15" s="257"/>
      <c r="PXF15" s="257"/>
      <c r="PXG15" s="257"/>
      <c r="PXH15" s="257"/>
      <c r="PXI15" s="257"/>
      <c r="PXJ15" s="257"/>
      <c r="PXK15" s="257"/>
      <c r="PXL15" s="257"/>
      <c r="PXM15" s="257"/>
      <c r="PXN15" s="257"/>
      <c r="PXO15" s="257"/>
      <c r="PXP15" s="257"/>
      <c r="PXQ15" s="257"/>
      <c r="PXR15" s="257"/>
      <c r="PXS15" s="257"/>
      <c r="PXT15" s="257"/>
      <c r="PXU15" s="257"/>
      <c r="PXV15" s="257"/>
      <c r="PXW15" s="257"/>
      <c r="PXX15" s="257"/>
      <c r="PXY15" s="257"/>
      <c r="PXZ15" s="257"/>
      <c r="PYA15" s="257"/>
      <c r="PYB15" s="257"/>
      <c r="PYC15" s="257"/>
      <c r="PYD15" s="257"/>
      <c r="PYE15" s="257"/>
      <c r="PYF15" s="257"/>
      <c r="PYG15" s="257"/>
      <c r="PYH15" s="257"/>
      <c r="PYI15" s="257"/>
      <c r="PYJ15" s="257"/>
      <c r="PYK15" s="257"/>
      <c r="PYL15" s="257"/>
      <c r="PYM15" s="257"/>
      <c r="PYN15" s="257"/>
      <c r="PYO15" s="257"/>
      <c r="PYP15" s="257"/>
      <c r="PYQ15" s="257"/>
      <c r="PYR15" s="257"/>
      <c r="PYS15" s="257"/>
      <c r="PYT15" s="257"/>
      <c r="PYU15" s="257"/>
      <c r="PYV15" s="257"/>
      <c r="PYW15" s="257"/>
      <c r="PYX15" s="257"/>
      <c r="PYY15" s="257"/>
      <c r="PYZ15" s="257"/>
      <c r="PZA15" s="257"/>
      <c r="PZB15" s="257"/>
      <c r="PZC15" s="257"/>
      <c r="PZD15" s="257"/>
      <c r="PZE15" s="257"/>
      <c r="PZF15" s="257"/>
      <c r="PZG15" s="257"/>
      <c r="PZH15" s="257"/>
      <c r="PZI15" s="257"/>
      <c r="PZJ15" s="257"/>
      <c r="PZK15" s="257"/>
      <c r="PZL15" s="257"/>
      <c r="PZM15" s="257"/>
      <c r="PZN15" s="257"/>
      <c r="PZO15" s="257"/>
      <c r="PZP15" s="257"/>
      <c r="PZQ15" s="257"/>
      <c r="PZR15" s="257"/>
      <c r="PZS15" s="257"/>
      <c r="PZT15" s="257"/>
      <c r="PZU15" s="257"/>
      <c r="PZV15" s="257"/>
      <c r="PZW15" s="257"/>
      <c r="PZX15" s="257"/>
      <c r="PZY15" s="257"/>
      <c r="PZZ15" s="257"/>
      <c r="QAA15" s="257"/>
      <c r="QAB15" s="257"/>
      <c r="QAC15" s="257"/>
      <c r="QAD15" s="257"/>
      <c r="QAE15" s="257"/>
      <c r="QAF15" s="257"/>
      <c r="QAG15" s="257"/>
      <c r="QAH15" s="257"/>
      <c r="QAI15" s="257"/>
      <c r="QAJ15" s="257"/>
      <c r="QAK15" s="257"/>
      <c r="QAL15" s="257"/>
      <c r="QAM15" s="257"/>
      <c r="QAN15" s="257"/>
      <c r="QAO15" s="257"/>
      <c r="QAP15" s="257"/>
      <c r="QAQ15" s="257"/>
      <c r="QAR15" s="257"/>
      <c r="QAS15" s="257"/>
      <c r="QAT15" s="257"/>
      <c r="QAU15" s="257"/>
      <c r="QAV15" s="257"/>
      <c r="QAW15" s="257"/>
      <c r="QAX15" s="257"/>
      <c r="QAY15" s="257"/>
      <c r="QAZ15" s="257"/>
      <c r="QBA15" s="257"/>
      <c r="QBB15" s="257"/>
      <c r="QBC15" s="257"/>
      <c r="QBD15" s="257"/>
      <c r="QBE15" s="257"/>
      <c r="QBF15" s="257"/>
      <c r="QBG15" s="257"/>
      <c r="QBH15" s="257"/>
      <c r="QBI15" s="257"/>
      <c r="QBJ15" s="257"/>
      <c r="QBK15" s="257"/>
      <c r="QBL15" s="257"/>
      <c r="QBM15" s="257"/>
      <c r="QBN15" s="257"/>
      <c r="QBO15" s="257"/>
      <c r="QBP15" s="257"/>
      <c r="QBQ15" s="257"/>
      <c r="QBR15" s="257"/>
      <c r="QBS15" s="257"/>
      <c r="QBT15" s="257"/>
      <c r="QBU15" s="257"/>
      <c r="QBV15" s="257"/>
      <c r="QBW15" s="257"/>
      <c r="QBX15" s="257"/>
      <c r="QBY15" s="257"/>
      <c r="QBZ15" s="257"/>
      <c r="QCA15" s="257"/>
      <c r="QCB15" s="257"/>
      <c r="QCC15" s="257"/>
      <c r="QCD15" s="257"/>
      <c r="QCE15" s="257"/>
      <c r="QCF15" s="257"/>
      <c r="QCG15" s="257"/>
      <c r="QCH15" s="257"/>
      <c r="QCI15" s="257"/>
      <c r="QCJ15" s="257"/>
      <c r="QCK15" s="257"/>
      <c r="QCL15" s="257"/>
      <c r="QCM15" s="257"/>
      <c r="QCN15" s="257"/>
      <c r="QCO15" s="257"/>
      <c r="QCP15" s="257"/>
      <c r="QCQ15" s="257"/>
      <c r="QCR15" s="257"/>
      <c r="QCS15" s="257"/>
      <c r="QCT15" s="257"/>
      <c r="QCU15" s="257"/>
      <c r="QCV15" s="257"/>
      <c r="QCW15" s="257"/>
      <c r="QCX15" s="257"/>
      <c r="QCY15" s="257"/>
      <c r="QCZ15" s="257"/>
      <c r="QDA15" s="257"/>
      <c r="QDB15" s="257"/>
      <c r="QDC15" s="257"/>
      <c r="QDD15" s="257"/>
      <c r="QDE15" s="257"/>
      <c r="QDF15" s="257"/>
      <c r="QDG15" s="257"/>
      <c r="QDH15" s="257"/>
      <c r="QDI15" s="257"/>
      <c r="QDJ15" s="257"/>
      <c r="QDK15" s="257"/>
      <c r="QDL15" s="257"/>
      <c r="QDM15" s="257"/>
      <c r="QDN15" s="257"/>
      <c r="QDO15" s="257"/>
      <c r="QDP15" s="257"/>
      <c r="QDQ15" s="257"/>
      <c r="QDR15" s="257"/>
      <c r="QDS15" s="257"/>
      <c r="QDT15" s="257"/>
      <c r="QDU15" s="257"/>
      <c r="QDV15" s="257"/>
      <c r="QDW15" s="257"/>
      <c r="QDX15" s="257"/>
      <c r="QDY15" s="257"/>
      <c r="QDZ15" s="257"/>
      <c r="QEA15" s="257"/>
      <c r="QEB15" s="257"/>
      <c r="QEC15" s="257"/>
      <c r="QED15" s="257"/>
      <c r="QEE15" s="257"/>
      <c r="QEF15" s="257"/>
      <c r="QEG15" s="257"/>
      <c r="QEH15" s="257"/>
      <c r="QEI15" s="257"/>
      <c r="QEJ15" s="257"/>
      <c r="QEK15" s="257"/>
      <c r="QEL15" s="257"/>
      <c r="QEM15" s="257"/>
      <c r="QEN15" s="257"/>
      <c r="QEO15" s="257"/>
      <c r="QEP15" s="257"/>
      <c r="QEQ15" s="257"/>
      <c r="QER15" s="257"/>
      <c r="QES15" s="257"/>
      <c r="QET15" s="257"/>
      <c r="QEU15" s="257"/>
      <c r="QEV15" s="257"/>
      <c r="QEW15" s="257"/>
      <c r="QEX15" s="257"/>
      <c r="QEY15" s="257"/>
      <c r="QEZ15" s="257"/>
      <c r="QFA15" s="257"/>
      <c r="QFB15" s="257"/>
      <c r="QFC15" s="257"/>
      <c r="QFD15" s="257"/>
      <c r="QFE15" s="257"/>
      <c r="QFF15" s="257"/>
      <c r="QFG15" s="257"/>
      <c r="QFH15" s="257"/>
      <c r="QFI15" s="257"/>
      <c r="QFJ15" s="257"/>
      <c r="QFK15" s="257"/>
      <c r="QFL15" s="257"/>
      <c r="QFM15" s="257"/>
      <c r="QFN15" s="257"/>
      <c r="QFO15" s="257"/>
      <c r="QFP15" s="257"/>
      <c r="QFQ15" s="257"/>
      <c r="QFR15" s="257"/>
      <c r="QFS15" s="257"/>
      <c r="QFT15" s="257"/>
      <c r="QFU15" s="257"/>
      <c r="QFV15" s="257"/>
      <c r="QFW15" s="257"/>
      <c r="QFX15" s="257"/>
      <c r="QFY15" s="257"/>
      <c r="QFZ15" s="257"/>
      <c r="QGA15" s="257"/>
      <c r="QGB15" s="257"/>
      <c r="QGC15" s="257"/>
      <c r="QGD15" s="257"/>
      <c r="QGE15" s="257"/>
      <c r="QGF15" s="257"/>
      <c r="QGG15" s="257"/>
      <c r="QGH15" s="257"/>
      <c r="QGI15" s="257"/>
      <c r="QGJ15" s="257"/>
      <c r="QGK15" s="257"/>
      <c r="QGL15" s="257"/>
      <c r="QGM15" s="257"/>
      <c r="QGN15" s="257"/>
      <c r="QGO15" s="257"/>
      <c r="QGP15" s="257"/>
      <c r="QGQ15" s="257"/>
      <c r="QGR15" s="257"/>
      <c r="QGS15" s="257"/>
      <c r="QGT15" s="257"/>
      <c r="QGU15" s="257"/>
      <c r="QGV15" s="257"/>
      <c r="QGW15" s="257"/>
      <c r="QGX15" s="257"/>
      <c r="QGY15" s="257"/>
      <c r="QGZ15" s="257"/>
      <c r="QHA15" s="257"/>
      <c r="QHB15" s="257"/>
      <c r="QHC15" s="257"/>
      <c r="QHD15" s="257"/>
      <c r="QHE15" s="257"/>
      <c r="QHF15" s="257"/>
      <c r="QHG15" s="257"/>
      <c r="QHH15" s="257"/>
      <c r="QHI15" s="257"/>
      <c r="QHJ15" s="257"/>
      <c r="QHK15" s="257"/>
      <c r="QHL15" s="257"/>
      <c r="QHM15" s="257"/>
      <c r="QHN15" s="257"/>
      <c r="QHO15" s="257"/>
      <c r="QHP15" s="257"/>
      <c r="QHQ15" s="257"/>
      <c r="QHR15" s="257"/>
      <c r="QHS15" s="257"/>
      <c r="QHT15" s="257"/>
      <c r="QHU15" s="257"/>
      <c r="QHV15" s="257"/>
      <c r="QHW15" s="257"/>
      <c r="QHX15" s="257"/>
      <c r="QHY15" s="257"/>
      <c r="QHZ15" s="257"/>
      <c r="QIA15" s="257"/>
      <c r="QIB15" s="257"/>
      <c r="QIC15" s="257"/>
      <c r="QID15" s="257"/>
      <c r="QIE15" s="257"/>
      <c r="QIF15" s="257"/>
      <c r="QIG15" s="257"/>
      <c r="QIH15" s="257"/>
      <c r="QII15" s="257"/>
      <c r="QIJ15" s="257"/>
      <c r="QIK15" s="257"/>
      <c r="QIL15" s="257"/>
      <c r="QIM15" s="257"/>
      <c r="QIN15" s="257"/>
      <c r="QIO15" s="257"/>
      <c r="QIP15" s="257"/>
      <c r="QIQ15" s="257"/>
      <c r="QIR15" s="257"/>
      <c r="QIS15" s="257"/>
      <c r="QIT15" s="257"/>
      <c r="QIU15" s="257"/>
      <c r="QIV15" s="257"/>
      <c r="QIW15" s="257"/>
      <c r="QIX15" s="257"/>
      <c r="QIY15" s="257"/>
      <c r="QIZ15" s="257"/>
      <c r="QJA15" s="257"/>
      <c r="QJB15" s="257"/>
      <c r="QJC15" s="257"/>
      <c r="QJD15" s="257"/>
      <c r="QJE15" s="257"/>
      <c r="QJF15" s="257"/>
      <c r="QJG15" s="257"/>
      <c r="QJH15" s="257"/>
      <c r="QJI15" s="257"/>
      <c r="QJJ15" s="257"/>
      <c r="QJK15" s="257"/>
      <c r="QJL15" s="257"/>
      <c r="QJM15" s="257"/>
      <c r="QJN15" s="257"/>
      <c r="QJO15" s="257"/>
      <c r="QJP15" s="257"/>
      <c r="QJQ15" s="257"/>
      <c r="QJR15" s="257"/>
      <c r="QJS15" s="257"/>
      <c r="QJT15" s="257"/>
      <c r="QJU15" s="257"/>
      <c r="QJV15" s="257"/>
      <c r="QJW15" s="257"/>
      <c r="QJX15" s="257"/>
      <c r="QJY15" s="257"/>
      <c r="QJZ15" s="257"/>
      <c r="QKA15" s="257"/>
      <c r="QKB15" s="257"/>
      <c r="QKC15" s="257"/>
      <c r="QKD15" s="257"/>
      <c r="QKE15" s="257"/>
      <c r="QKF15" s="257"/>
      <c r="QKG15" s="257"/>
      <c r="QKH15" s="257"/>
      <c r="QKI15" s="257"/>
      <c r="QKJ15" s="257"/>
      <c r="QKK15" s="257"/>
      <c r="QKL15" s="257"/>
      <c r="QKM15" s="257"/>
      <c r="QKN15" s="257"/>
      <c r="QKO15" s="257"/>
      <c r="QKP15" s="257"/>
      <c r="QKQ15" s="257"/>
      <c r="QKR15" s="257"/>
      <c r="QKS15" s="257"/>
      <c r="QKT15" s="257"/>
      <c r="QKU15" s="257"/>
      <c r="QKV15" s="257"/>
      <c r="QKW15" s="257"/>
      <c r="QKX15" s="257"/>
      <c r="QKY15" s="257"/>
      <c r="QKZ15" s="257"/>
      <c r="QLA15" s="257"/>
      <c r="QLB15" s="257"/>
      <c r="QLC15" s="257"/>
      <c r="QLD15" s="257"/>
      <c r="QLE15" s="257"/>
      <c r="QLF15" s="257"/>
      <c r="QLG15" s="257"/>
      <c r="QLH15" s="257"/>
      <c r="QLI15" s="257"/>
      <c r="QLJ15" s="257"/>
      <c r="QLK15" s="257"/>
      <c r="QLL15" s="257"/>
      <c r="QLM15" s="257"/>
      <c r="QLN15" s="257"/>
      <c r="QLO15" s="257"/>
      <c r="QLP15" s="257"/>
      <c r="QLQ15" s="257"/>
      <c r="QLR15" s="257"/>
      <c r="QLS15" s="257"/>
      <c r="QLT15" s="257"/>
      <c r="QLU15" s="257"/>
      <c r="QLV15" s="257"/>
      <c r="QLW15" s="257"/>
      <c r="QLX15" s="257"/>
      <c r="QLY15" s="257"/>
      <c r="QLZ15" s="257"/>
      <c r="QMA15" s="257"/>
      <c r="QMB15" s="257"/>
      <c r="QMC15" s="257"/>
      <c r="QMD15" s="257"/>
      <c r="QME15" s="257"/>
      <c r="QMF15" s="257"/>
      <c r="QMG15" s="257"/>
      <c r="QMH15" s="257"/>
      <c r="QMI15" s="257"/>
      <c r="QMJ15" s="257"/>
      <c r="QMK15" s="257"/>
      <c r="QML15" s="257"/>
      <c r="QMM15" s="257"/>
      <c r="QMN15" s="257"/>
      <c r="QMO15" s="257"/>
      <c r="QMP15" s="257"/>
      <c r="QMQ15" s="257"/>
      <c r="QMR15" s="257"/>
      <c r="QMS15" s="257"/>
      <c r="QMT15" s="257"/>
      <c r="QMU15" s="257"/>
      <c r="QMV15" s="257"/>
      <c r="QMW15" s="257"/>
      <c r="QMX15" s="257"/>
      <c r="QMY15" s="257"/>
      <c r="QMZ15" s="257"/>
      <c r="QNA15" s="257"/>
      <c r="QNB15" s="257"/>
      <c r="QNC15" s="257"/>
      <c r="QND15" s="257"/>
      <c r="QNE15" s="257"/>
      <c r="QNF15" s="257"/>
      <c r="QNG15" s="257"/>
      <c r="QNH15" s="257"/>
      <c r="QNI15" s="257"/>
      <c r="QNJ15" s="257"/>
      <c r="QNK15" s="257"/>
      <c r="QNL15" s="257"/>
      <c r="QNM15" s="257"/>
      <c r="QNN15" s="257"/>
      <c r="QNO15" s="257"/>
      <c r="QNP15" s="257"/>
      <c r="QNQ15" s="257"/>
      <c r="QNR15" s="257"/>
      <c r="QNS15" s="257"/>
      <c r="QNT15" s="257"/>
      <c r="QNU15" s="257"/>
      <c r="QNV15" s="257"/>
      <c r="QNW15" s="257"/>
      <c r="QNX15" s="257"/>
      <c r="QNY15" s="257"/>
      <c r="QNZ15" s="257"/>
      <c r="QOA15" s="257"/>
      <c r="QOB15" s="257"/>
      <c r="QOC15" s="257"/>
      <c r="QOD15" s="257"/>
      <c r="QOE15" s="257"/>
      <c r="QOF15" s="257"/>
      <c r="QOG15" s="257"/>
      <c r="QOH15" s="257"/>
      <c r="QOI15" s="257"/>
      <c r="QOJ15" s="257"/>
      <c r="QOK15" s="257"/>
      <c r="QOL15" s="257"/>
      <c r="QOM15" s="257"/>
      <c r="QON15" s="257"/>
      <c r="QOO15" s="257"/>
      <c r="QOP15" s="257"/>
      <c r="QOQ15" s="257"/>
      <c r="QOR15" s="257"/>
      <c r="QOS15" s="257"/>
      <c r="QOT15" s="257"/>
      <c r="QOU15" s="257"/>
      <c r="QOV15" s="257"/>
      <c r="QOW15" s="257"/>
      <c r="QOX15" s="257"/>
      <c r="QOY15" s="257"/>
      <c r="QOZ15" s="257"/>
      <c r="QPA15" s="257"/>
      <c r="QPB15" s="257"/>
      <c r="QPC15" s="257"/>
      <c r="QPD15" s="257"/>
      <c r="QPE15" s="257"/>
      <c r="QPF15" s="257"/>
      <c r="QPG15" s="257"/>
      <c r="QPH15" s="257"/>
      <c r="QPI15" s="257"/>
      <c r="QPJ15" s="257"/>
      <c r="QPK15" s="257"/>
      <c r="QPL15" s="257"/>
      <c r="QPM15" s="257"/>
      <c r="QPN15" s="257"/>
      <c r="QPO15" s="257"/>
      <c r="QPP15" s="257"/>
      <c r="QPQ15" s="257"/>
      <c r="QPR15" s="257"/>
      <c r="QPS15" s="257"/>
      <c r="QPT15" s="257"/>
      <c r="QPU15" s="257"/>
      <c r="QPV15" s="257"/>
      <c r="QPW15" s="257"/>
      <c r="QPX15" s="257"/>
      <c r="QPY15" s="257"/>
      <c r="QPZ15" s="257"/>
      <c r="QQA15" s="257"/>
      <c r="QQB15" s="257"/>
      <c r="QQC15" s="257"/>
      <c r="QQD15" s="257"/>
      <c r="QQE15" s="257"/>
      <c r="QQF15" s="257"/>
      <c r="QQG15" s="257"/>
      <c r="QQH15" s="257"/>
      <c r="QQI15" s="257"/>
      <c r="QQJ15" s="257"/>
      <c r="QQK15" s="257"/>
      <c r="QQL15" s="257"/>
      <c r="QQM15" s="257"/>
      <c r="QQN15" s="257"/>
      <c r="QQO15" s="257"/>
      <c r="QQP15" s="257"/>
      <c r="QQQ15" s="257"/>
      <c r="QQR15" s="257"/>
      <c r="QQS15" s="257"/>
      <c r="QQT15" s="257"/>
      <c r="QQU15" s="257"/>
      <c r="QQV15" s="257"/>
      <c r="QQW15" s="257"/>
      <c r="QQX15" s="257"/>
      <c r="QQY15" s="257"/>
      <c r="QQZ15" s="257"/>
      <c r="QRA15" s="257"/>
      <c r="QRB15" s="257"/>
      <c r="QRC15" s="257"/>
      <c r="QRD15" s="257"/>
      <c r="QRE15" s="257"/>
      <c r="QRF15" s="257"/>
      <c r="QRG15" s="257"/>
      <c r="QRH15" s="257"/>
      <c r="QRI15" s="257"/>
      <c r="QRJ15" s="257"/>
      <c r="QRK15" s="257"/>
      <c r="QRL15" s="257"/>
      <c r="QRM15" s="257"/>
      <c r="QRN15" s="257"/>
      <c r="QRO15" s="257"/>
      <c r="QRP15" s="257"/>
      <c r="QRQ15" s="257"/>
      <c r="QRR15" s="257"/>
      <c r="QRS15" s="257"/>
      <c r="QRT15" s="257"/>
      <c r="QRU15" s="257"/>
      <c r="QRV15" s="257"/>
      <c r="QRW15" s="257"/>
      <c r="QRX15" s="257"/>
      <c r="QRY15" s="257"/>
      <c r="QRZ15" s="257"/>
      <c r="QSA15" s="257"/>
      <c r="QSB15" s="257"/>
      <c r="QSC15" s="257"/>
      <c r="QSD15" s="257"/>
      <c r="QSE15" s="257"/>
      <c r="QSF15" s="257"/>
      <c r="QSG15" s="257"/>
      <c r="QSH15" s="257"/>
      <c r="QSI15" s="257"/>
      <c r="QSJ15" s="257"/>
      <c r="QSK15" s="257"/>
      <c r="QSL15" s="257"/>
      <c r="QSM15" s="257"/>
      <c r="QSN15" s="257"/>
      <c r="QSO15" s="257"/>
      <c r="QSP15" s="257"/>
      <c r="QSQ15" s="257"/>
      <c r="QSR15" s="257"/>
      <c r="QSS15" s="257"/>
      <c r="QST15" s="257"/>
      <c r="QSU15" s="257"/>
      <c r="QSV15" s="257"/>
      <c r="QSW15" s="257"/>
      <c r="QSX15" s="257"/>
      <c r="QSY15" s="257"/>
      <c r="QSZ15" s="257"/>
      <c r="QTA15" s="257"/>
      <c r="QTB15" s="257"/>
      <c r="QTC15" s="257"/>
      <c r="QTD15" s="257"/>
      <c r="QTE15" s="257"/>
      <c r="QTF15" s="257"/>
      <c r="QTG15" s="257"/>
      <c r="QTH15" s="257"/>
      <c r="QTI15" s="257"/>
      <c r="QTJ15" s="257"/>
      <c r="QTK15" s="257"/>
      <c r="QTL15" s="257"/>
      <c r="QTM15" s="257"/>
      <c r="QTN15" s="257"/>
      <c r="QTO15" s="257"/>
      <c r="QTP15" s="257"/>
      <c r="QTQ15" s="257"/>
      <c r="QTR15" s="257"/>
      <c r="QTS15" s="257"/>
      <c r="QTT15" s="257"/>
      <c r="QTU15" s="257"/>
      <c r="QTV15" s="257"/>
      <c r="QTW15" s="257"/>
      <c r="QTX15" s="257"/>
      <c r="QTY15" s="257"/>
      <c r="QTZ15" s="257"/>
      <c r="QUA15" s="257"/>
      <c r="QUB15" s="257"/>
      <c r="QUC15" s="257"/>
      <c r="QUD15" s="257"/>
      <c r="QUE15" s="257"/>
      <c r="QUF15" s="257"/>
      <c r="QUG15" s="257"/>
      <c r="QUH15" s="257"/>
      <c r="QUI15" s="257"/>
      <c r="QUJ15" s="257"/>
      <c r="QUK15" s="257"/>
      <c r="QUL15" s="257"/>
      <c r="QUM15" s="257"/>
      <c r="QUN15" s="257"/>
      <c r="QUO15" s="257"/>
      <c r="QUP15" s="257"/>
      <c r="QUQ15" s="257"/>
      <c r="QUR15" s="257"/>
      <c r="QUS15" s="257"/>
      <c r="QUT15" s="257"/>
      <c r="QUU15" s="257"/>
      <c r="QUV15" s="257"/>
      <c r="QUW15" s="257"/>
      <c r="QUX15" s="257"/>
      <c r="QUY15" s="257"/>
      <c r="QUZ15" s="257"/>
      <c r="QVA15" s="257"/>
      <c r="QVB15" s="257"/>
      <c r="QVC15" s="257"/>
      <c r="QVD15" s="257"/>
      <c r="QVE15" s="257"/>
      <c r="QVF15" s="257"/>
      <c r="QVG15" s="257"/>
      <c r="QVH15" s="257"/>
      <c r="QVI15" s="257"/>
      <c r="QVJ15" s="257"/>
      <c r="QVK15" s="257"/>
      <c r="QVL15" s="257"/>
      <c r="QVM15" s="257"/>
      <c r="QVN15" s="257"/>
      <c r="QVO15" s="257"/>
      <c r="QVP15" s="257"/>
      <c r="QVQ15" s="257"/>
      <c r="QVR15" s="257"/>
      <c r="QVS15" s="257"/>
      <c r="QVT15" s="257"/>
      <c r="QVU15" s="257"/>
      <c r="QVV15" s="257"/>
      <c r="QVW15" s="257"/>
      <c r="QVX15" s="257"/>
      <c r="QVY15" s="257"/>
      <c r="QVZ15" s="257"/>
      <c r="QWA15" s="257"/>
      <c r="QWB15" s="257"/>
      <c r="QWC15" s="257"/>
      <c r="QWD15" s="257"/>
      <c r="QWE15" s="257"/>
      <c r="QWF15" s="257"/>
      <c r="QWG15" s="257"/>
      <c r="QWH15" s="257"/>
      <c r="QWI15" s="257"/>
      <c r="QWJ15" s="257"/>
      <c r="QWK15" s="257"/>
      <c r="QWL15" s="257"/>
      <c r="QWM15" s="257"/>
      <c r="QWN15" s="257"/>
      <c r="QWO15" s="257"/>
      <c r="QWP15" s="257"/>
      <c r="QWQ15" s="257"/>
      <c r="QWR15" s="257"/>
      <c r="QWS15" s="257"/>
      <c r="QWT15" s="257"/>
      <c r="QWU15" s="257"/>
      <c r="QWV15" s="257"/>
      <c r="QWW15" s="257"/>
      <c r="QWX15" s="257"/>
      <c r="QWY15" s="257"/>
      <c r="QWZ15" s="257"/>
      <c r="QXA15" s="257"/>
      <c r="QXB15" s="257"/>
      <c r="QXC15" s="257"/>
      <c r="QXD15" s="257"/>
      <c r="QXE15" s="257"/>
      <c r="QXF15" s="257"/>
      <c r="QXG15" s="257"/>
      <c r="QXH15" s="257"/>
      <c r="QXI15" s="257"/>
      <c r="QXJ15" s="257"/>
      <c r="QXK15" s="257"/>
      <c r="QXL15" s="257"/>
      <c r="QXM15" s="257"/>
      <c r="QXN15" s="257"/>
      <c r="QXO15" s="257"/>
      <c r="QXP15" s="257"/>
      <c r="QXQ15" s="257"/>
      <c r="QXR15" s="257"/>
      <c r="QXS15" s="257"/>
      <c r="QXT15" s="257"/>
      <c r="QXU15" s="257"/>
      <c r="QXV15" s="257"/>
      <c r="QXW15" s="257"/>
      <c r="QXX15" s="257"/>
      <c r="QXY15" s="257"/>
      <c r="QXZ15" s="257"/>
      <c r="QYA15" s="257"/>
      <c r="QYB15" s="257"/>
      <c r="QYC15" s="257"/>
      <c r="QYD15" s="257"/>
      <c r="QYE15" s="257"/>
      <c r="QYF15" s="257"/>
      <c r="QYG15" s="257"/>
      <c r="QYH15" s="257"/>
      <c r="QYI15" s="257"/>
      <c r="QYJ15" s="257"/>
      <c r="QYK15" s="257"/>
      <c r="QYL15" s="257"/>
      <c r="QYM15" s="257"/>
      <c r="QYN15" s="257"/>
      <c r="QYO15" s="257"/>
      <c r="QYP15" s="257"/>
      <c r="QYQ15" s="257"/>
      <c r="QYR15" s="257"/>
      <c r="QYS15" s="257"/>
      <c r="QYT15" s="257"/>
      <c r="QYU15" s="257"/>
      <c r="QYV15" s="257"/>
      <c r="QYW15" s="257"/>
      <c r="QYX15" s="257"/>
      <c r="QYY15" s="257"/>
      <c r="QYZ15" s="257"/>
      <c r="QZA15" s="257"/>
      <c r="QZB15" s="257"/>
      <c r="QZC15" s="257"/>
      <c r="QZD15" s="257"/>
      <c r="QZE15" s="257"/>
      <c r="QZF15" s="257"/>
      <c r="QZG15" s="257"/>
      <c r="QZH15" s="257"/>
      <c r="QZI15" s="257"/>
      <c r="QZJ15" s="257"/>
      <c r="QZK15" s="257"/>
      <c r="QZL15" s="257"/>
      <c r="QZM15" s="257"/>
      <c r="QZN15" s="257"/>
      <c r="QZO15" s="257"/>
      <c r="QZP15" s="257"/>
      <c r="QZQ15" s="257"/>
      <c r="QZR15" s="257"/>
      <c r="QZS15" s="257"/>
      <c r="QZT15" s="257"/>
      <c r="QZU15" s="257"/>
      <c r="QZV15" s="257"/>
      <c r="QZW15" s="257"/>
      <c r="QZX15" s="257"/>
      <c r="QZY15" s="257"/>
      <c r="QZZ15" s="257"/>
      <c r="RAA15" s="257"/>
      <c r="RAB15" s="257"/>
      <c r="RAC15" s="257"/>
      <c r="RAD15" s="257"/>
      <c r="RAE15" s="257"/>
      <c r="RAF15" s="257"/>
      <c r="RAG15" s="257"/>
      <c r="RAH15" s="257"/>
      <c r="RAI15" s="257"/>
      <c r="RAJ15" s="257"/>
      <c r="RAK15" s="257"/>
      <c r="RAL15" s="257"/>
      <c r="RAM15" s="257"/>
      <c r="RAN15" s="257"/>
      <c r="RAO15" s="257"/>
      <c r="RAP15" s="257"/>
      <c r="RAQ15" s="257"/>
      <c r="RAR15" s="257"/>
      <c r="RAS15" s="257"/>
      <c r="RAT15" s="257"/>
      <c r="RAU15" s="257"/>
      <c r="RAV15" s="257"/>
      <c r="RAW15" s="257"/>
      <c r="RAX15" s="257"/>
      <c r="RAY15" s="257"/>
      <c r="RAZ15" s="257"/>
      <c r="RBA15" s="257"/>
      <c r="RBB15" s="257"/>
      <c r="RBC15" s="257"/>
      <c r="RBD15" s="257"/>
      <c r="RBE15" s="257"/>
      <c r="RBF15" s="257"/>
      <c r="RBG15" s="257"/>
      <c r="RBH15" s="257"/>
      <c r="RBI15" s="257"/>
      <c r="RBJ15" s="257"/>
      <c r="RBK15" s="257"/>
      <c r="RBL15" s="257"/>
      <c r="RBM15" s="257"/>
      <c r="RBN15" s="257"/>
      <c r="RBO15" s="257"/>
      <c r="RBP15" s="257"/>
      <c r="RBQ15" s="257"/>
      <c r="RBR15" s="257"/>
      <c r="RBS15" s="257"/>
      <c r="RBT15" s="257"/>
      <c r="RBU15" s="257"/>
      <c r="RBV15" s="257"/>
      <c r="RBW15" s="257"/>
      <c r="RBX15" s="257"/>
      <c r="RBY15" s="257"/>
      <c r="RBZ15" s="257"/>
      <c r="RCA15" s="257"/>
      <c r="RCB15" s="257"/>
      <c r="RCC15" s="257"/>
      <c r="RCD15" s="257"/>
      <c r="RCE15" s="257"/>
      <c r="RCF15" s="257"/>
      <c r="RCG15" s="257"/>
      <c r="RCH15" s="257"/>
      <c r="RCI15" s="257"/>
      <c r="RCJ15" s="257"/>
      <c r="RCK15" s="257"/>
      <c r="RCL15" s="257"/>
      <c r="RCM15" s="257"/>
      <c r="RCN15" s="257"/>
      <c r="RCO15" s="257"/>
      <c r="RCP15" s="257"/>
      <c r="RCQ15" s="257"/>
      <c r="RCR15" s="257"/>
      <c r="RCS15" s="257"/>
      <c r="RCT15" s="257"/>
      <c r="RCU15" s="257"/>
      <c r="RCV15" s="257"/>
      <c r="RCW15" s="257"/>
      <c r="RCX15" s="257"/>
      <c r="RCY15" s="257"/>
      <c r="RCZ15" s="257"/>
      <c r="RDA15" s="257"/>
      <c r="RDB15" s="257"/>
      <c r="RDC15" s="257"/>
      <c r="RDD15" s="257"/>
      <c r="RDE15" s="257"/>
      <c r="RDF15" s="257"/>
      <c r="RDG15" s="257"/>
      <c r="RDH15" s="257"/>
      <c r="RDI15" s="257"/>
      <c r="RDJ15" s="257"/>
      <c r="RDK15" s="257"/>
      <c r="RDL15" s="257"/>
      <c r="RDM15" s="257"/>
      <c r="RDN15" s="257"/>
      <c r="RDO15" s="257"/>
      <c r="RDP15" s="257"/>
      <c r="RDQ15" s="257"/>
      <c r="RDR15" s="257"/>
      <c r="RDS15" s="257"/>
      <c r="RDT15" s="257"/>
      <c r="RDU15" s="257"/>
      <c r="RDV15" s="257"/>
      <c r="RDW15" s="257"/>
      <c r="RDX15" s="257"/>
      <c r="RDY15" s="257"/>
      <c r="RDZ15" s="257"/>
      <c r="REA15" s="257"/>
      <c r="REB15" s="257"/>
      <c r="REC15" s="257"/>
      <c r="RED15" s="257"/>
      <c r="REE15" s="257"/>
      <c r="REF15" s="257"/>
      <c r="REG15" s="257"/>
      <c r="REH15" s="257"/>
      <c r="REI15" s="257"/>
      <c r="REJ15" s="257"/>
      <c r="REK15" s="257"/>
      <c r="REL15" s="257"/>
      <c r="REM15" s="257"/>
      <c r="REN15" s="257"/>
      <c r="REO15" s="257"/>
      <c r="REP15" s="257"/>
      <c r="REQ15" s="257"/>
      <c r="RER15" s="257"/>
      <c r="RES15" s="257"/>
      <c r="RET15" s="257"/>
      <c r="REU15" s="257"/>
      <c r="REV15" s="257"/>
      <c r="REW15" s="257"/>
      <c r="REX15" s="257"/>
      <c r="REY15" s="257"/>
      <c r="REZ15" s="257"/>
      <c r="RFA15" s="257"/>
      <c r="RFB15" s="257"/>
      <c r="RFC15" s="257"/>
      <c r="RFD15" s="257"/>
      <c r="RFE15" s="257"/>
      <c r="RFF15" s="257"/>
      <c r="RFG15" s="257"/>
      <c r="RFH15" s="257"/>
      <c r="RFI15" s="257"/>
      <c r="RFJ15" s="257"/>
      <c r="RFK15" s="257"/>
      <c r="RFL15" s="257"/>
      <c r="RFM15" s="257"/>
      <c r="RFN15" s="257"/>
      <c r="RFO15" s="257"/>
      <c r="RFP15" s="257"/>
      <c r="RFQ15" s="257"/>
      <c r="RFR15" s="257"/>
      <c r="RFS15" s="257"/>
      <c r="RFT15" s="257"/>
      <c r="RFU15" s="257"/>
      <c r="RFV15" s="257"/>
      <c r="RFW15" s="257"/>
      <c r="RFX15" s="257"/>
      <c r="RFY15" s="257"/>
      <c r="RFZ15" s="257"/>
      <c r="RGA15" s="257"/>
      <c r="RGB15" s="257"/>
      <c r="RGC15" s="257"/>
      <c r="RGD15" s="257"/>
      <c r="RGE15" s="257"/>
      <c r="RGF15" s="257"/>
      <c r="RGG15" s="257"/>
      <c r="RGH15" s="257"/>
      <c r="RGI15" s="257"/>
      <c r="RGJ15" s="257"/>
      <c r="RGK15" s="257"/>
      <c r="RGL15" s="257"/>
      <c r="RGM15" s="257"/>
      <c r="RGN15" s="257"/>
      <c r="RGO15" s="257"/>
      <c r="RGP15" s="257"/>
      <c r="RGQ15" s="257"/>
      <c r="RGR15" s="257"/>
      <c r="RGS15" s="257"/>
      <c r="RGT15" s="257"/>
      <c r="RGU15" s="257"/>
      <c r="RGV15" s="257"/>
      <c r="RGW15" s="257"/>
      <c r="RGX15" s="257"/>
      <c r="RGY15" s="257"/>
      <c r="RGZ15" s="257"/>
      <c r="RHA15" s="257"/>
      <c r="RHB15" s="257"/>
      <c r="RHC15" s="257"/>
      <c r="RHD15" s="257"/>
      <c r="RHE15" s="257"/>
      <c r="RHF15" s="257"/>
      <c r="RHG15" s="257"/>
      <c r="RHH15" s="257"/>
      <c r="RHI15" s="257"/>
      <c r="RHJ15" s="257"/>
      <c r="RHK15" s="257"/>
      <c r="RHL15" s="257"/>
      <c r="RHM15" s="257"/>
      <c r="RHN15" s="257"/>
      <c r="RHO15" s="257"/>
      <c r="RHP15" s="257"/>
      <c r="RHQ15" s="257"/>
      <c r="RHR15" s="257"/>
      <c r="RHS15" s="257"/>
      <c r="RHT15" s="257"/>
      <c r="RHU15" s="257"/>
      <c r="RHV15" s="257"/>
      <c r="RHW15" s="257"/>
      <c r="RHX15" s="257"/>
      <c r="RHY15" s="257"/>
      <c r="RHZ15" s="257"/>
      <c r="RIA15" s="257"/>
      <c r="RIB15" s="257"/>
      <c r="RIC15" s="257"/>
      <c r="RID15" s="257"/>
      <c r="RIE15" s="257"/>
      <c r="RIF15" s="257"/>
      <c r="RIG15" s="257"/>
      <c r="RIH15" s="257"/>
      <c r="RII15" s="257"/>
      <c r="RIJ15" s="257"/>
      <c r="RIK15" s="257"/>
      <c r="RIL15" s="257"/>
      <c r="RIM15" s="257"/>
      <c r="RIN15" s="257"/>
      <c r="RIO15" s="257"/>
      <c r="RIP15" s="257"/>
      <c r="RIQ15" s="257"/>
      <c r="RIR15" s="257"/>
      <c r="RIS15" s="257"/>
      <c r="RIT15" s="257"/>
      <c r="RIU15" s="257"/>
      <c r="RIV15" s="257"/>
      <c r="RIW15" s="257"/>
      <c r="RIX15" s="257"/>
      <c r="RIY15" s="257"/>
      <c r="RIZ15" s="257"/>
      <c r="RJA15" s="257"/>
      <c r="RJB15" s="257"/>
      <c r="RJC15" s="257"/>
      <c r="RJD15" s="257"/>
      <c r="RJE15" s="257"/>
      <c r="RJF15" s="257"/>
      <c r="RJG15" s="257"/>
      <c r="RJH15" s="257"/>
      <c r="RJI15" s="257"/>
      <c r="RJJ15" s="257"/>
      <c r="RJK15" s="257"/>
      <c r="RJL15" s="257"/>
      <c r="RJM15" s="257"/>
      <c r="RJN15" s="257"/>
      <c r="RJO15" s="257"/>
      <c r="RJP15" s="257"/>
      <c r="RJQ15" s="257"/>
      <c r="RJR15" s="257"/>
      <c r="RJS15" s="257"/>
      <c r="RJT15" s="257"/>
      <c r="RJU15" s="257"/>
      <c r="RJV15" s="257"/>
      <c r="RJW15" s="257"/>
      <c r="RJX15" s="257"/>
      <c r="RJY15" s="257"/>
      <c r="RJZ15" s="257"/>
      <c r="RKA15" s="257"/>
      <c r="RKB15" s="257"/>
      <c r="RKC15" s="257"/>
      <c r="RKD15" s="257"/>
      <c r="RKE15" s="257"/>
      <c r="RKF15" s="257"/>
      <c r="RKG15" s="257"/>
      <c r="RKH15" s="257"/>
      <c r="RKI15" s="257"/>
      <c r="RKJ15" s="257"/>
      <c r="RKK15" s="257"/>
      <c r="RKL15" s="257"/>
      <c r="RKM15" s="257"/>
      <c r="RKN15" s="257"/>
      <c r="RKO15" s="257"/>
      <c r="RKP15" s="257"/>
      <c r="RKQ15" s="257"/>
      <c r="RKR15" s="257"/>
      <c r="RKS15" s="257"/>
      <c r="RKT15" s="257"/>
      <c r="RKU15" s="257"/>
      <c r="RKV15" s="257"/>
      <c r="RKW15" s="257"/>
      <c r="RKX15" s="257"/>
      <c r="RKY15" s="257"/>
      <c r="RKZ15" s="257"/>
      <c r="RLA15" s="257"/>
      <c r="RLB15" s="257"/>
      <c r="RLC15" s="257"/>
      <c r="RLD15" s="257"/>
      <c r="RLE15" s="257"/>
      <c r="RLF15" s="257"/>
      <c r="RLG15" s="257"/>
      <c r="RLH15" s="257"/>
      <c r="RLI15" s="257"/>
      <c r="RLJ15" s="257"/>
      <c r="RLK15" s="257"/>
      <c r="RLL15" s="257"/>
      <c r="RLM15" s="257"/>
      <c r="RLN15" s="257"/>
      <c r="RLO15" s="257"/>
      <c r="RLP15" s="257"/>
      <c r="RLQ15" s="257"/>
      <c r="RLR15" s="257"/>
      <c r="RLS15" s="257"/>
      <c r="RLT15" s="257"/>
      <c r="RLU15" s="257"/>
      <c r="RLV15" s="257"/>
      <c r="RLW15" s="257"/>
      <c r="RLX15" s="257"/>
      <c r="RLY15" s="257"/>
      <c r="RLZ15" s="257"/>
      <c r="RMA15" s="257"/>
      <c r="RMB15" s="257"/>
      <c r="RMC15" s="257"/>
      <c r="RMD15" s="257"/>
      <c r="RME15" s="257"/>
      <c r="RMF15" s="257"/>
      <c r="RMG15" s="257"/>
      <c r="RMH15" s="257"/>
      <c r="RMI15" s="257"/>
      <c r="RMJ15" s="257"/>
      <c r="RMK15" s="257"/>
      <c r="RML15" s="257"/>
      <c r="RMM15" s="257"/>
      <c r="RMN15" s="257"/>
      <c r="RMO15" s="257"/>
      <c r="RMP15" s="257"/>
      <c r="RMQ15" s="257"/>
      <c r="RMR15" s="257"/>
      <c r="RMS15" s="257"/>
      <c r="RMT15" s="257"/>
      <c r="RMU15" s="257"/>
      <c r="RMV15" s="257"/>
      <c r="RMW15" s="257"/>
      <c r="RMX15" s="257"/>
      <c r="RMY15" s="257"/>
      <c r="RMZ15" s="257"/>
      <c r="RNA15" s="257"/>
      <c r="RNB15" s="257"/>
      <c r="RNC15" s="257"/>
      <c r="RND15" s="257"/>
      <c r="RNE15" s="257"/>
      <c r="RNF15" s="257"/>
      <c r="RNG15" s="257"/>
      <c r="RNH15" s="257"/>
      <c r="RNI15" s="257"/>
      <c r="RNJ15" s="257"/>
      <c r="RNK15" s="257"/>
      <c r="RNL15" s="257"/>
      <c r="RNM15" s="257"/>
      <c r="RNN15" s="257"/>
      <c r="RNO15" s="257"/>
      <c r="RNP15" s="257"/>
      <c r="RNQ15" s="257"/>
      <c r="RNR15" s="257"/>
      <c r="RNS15" s="257"/>
      <c r="RNT15" s="257"/>
      <c r="RNU15" s="257"/>
      <c r="RNV15" s="257"/>
      <c r="RNW15" s="257"/>
      <c r="RNX15" s="257"/>
      <c r="RNY15" s="257"/>
      <c r="RNZ15" s="257"/>
      <c r="ROA15" s="257"/>
      <c r="ROB15" s="257"/>
      <c r="ROC15" s="257"/>
      <c r="ROD15" s="257"/>
      <c r="ROE15" s="257"/>
      <c r="ROF15" s="257"/>
      <c r="ROG15" s="257"/>
      <c r="ROH15" s="257"/>
      <c r="ROI15" s="257"/>
      <c r="ROJ15" s="257"/>
      <c r="ROK15" s="257"/>
      <c r="ROL15" s="257"/>
      <c r="ROM15" s="257"/>
      <c r="RON15" s="257"/>
      <c r="ROO15" s="257"/>
      <c r="ROP15" s="257"/>
      <c r="ROQ15" s="257"/>
      <c r="ROR15" s="257"/>
      <c r="ROS15" s="257"/>
      <c r="ROT15" s="257"/>
      <c r="ROU15" s="257"/>
      <c r="ROV15" s="257"/>
      <c r="ROW15" s="257"/>
      <c r="ROX15" s="257"/>
      <c r="ROY15" s="257"/>
      <c r="ROZ15" s="257"/>
      <c r="RPA15" s="257"/>
      <c r="RPB15" s="257"/>
      <c r="RPC15" s="257"/>
      <c r="RPD15" s="257"/>
      <c r="RPE15" s="257"/>
      <c r="RPF15" s="257"/>
      <c r="RPG15" s="257"/>
      <c r="RPH15" s="257"/>
      <c r="RPI15" s="257"/>
      <c r="RPJ15" s="257"/>
      <c r="RPK15" s="257"/>
      <c r="RPL15" s="257"/>
      <c r="RPM15" s="257"/>
      <c r="RPN15" s="257"/>
      <c r="RPO15" s="257"/>
      <c r="RPP15" s="257"/>
      <c r="RPQ15" s="257"/>
      <c r="RPR15" s="257"/>
      <c r="RPS15" s="257"/>
      <c r="RPT15" s="257"/>
      <c r="RPU15" s="257"/>
      <c r="RPV15" s="257"/>
      <c r="RPW15" s="257"/>
      <c r="RPX15" s="257"/>
      <c r="RPY15" s="257"/>
      <c r="RPZ15" s="257"/>
      <c r="RQA15" s="257"/>
      <c r="RQB15" s="257"/>
      <c r="RQC15" s="257"/>
      <c r="RQD15" s="257"/>
      <c r="RQE15" s="257"/>
      <c r="RQF15" s="257"/>
      <c r="RQG15" s="257"/>
      <c r="RQH15" s="257"/>
      <c r="RQI15" s="257"/>
      <c r="RQJ15" s="257"/>
      <c r="RQK15" s="257"/>
      <c r="RQL15" s="257"/>
      <c r="RQM15" s="257"/>
      <c r="RQN15" s="257"/>
      <c r="RQO15" s="257"/>
      <c r="RQP15" s="257"/>
      <c r="RQQ15" s="257"/>
      <c r="RQR15" s="257"/>
      <c r="RQS15" s="257"/>
      <c r="RQT15" s="257"/>
      <c r="RQU15" s="257"/>
      <c r="RQV15" s="257"/>
      <c r="RQW15" s="257"/>
      <c r="RQX15" s="257"/>
      <c r="RQY15" s="257"/>
      <c r="RQZ15" s="257"/>
      <c r="RRA15" s="257"/>
      <c r="RRB15" s="257"/>
      <c r="RRC15" s="257"/>
      <c r="RRD15" s="257"/>
      <c r="RRE15" s="257"/>
      <c r="RRF15" s="257"/>
      <c r="RRG15" s="257"/>
      <c r="RRH15" s="257"/>
      <c r="RRI15" s="257"/>
      <c r="RRJ15" s="257"/>
      <c r="RRK15" s="257"/>
      <c r="RRL15" s="257"/>
      <c r="RRM15" s="257"/>
      <c r="RRN15" s="257"/>
      <c r="RRO15" s="257"/>
      <c r="RRP15" s="257"/>
      <c r="RRQ15" s="257"/>
      <c r="RRR15" s="257"/>
      <c r="RRS15" s="257"/>
      <c r="RRT15" s="257"/>
      <c r="RRU15" s="257"/>
      <c r="RRV15" s="257"/>
      <c r="RRW15" s="257"/>
      <c r="RRX15" s="257"/>
      <c r="RRY15" s="257"/>
      <c r="RRZ15" s="257"/>
      <c r="RSA15" s="257"/>
      <c r="RSB15" s="257"/>
      <c r="RSC15" s="257"/>
      <c r="RSD15" s="257"/>
      <c r="RSE15" s="257"/>
      <c r="RSF15" s="257"/>
      <c r="RSG15" s="257"/>
      <c r="RSH15" s="257"/>
      <c r="RSI15" s="257"/>
      <c r="RSJ15" s="257"/>
      <c r="RSK15" s="257"/>
      <c r="RSL15" s="257"/>
      <c r="RSM15" s="257"/>
      <c r="RSN15" s="257"/>
      <c r="RSO15" s="257"/>
      <c r="RSP15" s="257"/>
      <c r="RSQ15" s="257"/>
      <c r="RSR15" s="257"/>
      <c r="RSS15" s="257"/>
      <c r="RST15" s="257"/>
      <c r="RSU15" s="257"/>
      <c r="RSV15" s="257"/>
      <c r="RSW15" s="257"/>
      <c r="RSX15" s="257"/>
      <c r="RSY15" s="257"/>
      <c r="RSZ15" s="257"/>
      <c r="RTA15" s="257"/>
      <c r="RTB15" s="257"/>
      <c r="RTC15" s="257"/>
      <c r="RTD15" s="257"/>
      <c r="RTE15" s="257"/>
      <c r="RTF15" s="257"/>
      <c r="RTG15" s="257"/>
      <c r="RTH15" s="257"/>
      <c r="RTI15" s="257"/>
      <c r="RTJ15" s="257"/>
      <c r="RTK15" s="257"/>
      <c r="RTL15" s="257"/>
      <c r="RTM15" s="257"/>
      <c r="RTN15" s="257"/>
      <c r="RTO15" s="257"/>
      <c r="RTP15" s="257"/>
      <c r="RTQ15" s="257"/>
      <c r="RTR15" s="257"/>
      <c r="RTS15" s="257"/>
      <c r="RTT15" s="257"/>
      <c r="RTU15" s="257"/>
      <c r="RTV15" s="257"/>
      <c r="RTW15" s="257"/>
      <c r="RTX15" s="257"/>
      <c r="RTY15" s="257"/>
      <c r="RTZ15" s="257"/>
      <c r="RUA15" s="257"/>
      <c r="RUB15" s="257"/>
      <c r="RUC15" s="257"/>
      <c r="RUD15" s="257"/>
      <c r="RUE15" s="257"/>
      <c r="RUF15" s="257"/>
      <c r="RUG15" s="257"/>
      <c r="RUH15" s="257"/>
      <c r="RUI15" s="257"/>
      <c r="RUJ15" s="257"/>
      <c r="RUK15" s="257"/>
      <c r="RUL15" s="257"/>
      <c r="RUM15" s="257"/>
      <c r="RUN15" s="257"/>
      <c r="RUO15" s="257"/>
      <c r="RUP15" s="257"/>
      <c r="RUQ15" s="257"/>
      <c r="RUR15" s="257"/>
      <c r="RUS15" s="257"/>
      <c r="RUT15" s="257"/>
      <c r="RUU15" s="257"/>
      <c r="RUV15" s="257"/>
      <c r="RUW15" s="257"/>
      <c r="RUX15" s="257"/>
      <c r="RUY15" s="257"/>
      <c r="RUZ15" s="257"/>
      <c r="RVA15" s="257"/>
      <c r="RVB15" s="257"/>
      <c r="RVC15" s="257"/>
      <c r="RVD15" s="257"/>
      <c r="RVE15" s="257"/>
      <c r="RVF15" s="257"/>
      <c r="RVG15" s="257"/>
      <c r="RVH15" s="257"/>
      <c r="RVI15" s="257"/>
      <c r="RVJ15" s="257"/>
      <c r="RVK15" s="257"/>
      <c r="RVL15" s="257"/>
      <c r="RVM15" s="257"/>
      <c r="RVN15" s="257"/>
      <c r="RVO15" s="257"/>
      <c r="RVP15" s="257"/>
      <c r="RVQ15" s="257"/>
      <c r="RVR15" s="257"/>
      <c r="RVS15" s="257"/>
      <c r="RVT15" s="257"/>
      <c r="RVU15" s="257"/>
      <c r="RVV15" s="257"/>
      <c r="RVW15" s="257"/>
      <c r="RVX15" s="257"/>
      <c r="RVY15" s="257"/>
      <c r="RVZ15" s="257"/>
      <c r="RWA15" s="257"/>
      <c r="RWB15" s="257"/>
      <c r="RWC15" s="257"/>
      <c r="RWD15" s="257"/>
      <c r="RWE15" s="257"/>
      <c r="RWF15" s="257"/>
      <c r="RWG15" s="257"/>
      <c r="RWH15" s="257"/>
      <c r="RWI15" s="257"/>
      <c r="RWJ15" s="257"/>
      <c r="RWK15" s="257"/>
      <c r="RWL15" s="257"/>
      <c r="RWM15" s="257"/>
      <c r="RWN15" s="257"/>
      <c r="RWO15" s="257"/>
      <c r="RWP15" s="257"/>
      <c r="RWQ15" s="257"/>
      <c r="RWR15" s="257"/>
      <c r="RWS15" s="257"/>
      <c r="RWT15" s="257"/>
      <c r="RWU15" s="257"/>
      <c r="RWV15" s="257"/>
      <c r="RWW15" s="257"/>
      <c r="RWX15" s="257"/>
      <c r="RWY15" s="257"/>
      <c r="RWZ15" s="257"/>
      <c r="RXA15" s="257"/>
      <c r="RXB15" s="257"/>
      <c r="RXC15" s="257"/>
      <c r="RXD15" s="257"/>
      <c r="RXE15" s="257"/>
      <c r="RXF15" s="257"/>
      <c r="RXG15" s="257"/>
      <c r="RXH15" s="257"/>
      <c r="RXI15" s="257"/>
      <c r="RXJ15" s="257"/>
      <c r="RXK15" s="257"/>
      <c r="RXL15" s="257"/>
      <c r="RXM15" s="257"/>
      <c r="RXN15" s="257"/>
      <c r="RXO15" s="257"/>
      <c r="RXP15" s="257"/>
      <c r="RXQ15" s="257"/>
      <c r="RXR15" s="257"/>
      <c r="RXS15" s="257"/>
      <c r="RXT15" s="257"/>
      <c r="RXU15" s="257"/>
      <c r="RXV15" s="257"/>
      <c r="RXW15" s="257"/>
      <c r="RXX15" s="257"/>
      <c r="RXY15" s="257"/>
      <c r="RXZ15" s="257"/>
      <c r="RYA15" s="257"/>
      <c r="RYB15" s="257"/>
      <c r="RYC15" s="257"/>
      <c r="RYD15" s="257"/>
      <c r="RYE15" s="257"/>
      <c r="RYF15" s="257"/>
      <c r="RYG15" s="257"/>
      <c r="RYH15" s="257"/>
      <c r="RYI15" s="257"/>
      <c r="RYJ15" s="257"/>
      <c r="RYK15" s="257"/>
      <c r="RYL15" s="257"/>
      <c r="RYM15" s="257"/>
      <c r="RYN15" s="257"/>
      <c r="RYO15" s="257"/>
      <c r="RYP15" s="257"/>
      <c r="RYQ15" s="257"/>
      <c r="RYR15" s="257"/>
      <c r="RYS15" s="257"/>
      <c r="RYT15" s="257"/>
      <c r="RYU15" s="257"/>
      <c r="RYV15" s="257"/>
      <c r="RYW15" s="257"/>
      <c r="RYX15" s="257"/>
      <c r="RYY15" s="257"/>
      <c r="RYZ15" s="257"/>
      <c r="RZA15" s="257"/>
      <c r="RZB15" s="257"/>
      <c r="RZC15" s="257"/>
      <c r="RZD15" s="257"/>
      <c r="RZE15" s="257"/>
      <c r="RZF15" s="257"/>
      <c r="RZG15" s="257"/>
      <c r="RZH15" s="257"/>
      <c r="RZI15" s="257"/>
      <c r="RZJ15" s="257"/>
      <c r="RZK15" s="257"/>
      <c r="RZL15" s="257"/>
      <c r="RZM15" s="257"/>
      <c r="RZN15" s="257"/>
      <c r="RZO15" s="257"/>
      <c r="RZP15" s="257"/>
      <c r="RZQ15" s="257"/>
      <c r="RZR15" s="257"/>
      <c r="RZS15" s="257"/>
      <c r="RZT15" s="257"/>
      <c r="RZU15" s="257"/>
      <c r="RZV15" s="257"/>
      <c r="RZW15" s="257"/>
      <c r="RZX15" s="257"/>
      <c r="RZY15" s="257"/>
      <c r="RZZ15" s="257"/>
      <c r="SAA15" s="257"/>
      <c r="SAB15" s="257"/>
      <c r="SAC15" s="257"/>
      <c r="SAD15" s="257"/>
      <c r="SAE15" s="257"/>
      <c r="SAF15" s="257"/>
      <c r="SAG15" s="257"/>
      <c r="SAH15" s="257"/>
      <c r="SAI15" s="257"/>
      <c r="SAJ15" s="257"/>
      <c r="SAK15" s="257"/>
      <c r="SAL15" s="257"/>
      <c r="SAM15" s="257"/>
      <c r="SAN15" s="257"/>
      <c r="SAO15" s="257"/>
      <c r="SAP15" s="257"/>
      <c r="SAQ15" s="257"/>
      <c r="SAR15" s="257"/>
      <c r="SAS15" s="257"/>
      <c r="SAT15" s="257"/>
      <c r="SAU15" s="257"/>
      <c r="SAV15" s="257"/>
      <c r="SAW15" s="257"/>
      <c r="SAX15" s="257"/>
      <c r="SAY15" s="257"/>
      <c r="SAZ15" s="257"/>
      <c r="SBA15" s="257"/>
      <c r="SBB15" s="257"/>
      <c r="SBC15" s="257"/>
      <c r="SBD15" s="257"/>
      <c r="SBE15" s="257"/>
      <c r="SBF15" s="257"/>
      <c r="SBG15" s="257"/>
      <c r="SBH15" s="257"/>
      <c r="SBI15" s="257"/>
      <c r="SBJ15" s="257"/>
      <c r="SBK15" s="257"/>
      <c r="SBL15" s="257"/>
      <c r="SBM15" s="257"/>
      <c r="SBN15" s="257"/>
      <c r="SBO15" s="257"/>
      <c r="SBP15" s="257"/>
      <c r="SBQ15" s="257"/>
      <c r="SBR15" s="257"/>
      <c r="SBS15" s="257"/>
      <c r="SBT15" s="257"/>
      <c r="SBU15" s="257"/>
      <c r="SBV15" s="257"/>
      <c r="SBW15" s="257"/>
      <c r="SBX15" s="257"/>
      <c r="SBY15" s="257"/>
      <c r="SBZ15" s="257"/>
      <c r="SCA15" s="257"/>
      <c r="SCB15" s="257"/>
      <c r="SCC15" s="257"/>
      <c r="SCD15" s="257"/>
      <c r="SCE15" s="257"/>
      <c r="SCF15" s="257"/>
      <c r="SCG15" s="257"/>
      <c r="SCH15" s="257"/>
      <c r="SCI15" s="257"/>
      <c r="SCJ15" s="257"/>
      <c r="SCK15" s="257"/>
      <c r="SCL15" s="257"/>
      <c r="SCM15" s="257"/>
      <c r="SCN15" s="257"/>
      <c r="SCO15" s="257"/>
      <c r="SCP15" s="257"/>
      <c r="SCQ15" s="257"/>
      <c r="SCR15" s="257"/>
      <c r="SCS15" s="257"/>
      <c r="SCT15" s="257"/>
      <c r="SCU15" s="257"/>
      <c r="SCV15" s="257"/>
      <c r="SCW15" s="257"/>
      <c r="SCX15" s="257"/>
      <c r="SCY15" s="257"/>
      <c r="SCZ15" s="257"/>
      <c r="SDA15" s="257"/>
      <c r="SDB15" s="257"/>
      <c r="SDC15" s="257"/>
      <c r="SDD15" s="257"/>
      <c r="SDE15" s="257"/>
      <c r="SDF15" s="257"/>
      <c r="SDG15" s="257"/>
      <c r="SDH15" s="257"/>
      <c r="SDI15" s="257"/>
      <c r="SDJ15" s="257"/>
      <c r="SDK15" s="257"/>
      <c r="SDL15" s="257"/>
      <c r="SDM15" s="257"/>
      <c r="SDN15" s="257"/>
      <c r="SDO15" s="257"/>
      <c r="SDP15" s="257"/>
      <c r="SDQ15" s="257"/>
      <c r="SDR15" s="257"/>
      <c r="SDS15" s="257"/>
      <c r="SDT15" s="257"/>
      <c r="SDU15" s="257"/>
      <c r="SDV15" s="257"/>
      <c r="SDW15" s="257"/>
      <c r="SDX15" s="257"/>
      <c r="SDY15" s="257"/>
      <c r="SDZ15" s="257"/>
      <c r="SEA15" s="257"/>
      <c r="SEB15" s="257"/>
      <c r="SEC15" s="257"/>
      <c r="SED15" s="257"/>
      <c r="SEE15" s="257"/>
      <c r="SEF15" s="257"/>
      <c r="SEG15" s="257"/>
      <c r="SEH15" s="257"/>
      <c r="SEI15" s="257"/>
      <c r="SEJ15" s="257"/>
      <c r="SEK15" s="257"/>
      <c r="SEL15" s="257"/>
      <c r="SEM15" s="257"/>
      <c r="SEN15" s="257"/>
      <c r="SEO15" s="257"/>
      <c r="SEP15" s="257"/>
      <c r="SEQ15" s="257"/>
      <c r="SER15" s="257"/>
      <c r="SES15" s="257"/>
      <c r="SET15" s="257"/>
      <c r="SEU15" s="257"/>
      <c r="SEV15" s="257"/>
      <c r="SEW15" s="257"/>
      <c r="SEX15" s="257"/>
      <c r="SEY15" s="257"/>
      <c r="SEZ15" s="257"/>
      <c r="SFA15" s="257"/>
      <c r="SFB15" s="257"/>
      <c r="SFC15" s="257"/>
      <c r="SFD15" s="257"/>
      <c r="SFE15" s="257"/>
      <c r="SFF15" s="257"/>
      <c r="SFG15" s="257"/>
      <c r="SFH15" s="257"/>
      <c r="SFI15" s="257"/>
      <c r="SFJ15" s="257"/>
      <c r="SFK15" s="257"/>
      <c r="SFL15" s="257"/>
      <c r="SFM15" s="257"/>
      <c r="SFN15" s="257"/>
      <c r="SFO15" s="257"/>
      <c r="SFP15" s="257"/>
      <c r="SFQ15" s="257"/>
      <c r="SFR15" s="257"/>
      <c r="SFS15" s="257"/>
      <c r="SFT15" s="257"/>
      <c r="SFU15" s="257"/>
      <c r="SFV15" s="257"/>
      <c r="SFW15" s="257"/>
      <c r="SFX15" s="257"/>
      <c r="SFY15" s="257"/>
      <c r="SFZ15" s="257"/>
      <c r="SGA15" s="257"/>
      <c r="SGB15" s="257"/>
      <c r="SGC15" s="257"/>
      <c r="SGD15" s="257"/>
      <c r="SGE15" s="257"/>
      <c r="SGF15" s="257"/>
      <c r="SGG15" s="257"/>
      <c r="SGH15" s="257"/>
      <c r="SGI15" s="257"/>
      <c r="SGJ15" s="257"/>
      <c r="SGK15" s="257"/>
      <c r="SGL15" s="257"/>
      <c r="SGM15" s="257"/>
      <c r="SGN15" s="257"/>
      <c r="SGO15" s="257"/>
      <c r="SGP15" s="257"/>
      <c r="SGQ15" s="257"/>
      <c r="SGR15" s="257"/>
      <c r="SGS15" s="257"/>
      <c r="SGT15" s="257"/>
      <c r="SGU15" s="257"/>
      <c r="SGV15" s="257"/>
      <c r="SGW15" s="257"/>
      <c r="SGX15" s="257"/>
      <c r="SGY15" s="257"/>
      <c r="SGZ15" s="257"/>
      <c r="SHA15" s="257"/>
      <c r="SHB15" s="257"/>
      <c r="SHC15" s="257"/>
      <c r="SHD15" s="257"/>
      <c r="SHE15" s="257"/>
      <c r="SHF15" s="257"/>
      <c r="SHG15" s="257"/>
      <c r="SHH15" s="257"/>
      <c r="SHI15" s="257"/>
      <c r="SHJ15" s="257"/>
      <c r="SHK15" s="257"/>
      <c r="SHL15" s="257"/>
      <c r="SHM15" s="257"/>
      <c r="SHN15" s="257"/>
      <c r="SHO15" s="257"/>
      <c r="SHP15" s="257"/>
      <c r="SHQ15" s="257"/>
      <c r="SHR15" s="257"/>
      <c r="SHS15" s="257"/>
      <c r="SHT15" s="257"/>
      <c r="SHU15" s="257"/>
      <c r="SHV15" s="257"/>
      <c r="SHW15" s="257"/>
      <c r="SHX15" s="257"/>
      <c r="SHY15" s="257"/>
      <c r="SHZ15" s="257"/>
      <c r="SIA15" s="257"/>
      <c r="SIB15" s="257"/>
      <c r="SIC15" s="257"/>
      <c r="SID15" s="257"/>
      <c r="SIE15" s="257"/>
      <c r="SIF15" s="257"/>
      <c r="SIG15" s="257"/>
      <c r="SIH15" s="257"/>
      <c r="SII15" s="257"/>
      <c r="SIJ15" s="257"/>
      <c r="SIK15" s="257"/>
      <c r="SIL15" s="257"/>
      <c r="SIM15" s="257"/>
      <c r="SIN15" s="257"/>
      <c r="SIO15" s="257"/>
      <c r="SIP15" s="257"/>
      <c r="SIQ15" s="257"/>
      <c r="SIR15" s="257"/>
      <c r="SIS15" s="257"/>
      <c r="SIT15" s="257"/>
      <c r="SIU15" s="257"/>
      <c r="SIV15" s="257"/>
      <c r="SIW15" s="257"/>
      <c r="SIX15" s="257"/>
      <c r="SIY15" s="257"/>
      <c r="SIZ15" s="257"/>
      <c r="SJA15" s="257"/>
      <c r="SJB15" s="257"/>
      <c r="SJC15" s="257"/>
      <c r="SJD15" s="257"/>
      <c r="SJE15" s="257"/>
      <c r="SJF15" s="257"/>
      <c r="SJG15" s="257"/>
      <c r="SJH15" s="257"/>
      <c r="SJI15" s="257"/>
      <c r="SJJ15" s="257"/>
      <c r="SJK15" s="257"/>
      <c r="SJL15" s="257"/>
      <c r="SJM15" s="257"/>
      <c r="SJN15" s="257"/>
      <c r="SJO15" s="257"/>
      <c r="SJP15" s="257"/>
      <c r="SJQ15" s="257"/>
      <c r="SJR15" s="257"/>
      <c r="SJS15" s="257"/>
      <c r="SJT15" s="257"/>
      <c r="SJU15" s="257"/>
      <c r="SJV15" s="257"/>
      <c r="SJW15" s="257"/>
      <c r="SJX15" s="257"/>
      <c r="SJY15" s="257"/>
      <c r="SJZ15" s="257"/>
      <c r="SKA15" s="257"/>
      <c r="SKB15" s="257"/>
      <c r="SKC15" s="257"/>
      <c r="SKD15" s="257"/>
      <c r="SKE15" s="257"/>
      <c r="SKF15" s="257"/>
      <c r="SKG15" s="257"/>
      <c r="SKH15" s="257"/>
      <c r="SKI15" s="257"/>
      <c r="SKJ15" s="257"/>
      <c r="SKK15" s="257"/>
      <c r="SKL15" s="257"/>
      <c r="SKM15" s="257"/>
      <c r="SKN15" s="257"/>
      <c r="SKO15" s="257"/>
      <c r="SKP15" s="257"/>
      <c r="SKQ15" s="257"/>
      <c r="SKR15" s="257"/>
      <c r="SKS15" s="257"/>
      <c r="SKT15" s="257"/>
      <c r="SKU15" s="257"/>
      <c r="SKV15" s="257"/>
      <c r="SKW15" s="257"/>
      <c r="SKX15" s="257"/>
      <c r="SKY15" s="257"/>
      <c r="SKZ15" s="257"/>
      <c r="SLA15" s="257"/>
      <c r="SLB15" s="257"/>
      <c r="SLC15" s="257"/>
      <c r="SLD15" s="257"/>
      <c r="SLE15" s="257"/>
      <c r="SLF15" s="257"/>
      <c r="SLG15" s="257"/>
      <c r="SLH15" s="257"/>
      <c r="SLI15" s="257"/>
      <c r="SLJ15" s="257"/>
      <c r="SLK15" s="257"/>
      <c r="SLL15" s="257"/>
      <c r="SLM15" s="257"/>
      <c r="SLN15" s="257"/>
      <c r="SLO15" s="257"/>
      <c r="SLP15" s="257"/>
      <c r="SLQ15" s="257"/>
      <c r="SLR15" s="257"/>
      <c r="SLS15" s="257"/>
      <c r="SLT15" s="257"/>
      <c r="SLU15" s="257"/>
      <c r="SLV15" s="257"/>
      <c r="SLW15" s="257"/>
      <c r="SLX15" s="257"/>
      <c r="SLY15" s="257"/>
      <c r="SLZ15" s="257"/>
      <c r="SMA15" s="257"/>
      <c r="SMB15" s="257"/>
      <c r="SMC15" s="257"/>
      <c r="SMD15" s="257"/>
      <c r="SME15" s="257"/>
      <c r="SMF15" s="257"/>
      <c r="SMG15" s="257"/>
      <c r="SMH15" s="257"/>
      <c r="SMI15" s="257"/>
      <c r="SMJ15" s="257"/>
      <c r="SMK15" s="257"/>
      <c r="SML15" s="257"/>
      <c r="SMM15" s="257"/>
      <c r="SMN15" s="257"/>
      <c r="SMO15" s="257"/>
      <c r="SMP15" s="257"/>
      <c r="SMQ15" s="257"/>
      <c r="SMR15" s="257"/>
      <c r="SMS15" s="257"/>
      <c r="SMT15" s="257"/>
      <c r="SMU15" s="257"/>
      <c r="SMV15" s="257"/>
      <c r="SMW15" s="257"/>
      <c r="SMX15" s="257"/>
      <c r="SMY15" s="257"/>
      <c r="SMZ15" s="257"/>
      <c r="SNA15" s="257"/>
      <c r="SNB15" s="257"/>
      <c r="SNC15" s="257"/>
      <c r="SND15" s="257"/>
      <c r="SNE15" s="257"/>
      <c r="SNF15" s="257"/>
      <c r="SNG15" s="257"/>
      <c r="SNH15" s="257"/>
      <c r="SNI15" s="257"/>
      <c r="SNJ15" s="257"/>
      <c r="SNK15" s="257"/>
      <c r="SNL15" s="257"/>
      <c r="SNM15" s="257"/>
      <c r="SNN15" s="257"/>
      <c r="SNO15" s="257"/>
      <c r="SNP15" s="257"/>
      <c r="SNQ15" s="257"/>
      <c r="SNR15" s="257"/>
      <c r="SNS15" s="257"/>
      <c r="SNT15" s="257"/>
      <c r="SNU15" s="257"/>
      <c r="SNV15" s="257"/>
      <c r="SNW15" s="257"/>
      <c r="SNX15" s="257"/>
      <c r="SNY15" s="257"/>
      <c r="SNZ15" s="257"/>
      <c r="SOA15" s="257"/>
      <c r="SOB15" s="257"/>
      <c r="SOC15" s="257"/>
      <c r="SOD15" s="257"/>
      <c r="SOE15" s="257"/>
      <c r="SOF15" s="257"/>
      <c r="SOG15" s="257"/>
      <c r="SOH15" s="257"/>
      <c r="SOI15" s="257"/>
      <c r="SOJ15" s="257"/>
      <c r="SOK15" s="257"/>
      <c r="SOL15" s="257"/>
      <c r="SOM15" s="257"/>
      <c r="SON15" s="257"/>
      <c r="SOO15" s="257"/>
      <c r="SOP15" s="257"/>
      <c r="SOQ15" s="257"/>
      <c r="SOR15" s="257"/>
      <c r="SOS15" s="257"/>
      <c r="SOT15" s="257"/>
      <c r="SOU15" s="257"/>
      <c r="SOV15" s="257"/>
      <c r="SOW15" s="257"/>
      <c r="SOX15" s="257"/>
      <c r="SOY15" s="257"/>
      <c r="SOZ15" s="257"/>
      <c r="SPA15" s="257"/>
      <c r="SPB15" s="257"/>
      <c r="SPC15" s="257"/>
      <c r="SPD15" s="257"/>
      <c r="SPE15" s="257"/>
      <c r="SPF15" s="257"/>
      <c r="SPG15" s="257"/>
      <c r="SPH15" s="257"/>
      <c r="SPI15" s="257"/>
      <c r="SPJ15" s="257"/>
      <c r="SPK15" s="257"/>
      <c r="SPL15" s="257"/>
      <c r="SPM15" s="257"/>
      <c r="SPN15" s="257"/>
      <c r="SPO15" s="257"/>
      <c r="SPP15" s="257"/>
      <c r="SPQ15" s="257"/>
      <c r="SPR15" s="257"/>
      <c r="SPS15" s="257"/>
      <c r="SPT15" s="257"/>
      <c r="SPU15" s="257"/>
      <c r="SPV15" s="257"/>
      <c r="SPW15" s="257"/>
      <c r="SPX15" s="257"/>
      <c r="SPY15" s="257"/>
      <c r="SPZ15" s="257"/>
      <c r="SQA15" s="257"/>
      <c r="SQB15" s="257"/>
      <c r="SQC15" s="257"/>
      <c r="SQD15" s="257"/>
      <c r="SQE15" s="257"/>
      <c r="SQF15" s="257"/>
      <c r="SQG15" s="257"/>
      <c r="SQH15" s="257"/>
      <c r="SQI15" s="257"/>
      <c r="SQJ15" s="257"/>
      <c r="SQK15" s="257"/>
      <c r="SQL15" s="257"/>
      <c r="SQM15" s="257"/>
      <c r="SQN15" s="257"/>
      <c r="SQO15" s="257"/>
      <c r="SQP15" s="257"/>
      <c r="SQQ15" s="257"/>
      <c r="SQR15" s="257"/>
      <c r="SQS15" s="257"/>
      <c r="SQT15" s="257"/>
      <c r="SQU15" s="257"/>
      <c r="SQV15" s="257"/>
      <c r="SQW15" s="257"/>
      <c r="SQX15" s="257"/>
      <c r="SQY15" s="257"/>
      <c r="SQZ15" s="257"/>
      <c r="SRA15" s="257"/>
      <c r="SRB15" s="257"/>
      <c r="SRC15" s="257"/>
      <c r="SRD15" s="257"/>
      <c r="SRE15" s="257"/>
      <c r="SRF15" s="257"/>
      <c r="SRG15" s="257"/>
      <c r="SRH15" s="257"/>
      <c r="SRI15" s="257"/>
      <c r="SRJ15" s="257"/>
      <c r="SRK15" s="257"/>
      <c r="SRL15" s="257"/>
      <c r="SRM15" s="257"/>
      <c r="SRN15" s="257"/>
      <c r="SRO15" s="257"/>
      <c r="SRP15" s="257"/>
      <c r="SRQ15" s="257"/>
      <c r="SRR15" s="257"/>
      <c r="SRS15" s="257"/>
      <c r="SRT15" s="257"/>
      <c r="SRU15" s="257"/>
      <c r="SRV15" s="257"/>
      <c r="SRW15" s="257"/>
      <c r="SRX15" s="257"/>
      <c r="SRY15" s="257"/>
      <c r="SRZ15" s="257"/>
      <c r="SSA15" s="257"/>
      <c r="SSB15" s="257"/>
      <c r="SSC15" s="257"/>
      <c r="SSD15" s="257"/>
      <c r="SSE15" s="257"/>
      <c r="SSF15" s="257"/>
      <c r="SSG15" s="257"/>
      <c r="SSH15" s="257"/>
      <c r="SSI15" s="257"/>
      <c r="SSJ15" s="257"/>
      <c r="SSK15" s="257"/>
      <c r="SSL15" s="257"/>
      <c r="SSM15" s="257"/>
      <c r="SSN15" s="257"/>
      <c r="SSO15" s="257"/>
      <c r="SSP15" s="257"/>
      <c r="SSQ15" s="257"/>
      <c r="SSR15" s="257"/>
      <c r="SSS15" s="257"/>
      <c r="SST15" s="257"/>
      <c r="SSU15" s="257"/>
      <c r="SSV15" s="257"/>
      <c r="SSW15" s="257"/>
      <c r="SSX15" s="257"/>
      <c r="SSY15" s="257"/>
      <c r="SSZ15" s="257"/>
      <c r="STA15" s="257"/>
      <c r="STB15" s="257"/>
      <c r="STC15" s="257"/>
      <c r="STD15" s="257"/>
      <c r="STE15" s="257"/>
      <c r="STF15" s="257"/>
      <c r="STG15" s="257"/>
      <c r="STH15" s="257"/>
      <c r="STI15" s="257"/>
      <c r="STJ15" s="257"/>
      <c r="STK15" s="257"/>
      <c r="STL15" s="257"/>
      <c r="STM15" s="257"/>
      <c r="STN15" s="257"/>
      <c r="STO15" s="257"/>
      <c r="STP15" s="257"/>
      <c r="STQ15" s="257"/>
      <c r="STR15" s="257"/>
      <c r="STS15" s="257"/>
      <c r="STT15" s="257"/>
      <c r="STU15" s="257"/>
      <c r="STV15" s="257"/>
      <c r="STW15" s="257"/>
      <c r="STX15" s="257"/>
      <c r="STY15" s="257"/>
      <c r="STZ15" s="257"/>
      <c r="SUA15" s="257"/>
      <c r="SUB15" s="257"/>
      <c r="SUC15" s="257"/>
      <c r="SUD15" s="257"/>
      <c r="SUE15" s="257"/>
      <c r="SUF15" s="257"/>
      <c r="SUG15" s="257"/>
      <c r="SUH15" s="257"/>
      <c r="SUI15" s="257"/>
      <c r="SUJ15" s="257"/>
      <c r="SUK15" s="257"/>
      <c r="SUL15" s="257"/>
      <c r="SUM15" s="257"/>
      <c r="SUN15" s="257"/>
      <c r="SUO15" s="257"/>
      <c r="SUP15" s="257"/>
      <c r="SUQ15" s="257"/>
      <c r="SUR15" s="257"/>
      <c r="SUS15" s="257"/>
      <c r="SUT15" s="257"/>
      <c r="SUU15" s="257"/>
      <c r="SUV15" s="257"/>
      <c r="SUW15" s="257"/>
      <c r="SUX15" s="257"/>
      <c r="SUY15" s="257"/>
      <c r="SUZ15" s="257"/>
      <c r="SVA15" s="257"/>
      <c r="SVB15" s="257"/>
      <c r="SVC15" s="257"/>
      <c r="SVD15" s="257"/>
      <c r="SVE15" s="257"/>
      <c r="SVF15" s="257"/>
      <c r="SVG15" s="257"/>
      <c r="SVH15" s="257"/>
      <c r="SVI15" s="257"/>
      <c r="SVJ15" s="257"/>
      <c r="SVK15" s="257"/>
      <c r="SVL15" s="257"/>
      <c r="SVM15" s="257"/>
      <c r="SVN15" s="257"/>
      <c r="SVO15" s="257"/>
      <c r="SVP15" s="257"/>
      <c r="SVQ15" s="257"/>
      <c r="SVR15" s="257"/>
      <c r="SVS15" s="257"/>
      <c r="SVT15" s="257"/>
      <c r="SVU15" s="257"/>
      <c r="SVV15" s="257"/>
      <c r="SVW15" s="257"/>
      <c r="SVX15" s="257"/>
      <c r="SVY15" s="257"/>
      <c r="SVZ15" s="257"/>
      <c r="SWA15" s="257"/>
      <c r="SWB15" s="257"/>
      <c r="SWC15" s="257"/>
      <c r="SWD15" s="257"/>
      <c r="SWE15" s="257"/>
      <c r="SWF15" s="257"/>
      <c r="SWG15" s="257"/>
      <c r="SWH15" s="257"/>
      <c r="SWI15" s="257"/>
      <c r="SWJ15" s="257"/>
      <c r="SWK15" s="257"/>
      <c r="SWL15" s="257"/>
      <c r="SWM15" s="257"/>
      <c r="SWN15" s="257"/>
      <c r="SWO15" s="257"/>
      <c r="SWP15" s="257"/>
      <c r="SWQ15" s="257"/>
      <c r="SWR15" s="257"/>
      <c r="SWS15" s="257"/>
      <c r="SWT15" s="257"/>
      <c r="SWU15" s="257"/>
      <c r="SWV15" s="257"/>
      <c r="SWW15" s="257"/>
      <c r="SWX15" s="257"/>
      <c r="SWY15" s="257"/>
      <c r="SWZ15" s="257"/>
      <c r="SXA15" s="257"/>
      <c r="SXB15" s="257"/>
      <c r="SXC15" s="257"/>
      <c r="SXD15" s="257"/>
      <c r="SXE15" s="257"/>
      <c r="SXF15" s="257"/>
      <c r="SXG15" s="257"/>
      <c r="SXH15" s="257"/>
      <c r="SXI15" s="257"/>
      <c r="SXJ15" s="257"/>
      <c r="SXK15" s="257"/>
      <c r="SXL15" s="257"/>
      <c r="SXM15" s="257"/>
      <c r="SXN15" s="257"/>
      <c r="SXO15" s="257"/>
      <c r="SXP15" s="257"/>
      <c r="SXQ15" s="257"/>
      <c r="SXR15" s="257"/>
      <c r="SXS15" s="257"/>
      <c r="SXT15" s="257"/>
      <c r="SXU15" s="257"/>
      <c r="SXV15" s="257"/>
      <c r="SXW15" s="257"/>
      <c r="SXX15" s="257"/>
      <c r="SXY15" s="257"/>
      <c r="SXZ15" s="257"/>
      <c r="SYA15" s="257"/>
      <c r="SYB15" s="257"/>
      <c r="SYC15" s="257"/>
      <c r="SYD15" s="257"/>
      <c r="SYE15" s="257"/>
      <c r="SYF15" s="257"/>
      <c r="SYG15" s="257"/>
      <c r="SYH15" s="257"/>
      <c r="SYI15" s="257"/>
      <c r="SYJ15" s="257"/>
      <c r="SYK15" s="257"/>
      <c r="SYL15" s="257"/>
      <c r="SYM15" s="257"/>
      <c r="SYN15" s="257"/>
      <c r="SYO15" s="257"/>
      <c r="SYP15" s="257"/>
      <c r="SYQ15" s="257"/>
      <c r="SYR15" s="257"/>
      <c r="SYS15" s="257"/>
      <c r="SYT15" s="257"/>
      <c r="SYU15" s="257"/>
      <c r="SYV15" s="257"/>
      <c r="SYW15" s="257"/>
      <c r="SYX15" s="257"/>
      <c r="SYY15" s="257"/>
      <c r="SYZ15" s="257"/>
      <c r="SZA15" s="257"/>
      <c r="SZB15" s="257"/>
      <c r="SZC15" s="257"/>
      <c r="SZD15" s="257"/>
      <c r="SZE15" s="257"/>
      <c r="SZF15" s="257"/>
      <c r="SZG15" s="257"/>
      <c r="SZH15" s="257"/>
      <c r="SZI15" s="257"/>
      <c r="SZJ15" s="257"/>
      <c r="SZK15" s="257"/>
      <c r="SZL15" s="257"/>
      <c r="SZM15" s="257"/>
      <c r="SZN15" s="257"/>
      <c r="SZO15" s="257"/>
      <c r="SZP15" s="257"/>
      <c r="SZQ15" s="257"/>
      <c r="SZR15" s="257"/>
      <c r="SZS15" s="257"/>
      <c r="SZT15" s="257"/>
      <c r="SZU15" s="257"/>
      <c r="SZV15" s="257"/>
      <c r="SZW15" s="257"/>
      <c r="SZX15" s="257"/>
      <c r="SZY15" s="257"/>
      <c r="SZZ15" s="257"/>
      <c r="TAA15" s="257"/>
      <c r="TAB15" s="257"/>
      <c r="TAC15" s="257"/>
      <c r="TAD15" s="257"/>
      <c r="TAE15" s="257"/>
      <c r="TAF15" s="257"/>
      <c r="TAG15" s="257"/>
      <c r="TAH15" s="257"/>
      <c r="TAI15" s="257"/>
      <c r="TAJ15" s="257"/>
      <c r="TAK15" s="257"/>
      <c r="TAL15" s="257"/>
      <c r="TAM15" s="257"/>
      <c r="TAN15" s="257"/>
      <c r="TAO15" s="257"/>
      <c r="TAP15" s="257"/>
      <c r="TAQ15" s="257"/>
      <c r="TAR15" s="257"/>
      <c r="TAS15" s="257"/>
      <c r="TAT15" s="257"/>
      <c r="TAU15" s="257"/>
      <c r="TAV15" s="257"/>
      <c r="TAW15" s="257"/>
      <c r="TAX15" s="257"/>
      <c r="TAY15" s="257"/>
      <c r="TAZ15" s="257"/>
      <c r="TBA15" s="257"/>
      <c r="TBB15" s="257"/>
      <c r="TBC15" s="257"/>
      <c r="TBD15" s="257"/>
      <c r="TBE15" s="257"/>
      <c r="TBF15" s="257"/>
      <c r="TBG15" s="257"/>
      <c r="TBH15" s="257"/>
      <c r="TBI15" s="257"/>
      <c r="TBJ15" s="257"/>
      <c r="TBK15" s="257"/>
      <c r="TBL15" s="257"/>
      <c r="TBM15" s="257"/>
      <c r="TBN15" s="257"/>
      <c r="TBO15" s="257"/>
      <c r="TBP15" s="257"/>
      <c r="TBQ15" s="257"/>
      <c r="TBR15" s="257"/>
      <c r="TBS15" s="257"/>
      <c r="TBT15" s="257"/>
      <c r="TBU15" s="257"/>
      <c r="TBV15" s="257"/>
      <c r="TBW15" s="257"/>
      <c r="TBX15" s="257"/>
      <c r="TBY15" s="257"/>
      <c r="TBZ15" s="257"/>
      <c r="TCA15" s="257"/>
      <c r="TCB15" s="257"/>
      <c r="TCC15" s="257"/>
      <c r="TCD15" s="257"/>
      <c r="TCE15" s="257"/>
      <c r="TCF15" s="257"/>
      <c r="TCG15" s="257"/>
      <c r="TCH15" s="257"/>
      <c r="TCI15" s="257"/>
      <c r="TCJ15" s="257"/>
      <c r="TCK15" s="257"/>
      <c r="TCL15" s="257"/>
      <c r="TCM15" s="257"/>
      <c r="TCN15" s="257"/>
      <c r="TCO15" s="257"/>
      <c r="TCP15" s="257"/>
      <c r="TCQ15" s="257"/>
      <c r="TCR15" s="257"/>
      <c r="TCS15" s="257"/>
      <c r="TCT15" s="257"/>
      <c r="TCU15" s="257"/>
      <c r="TCV15" s="257"/>
      <c r="TCW15" s="257"/>
      <c r="TCX15" s="257"/>
      <c r="TCY15" s="257"/>
      <c r="TCZ15" s="257"/>
      <c r="TDA15" s="257"/>
      <c r="TDB15" s="257"/>
      <c r="TDC15" s="257"/>
      <c r="TDD15" s="257"/>
      <c r="TDE15" s="257"/>
      <c r="TDF15" s="257"/>
      <c r="TDG15" s="257"/>
      <c r="TDH15" s="257"/>
      <c r="TDI15" s="257"/>
      <c r="TDJ15" s="257"/>
      <c r="TDK15" s="257"/>
      <c r="TDL15" s="257"/>
      <c r="TDM15" s="257"/>
      <c r="TDN15" s="257"/>
      <c r="TDO15" s="257"/>
      <c r="TDP15" s="257"/>
      <c r="TDQ15" s="257"/>
      <c r="TDR15" s="257"/>
      <c r="TDS15" s="257"/>
      <c r="TDT15" s="257"/>
      <c r="TDU15" s="257"/>
      <c r="TDV15" s="257"/>
      <c r="TDW15" s="257"/>
      <c r="TDX15" s="257"/>
      <c r="TDY15" s="257"/>
      <c r="TDZ15" s="257"/>
      <c r="TEA15" s="257"/>
      <c r="TEB15" s="257"/>
      <c r="TEC15" s="257"/>
      <c r="TED15" s="257"/>
      <c r="TEE15" s="257"/>
      <c r="TEF15" s="257"/>
      <c r="TEG15" s="257"/>
      <c r="TEH15" s="257"/>
      <c r="TEI15" s="257"/>
      <c r="TEJ15" s="257"/>
      <c r="TEK15" s="257"/>
      <c r="TEL15" s="257"/>
      <c r="TEM15" s="257"/>
      <c r="TEN15" s="257"/>
      <c r="TEO15" s="257"/>
      <c r="TEP15" s="257"/>
      <c r="TEQ15" s="257"/>
      <c r="TER15" s="257"/>
      <c r="TES15" s="257"/>
      <c r="TET15" s="257"/>
      <c r="TEU15" s="257"/>
      <c r="TEV15" s="257"/>
      <c r="TEW15" s="257"/>
      <c r="TEX15" s="257"/>
      <c r="TEY15" s="257"/>
      <c r="TEZ15" s="257"/>
      <c r="TFA15" s="257"/>
      <c r="TFB15" s="257"/>
      <c r="TFC15" s="257"/>
      <c r="TFD15" s="257"/>
      <c r="TFE15" s="257"/>
      <c r="TFF15" s="257"/>
      <c r="TFG15" s="257"/>
      <c r="TFH15" s="257"/>
      <c r="TFI15" s="257"/>
      <c r="TFJ15" s="257"/>
      <c r="TFK15" s="257"/>
      <c r="TFL15" s="257"/>
      <c r="TFM15" s="257"/>
      <c r="TFN15" s="257"/>
      <c r="TFO15" s="257"/>
      <c r="TFP15" s="257"/>
      <c r="TFQ15" s="257"/>
      <c r="TFR15" s="257"/>
      <c r="TFS15" s="257"/>
      <c r="TFT15" s="257"/>
      <c r="TFU15" s="257"/>
      <c r="TFV15" s="257"/>
      <c r="TFW15" s="257"/>
      <c r="TFX15" s="257"/>
      <c r="TFY15" s="257"/>
      <c r="TFZ15" s="257"/>
      <c r="TGA15" s="257"/>
      <c r="TGB15" s="257"/>
      <c r="TGC15" s="257"/>
      <c r="TGD15" s="257"/>
      <c r="TGE15" s="257"/>
      <c r="TGF15" s="257"/>
      <c r="TGG15" s="257"/>
      <c r="TGH15" s="257"/>
      <c r="TGI15" s="257"/>
      <c r="TGJ15" s="257"/>
      <c r="TGK15" s="257"/>
      <c r="TGL15" s="257"/>
      <c r="TGM15" s="257"/>
      <c r="TGN15" s="257"/>
      <c r="TGO15" s="257"/>
      <c r="TGP15" s="257"/>
      <c r="TGQ15" s="257"/>
      <c r="TGR15" s="257"/>
      <c r="TGS15" s="257"/>
      <c r="TGT15" s="257"/>
      <c r="TGU15" s="257"/>
      <c r="TGV15" s="257"/>
      <c r="TGW15" s="257"/>
      <c r="TGX15" s="257"/>
      <c r="TGY15" s="257"/>
      <c r="TGZ15" s="257"/>
      <c r="THA15" s="257"/>
      <c r="THB15" s="257"/>
      <c r="THC15" s="257"/>
      <c r="THD15" s="257"/>
      <c r="THE15" s="257"/>
      <c r="THF15" s="257"/>
      <c r="THG15" s="257"/>
      <c r="THH15" s="257"/>
      <c r="THI15" s="257"/>
      <c r="THJ15" s="257"/>
      <c r="THK15" s="257"/>
      <c r="THL15" s="257"/>
      <c r="THM15" s="257"/>
      <c r="THN15" s="257"/>
      <c r="THO15" s="257"/>
      <c r="THP15" s="257"/>
      <c r="THQ15" s="257"/>
      <c r="THR15" s="257"/>
      <c r="THS15" s="257"/>
      <c r="THT15" s="257"/>
      <c r="THU15" s="257"/>
      <c r="THV15" s="257"/>
      <c r="THW15" s="257"/>
      <c r="THX15" s="257"/>
      <c r="THY15" s="257"/>
      <c r="THZ15" s="257"/>
      <c r="TIA15" s="257"/>
      <c r="TIB15" s="257"/>
      <c r="TIC15" s="257"/>
      <c r="TID15" s="257"/>
      <c r="TIE15" s="257"/>
      <c r="TIF15" s="257"/>
      <c r="TIG15" s="257"/>
      <c r="TIH15" s="257"/>
      <c r="TII15" s="257"/>
      <c r="TIJ15" s="257"/>
      <c r="TIK15" s="257"/>
      <c r="TIL15" s="257"/>
      <c r="TIM15" s="257"/>
      <c r="TIN15" s="257"/>
      <c r="TIO15" s="257"/>
      <c r="TIP15" s="257"/>
      <c r="TIQ15" s="257"/>
      <c r="TIR15" s="257"/>
      <c r="TIS15" s="257"/>
      <c r="TIT15" s="257"/>
      <c r="TIU15" s="257"/>
      <c r="TIV15" s="257"/>
      <c r="TIW15" s="257"/>
      <c r="TIX15" s="257"/>
      <c r="TIY15" s="257"/>
      <c r="TIZ15" s="257"/>
      <c r="TJA15" s="257"/>
      <c r="TJB15" s="257"/>
      <c r="TJC15" s="257"/>
      <c r="TJD15" s="257"/>
      <c r="TJE15" s="257"/>
      <c r="TJF15" s="257"/>
      <c r="TJG15" s="257"/>
      <c r="TJH15" s="257"/>
      <c r="TJI15" s="257"/>
      <c r="TJJ15" s="257"/>
      <c r="TJK15" s="257"/>
      <c r="TJL15" s="257"/>
      <c r="TJM15" s="257"/>
      <c r="TJN15" s="257"/>
      <c r="TJO15" s="257"/>
      <c r="TJP15" s="257"/>
      <c r="TJQ15" s="257"/>
      <c r="TJR15" s="257"/>
      <c r="TJS15" s="257"/>
      <c r="TJT15" s="257"/>
      <c r="TJU15" s="257"/>
      <c r="TJV15" s="257"/>
      <c r="TJW15" s="257"/>
      <c r="TJX15" s="257"/>
      <c r="TJY15" s="257"/>
      <c r="TJZ15" s="257"/>
      <c r="TKA15" s="257"/>
      <c r="TKB15" s="257"/>
      <c r="TKC15" s="257"/>
      <c r="TKD15" s="257"/>
      <c r="TKE15" s="257"/>
      <c r="TKF15" s="257"/>
      <c r="TKG15" s="257"/>
      <c r="TKH15" s="257"/>
      <c r="TKI15" s="257"/>
      <c r="TKJ15" s="257"/>
      <c r="TKK15" s="257"/>
      <c r="TKL15" s="257"/>
      <c r="TKM15" s="257"/>
      <c r="TKN15" s="257"/>
      <c r="TKO15" s="257"/>
      <c r="TKP15" s="257"/>
      <c r="TKQ15" s="257"/>
      <c r="TKR15" s="257"/>
      <c r="TKS15" s="257"/>
      <c r="TKT15" s="257"/>
      <c r="TKU15" s="257"/>
      <c r="TKV15" s="257"/>
      <c r="TKW15" s="257"/>
      <c r="TKX15" s="257"/>
      <c r="TKY15" s="257"/>
      <c r="TKZ15" s="257"/>
      <c r="TLA15" s="257"/>
      <c r="TLB15" s="257"/>
      <c r="TLC15" s="257"/>
      <c r="TLD15" s="257"/>
      <c r="TLE15" s="257"/>
      <c r="TLF15" s="257"/>
      <c r="TLG15" s="257"/>
      <c r="TLH15" s="257"/>
      <c r="TLI15" s="257"/>
      <c r="TLJ15" s="257"/>
      <c r="TLK15" s="257"/>
      <c r="TLL15" s="257"/>
      <c r="TLM15" s="257"/>
      <c r="TLN15" s="257"/>
      <c r="TLO15" s="257"/>
      <c r="TLP15" s="257"/>
      <c r="TLQ15" s="257"/>
      <c r="TLR15" s="257"/>
      <c r="TLS15" s="257"/>
      <c r="TLT15" s="257"/>
      <c r="TLU15" s="257"/>
      <c r="TLV15" s="257"/>
      <c r="TLW15" s="257"/>
      <c r="TLX15" s="257"/>
      <c r="TLY15" s="257"/>
      <c r="TLZ15" s="257"/>
      <c r="TMA15" s="257"/>
      <c r="TMB15" s="257"/>
      <c r="TMC15" s="257"/>
      <c r="TMD15" s="257"/>
      <c r="TME15" s="257"/>
      <c r="TMF15" s="257"/>
      <c r="TMG15" s="257"/>
      <c r="TMH15" s="257"/>
      <c r="TMI15" s="257"/>
      <c r="TMJ15" s="257"/>
      <c r="TMK15" s="257"/>
      <c r="TML15" s="257"/>
      <c r="TMM15" s="257"/>
      <c r="TMN15" s="257"/>
      <c r="TMO15" s="257"/>
      <c r="TMP15" s="257"/>
      <c r="TMQ15" s="257"/>
      <c r="TMR15" s="257"/>
      <c r="TMS15" s="257"/>
      <c r="TMT15" s="257"/>
      <c r="TMU15" s="257"/>
      <c r="TMV15" s="257"/>
      <c r="TMW15" s="257"/>
      <c r="TMX15" s="257"/>
      <c r="TMY15" s="257"/>
      <c r="TMZ15" s="257"/>
      <c r="TNA15" s="257"/>
      <c r="TNB15" s="257"/>
      <c r="TNC15" s="257"/>
      <c r="TND15" s="257"/>
      <c r="TNE15" s="257"/>
      <c r="TNF15" s="257"/>
      <c r="TNG15" s="257"/>
      <c r="TNH15" s="257"/>
      <c r="TNI15" s="257"/>
      <c r="TNJ15" s="257"/>
      <c r="TNK15" s="257"/>
      <c r="TNL15" s="257"/>
      <c r="TNM15" s="257"/>
      <c r="TNN15" s="257"/>
      <c r="TNO15" s="257"/>
      <c r="TNP15" s="257"/>
      <c r="TNQ15" s="257"/>
      <c r="TNR15" s="257"/>
      <c r="TNS15" s="257"/>
      <c r="TNT15" s="257"/>
      <c r="TNU15" s="257"/>
      <c r="TNV15" s="257"/>
      <c r="TNW15" s="257"/>
      <c r="TNX15" s="257"/>
      <c r="TNY15" s="257"/>
      <c r="TNZ15" s="257"/>
      <c r="TOA15" s="257"/>
      <c r="TOB15" s="257"/>
      <c r="TOC15" s="257"/>
      <c r="TOD15" s="257"/>
      <c r="TOE15" s="257"/>
      <c r="TOF15" s="257"/>
      <c r="TOG15" s="257"/>
      <c r="TOH15" s="257"/>
      <c r="TOI15" s="257"/>
      <c r="TOJ15" s="257"/>
      <c r="TOK15" s="257"/>
      <c r="TOL15" s="257"/>
      <c r="TOM15" s="257"/>
      <c r="TON15" s="257"/>
      <c r="TOO15" s="257"/>
      <c r="TOP15" s="257"/>
      <c r="TOQ15" s="257"/>
      <c r="TOR15" s="257"/>
      <c r="TOS15" s="257"/>
      <c r="TOT15" s="257"/>
      <c r="TOU15" s="257"/>
      <c r="TOV15" s="257"/>
      <c r="TOW15" s="257"/>
      <c r="TOX15" s="257"/>
      <c r="TOY15" s="257"/>
      <c r="TOZ15" s="257"/>
      <c r="TPA15" s="257"/>
      <c r="TPB15" s="257"/>
      <c r="TPC15" s="257"/>
      <c r="TPD15" s="257"/>
      <c r="TPE15" s="257"/>
      <c r="TPF15" s="257"/>
      <c r="TPG15" s="257"/>
      <c r="TPH15" s="257"/>
      <c r="TPI15" s="257"/>
      <c r="TPJ15" s="257"/>
      <c r="TPK15" s="257"/>
      <c r="TPL15" s="257"/>
      <c r="TPM15" s="257"/>
      <c r="TPN15" s="257"/>
      <c r="TPO15" s="257"/>
      <c r="TPP15" s="257"/>
      <c r="TPQ15" s="257"/>
      <c r="TPR15" s="257"/>
      <c r="TPS15" s="257"/>
      <c r="TPT15" s="257"/>
      <c r="TPU15" s="257"/>
      <c r="TPV15" s="257"/>
      <c r="TPW15" s="257"/>
      <c r="TPX15" s="257"/>
      <c r="TPY15" s="257"/>
      <c r="TPZ15" s="257"/>
      <c r="TQA15" s="257"/>
      <c r="TQB15" s="257"/>
      <c r="TQC15" s="257"/>
      <c r="TQD15" s="257"/>
      <c r="TQE15" s="257"/>
      <c r="TQF15" s="257"/>
      <c r="TQG15" s="257"/>
      <c r="TQH15" s="257"/>
      <c r="TQI15" s="257"/>
      <c r="TQJ15" s="257"/>
      <c r="TQK15" s="257"/>
      <c r="TQL15" s="257"/>
      <c r="TQM15" s="257"/>
      <c r="TQN15" s="257"/>
      <c r="TQO15" s="257"/>
      <c r="TQP15" s="257"/>
      <c r="TQQ15" s="257"/>
      <c r="TQR15" s="257"/>
      <c r="TQS15" s="257"/>
      <c r="TQT15" s="257"/>
      <c r="TQU15" s="257"/>
      <c r="TQV15" s="257"/>
      <c r="TQW15" s="257"/>
      <c r="TQX15" s="257"/>
      <c r="TQY15" s="257"/>
      <c r="TQZ15" s="257"/>
      <c r="TRA15" s="257"/>
      <c r="TRB15" s="257"/>
      <c r="TRC15" s="257"/>
      <c r="TRD15" s="257"/>
      <c r="TRE15" s="257"/>
      <c r="TRF15" s="257"/>
      <c r="TRG15" s="257"/>
      <c r="TRH15" s="257"/>
      <c r="TRI15" s="257"/>
      <c r="TRJ15" s="257"/>
      <c r="TRK15" s="257"/>
      <c r="TRL15" s="257"/>
      <c r="TRM15" s="257"/>
      <c r="TRN15" s="257"/>
      <c r="TRO15" s="257"/>
      <c r="TRP15" s="257"/>
      <c r="TRQ15" s="257"/>
      <c r="TRR15" s="257"/>
      <c r="TRS15" s="257"/>
      <c r="TRT15" s="257"/>
      <c r="TRU15" s="257"/>
      <c r="TRV15" s="257"/>
      <c r="TRW15" s="257"/>
      <c r="TRX15" s="257"/>
      <c r="TRY15" s="257"/>
      <c r="TRZ15" s="257"/>
      <c r="TSA15" s="257"/>
      <c r="TSB15" s="257"/>
      <c r="TSC15" s="257"/>
      <c r="TSD15" s="257"/>
      <c r="TSE15" s="257"/>
      <c r="TSF15" s="257"/>
      <c r="TSG15" s="257"/>
      <c r="TSH15" s="257"/>
      <c r="TSI15" s="257"/>
      <c r="TSJ15" s="257"/>
      <c r="TSK15" s="257"/>
      <c r="TSL15" s="257"/>
      <c r="TSM15" s="257"/>
      <c r="TSN15" s="257"/>
      <c r="TSO15" s="257"/>
      <c r="TSP15" s="257"/>
      <c r="TSQ15" s="257"/>
      <c r="TSR15" s="257"/>
      <c r="TSS15" s="257"/>
      <c r="TST15" s="257"/>
      <c r="TSU15" s="257"/>
      <c r="TSV15" s="257"/>
      <c r="TSW15" s="257"/>
      <c r="TSX15" s="257"/>
      <c r="TSY15" s="257"/>
      <c r="TSZ15" s="257"/>
      <c r="TTA15" s="257"/>
      <c r="TTB15" s="257"/>
      <c r="TTC15" s="257"/>
      <c r="TTD15" s="257"/>
      <c r="TTE15" s="257"/>
      <c r="TTF15" s="257"/>
      <c r="TTG15" s="257"/>
      <c r="TTH15" s="257"/>
      <c r="TTI15" s="257"/>
      <c r="TTJ15" s="257"/>
      <c r="TTK15" s="257"/>
      <c r="TTL15" s="257"/>
      <c r="TTM15" s="257"/>
      <c r="TTN15" s="257"/>
      <c r="TTO15" s="257"/>
      <c r="TTP15" s="257"/>
      <c r="TTQ15" s="257"/>
      <c r="TTR15" s="257"/>
      <c r="TTS15" s="257"/>
      <c r="TTT15" s="257"/>
      <c r="TTU15" s="257"/>
      <c r="TTV15" s="257"/>
      <c r="TTW15" s="257"/>
      <c r="TTX15" s="257"/>
      <c r="TTY15" s="257"/>
      <c r="TTZ15" s="257"/>
      <c r="TUA15" s="257"/>
      <c r="TUB15" s="257"/>
      <c r="TUC15" s="257"/>
      <c r="TUD15" s="257"/>
      <c r="TUE15" s="257"/>
      <c r="TUF15" s="257"/>
      <c r="TUG15" s="257"/>
      <c r="TUH15" s="257"/>
      <c r="TUI15" s="257"/>
      <c r="TUJ15" s="257"/>
      <c r="TUK15" s="257"/>
      <c r="TUL15" s="257"/>
      <c r="TUM15" s="257"/>
      <c r="TUN15" s="257"/>
      <c r="TUO15" s="257"/>
      <c r="TUP15" s="257"/>
      <c r="TUQ15" s="257"/>
      <c r="TUR15" s="257"/>
      <c r="TUS15" s="257"/>
      <c r="TUT15" s="257"/>
      <c r="TUU15" s="257"/>
      <c r="TUV15" s="257"/>
      <c r="TUW15" s="257"/>
      <c r="TUX15" s="257"/>
      <c r="TUY15" s="257"/>
      <c r="TUZ15" s="257"/>
      <c r="TVA15" s="257"/>
      <c r="TVB15" s="257"/>
      <c r="TVC15" s="257"/>
      <c r="TVD15" s="257"/>
      <c r="TVE15" s="257"/>
      <c r="TVF15" s="257"/>
      <c r="TVG15" s="257"/>
      <c r="TVH15" s="257"/>
      <c r="TVI15" s="257"/>
      <c r="TVJ15" s="257"/>
      <c r="TVK15" s="257"/>
      <c r="TVL15" s="257"/>
      <c r="TVM15" s="257"/>
      <c r="TVN15" s="257"/>
      <c r="TVO15" s="257"/>
      <c r="TVP15" s="257"/>
      <c r="TVQ15" s="257"/>
      <c r="TVR15" s="257"/>
      <c r="TVS15" s="257"/>
      <c r="TVT15" s="257"/>
      <c r="TVU15" s="257"/>
      <c r="TVV15" s="257"/>
      <c r="TVW15" s="257"/>
      <c r="TVX15" s="257"/>
      <c r="TVY15" s="257"/>
      <c r="TVZ15" s="257"/>
      <c r="TWA15" s="257"/>
      <c r="TWB15" s="257"/>
      <c r="TWC15" s="257"/>
      <c r="TWD15" s="257"/>
      <c r="TWE15" s="257"/>
      <c r="TWF15" s="257"/>
      <c r="TWG15" s="257"/>
      <c r="TWH15" s="257"/>
      <c r="TWI15" s="257"/>
      <c r="TWJ15" s="257"/>
      <c r="TWK15" s="257"/>
      <c r="TWL15" s="257"/>
      <c r="TWM15" s="257"/>
      <c r="TWN15" s="257"/>
      <c r="TWO15" s="257"/>
      <c r="TWP15" s="257"/>
      <c r="TWQ15" s="257"/>
      <c r="TWR15" s="257"/>
      <c r="TWS15" s="257"/>
      <c r="TWT15" s="257"/>
      <c r="TWU15" s="257"/>
      <c r="TWV15" s="257"/>
      <c r="TWW15" s="257"/>
      <c r="TWX15" s="257"/>
      <c r="TWY15" s="257"/>
      <c r="TWZ15" s="257"/>
      <c r="TXA15" s="257"/>
      <c r="TXB15" s="257"/>
      <c r="TXC15" s="257"/>
      <c r="TXD15" s="257"/>
      <c r="TXE15" s="257"/>
      <c r="TXF15" s="257"/>
      <c r="TXG15" s="257"/>
      <c r="TXH15" s="257"/>
      <c r="TXI15" s="257"/>
      <c r="TXJ15" s="257"/>
      <c r="TXK15" s="257"/>
      <c r="TXL15" s="257"/>
      <c r="TXM15" s="257"/>
      <c r="TXN15" s="257"/>
      <c r="TXO15" s="257"/>
      <c r="TXP15" s="257"/>
      <c r="TXQ15" s="257"/>
      <c r="TXR15" s="257"/>
      <c r="TXS15" s="257"/>
      <c r="TXT15" s="257"/>
      <c r="TXU15" s="257"/>
      <c r="TXV15" s="257"/>
      <c r="TXW15" s="257"/>
      <c r="TXX15" s="257"/>
      <c r="TXY15" s="257"/>
      <c r="TXZ15" s="257"/>
      <c r="TYA15" s="257"/>
      <c r="TYB15" s="257"/>
      <c r="TYC15" s="257"/>
      <c r="TYD15" s="257"/>
      <c r="TYE15" s="257"/>
      <c r="TYF15" s="257"/>
      <c r="TYG15" s="257"/>
      <c r="TYH15" s="257"/>
      <c r="TYI15" s="257"/>
      <c r="TYJ15" s="257"/>
      <c r="TYK15" s="257"/>
      <c r="TYL15" s="257"/>
      <c r="TYM15" s="257"/>
      <c r="TYN15" s="257"/>
      <c r="TYO15" s="257"/>
      <c r="TYP15" s="257"/>
      <c r="TYQ15" s="257"/>
      <c r="TYR15" s="257"/>
      <c r="TYS15" s="257"/>
      <c r="TYT15" s="257"/>
      <c r="TYU15" s="257"/>
      <c r="TYV15" s="257"/>
      <c r="TYW15" s="257"/>
      <c r="TYX15" s="257"/>
      <c r="TYY15" s="257"/>
      <c r="TYZ15" s="257"/>
      <c r="TZA15" s="257"/>
      <c r="TZB15" s="257"/>
      <c r="TZC15" s="257"/>
      <c r="TZD15" s="257"/>
      <c r="TZE15" s="257"/>
      <c r="TZF15" s="257"/>
      <c r="TZG15" s="257"/>
      <c r="TZH15" s="257"/>
      <c r="TZI15" s="257"/>
      <c r="TZJ15" s="257"/>
      <c r="TZK15" s="257"/>
      <c r="TZL15" s="257"/>
      <c r="TZM15" s="257"/>
      <c r="TZN15" s="257"/>
      <c r="TZO15" s="257"/>
      <c r="TZP15" s="257"/>
      <c r="TZQ15" s="257"/>
      <c r="TZR15" s="257"/>
      <c r="TZS15" s="257"/>
      <c r="TZT15" s="257"/>
      <c r="TZU15" s="257"/>
      <c r="TZV15" s="257"/>
      <c r="TZW15" s="257"/>
      <c r="TZX15" s="257"/>
      <c r="TZY15" s="257"/>
      <c r="TZZ15" s="257"/>
      <c r="UAA15" s="257"/>
      <c r="UAB15" s="257"/>
      <c r="UAC15" s="257"/>
      <c r="UAD15" s="257"/>
      <c r="UAE15" s="257"/>
      <c r="UAF15" s="257"/>
      <c r="UAG15" s="257"/>
      <c r="UAH15" s="257"/>
      <c r="UAI15" s="257"/>
      <c r="UAJ15" s="257"/>
      <c r="UAK15" s="257"/>
      <c r="UAL15" s="257"/>
      <c r="UAM15" s="257"/>
      <c r="UAN15" s="257"/>
      <c r="UAO15" s="257"/>
      <c r="UAP15" s="257"/>
      <c r="UAQ15" s="257"/>
      <c r="UAR15" s="257"/>
      <c r="UAS15" s="257"/>
      <c r="UAT15" s="257"/>
      <c r="UAU15" s="257"/>
      <c r="UAV15" s="257"/>
      <c r="UAW15" s="257"/>
      <c r="UAX15" s="257"/>
      <c r="UAY15" s="257"/>
      <c r="UAZ15" s="257"/>
      <c r="UBA15" s="257"/>
      <c r="UBB15" s="257"/>
      <c r="UBC15" s="257"/>
      <c r="UBD15" s="257"/>
      <c r="UBE15" s="257"/>
      <c r="UBF15" s="257"/>
      <c r="UBG15" s="257"/>
      <c r="UBH15" s="257"/>
      <c r="UBI15" s="257"/>
      <c r="UBJ15" s="257"/>
      <c r="UBK15" s="257"/>
      <c r="UBL15" s="257"/>
      <c r="UBM15" s="257"/>
      <c r="UBN15" s="257"/>
      <c r="UBO15" s="257"/>
      <c r="UBP15" s="257"/>
      <c r="UBQ15" s="257"/>
      <c r="UBR15" s="257"/>
      <c r="UBS15" s="257"/>
      <c r="UBT15" s="257"/>
      <c r="UBU15" s="257"/>
      <c r="UBV15" s="257"/>
      <c r="UBW15" s="257"/>
      <c r="UBX15" s="257"/>
      <c r="UBY15" s="257"/>
      <c r="UBZ15" s="257"/>
      <c r="UCA15" s="257"/>
      <c r="UCB15" s="257"/>
      <c r="UCC15" s="257"/>
      <c r="UCD15" s="257"/>
      <c r="UCE15" s="257"/>
      <c r="UCF15" s="257"/>
      <c r="UCG15" s="257"/>
      <c r="UCH15" s="257"/>
      <c r="UCI15" s="257"/>
      <c r="UCJ15" s="257"/>
      <c r="UCK15" s="257"/>
      <c r="UCL15" s="257"/>
      <c r="UCM15" s="257"/>
      <c r="UCN15" s="257"/>
      <c r="UCO15" s="257"/>
      <c r="UCP15" s="257"/>
      <c r="UCQ15" s="257"/>
      <c r="UCR15" s="257"/>
      <c r="UCS15" s="257"/>
      <c r="UCT15" s="257"/>
      <c r="UCU15" s="257"/>
      <c r="UCV15" s="257"/>
      <c r="UCW15" s="257"/>
      <c r="UCX15" s="257"/>
      <c r="UCY15" s="257"/>
      <c r="UCZ15" s="257"/>
      <c r="UDA15" s="257"/>
      <c r="UDB15" s="257"/>
      <c r="UDC15" s="257"/>
      <c r="UDD15" s="257"/>
      <c r="UDE15" s="257"/>
      <c r="UDF15" s="257"/>
      <c r="UDG15" s="257"/>
      <c r="UDH15" s="257"/>
      <c r="UDI15" s="257"/>
      <c r="UDJ15" s="257"/>
      <c r="UDK15" s="257"/>
      <c r="UDL15" s="257"/>
      <c r="UDM15" s="257"/>
      <c r="UDN15" s="257"/>
      <c r="UDO15" s="257"/>
      <c r="UDP15" s="257"/>
      <c r="UDQ15" s="257"/>
      <c r="UDR15" s="257"/>
      <c r="UDS15" s="257"/>
      <c r="UDT15" s="257"/>
      <c r="UDU15" s="257"/>
      <c r="UDV15" s="257"/>
      <c r="UDW15" s="257"/>
      <c r="UDX15" s="257"/>
      <c r="UDY15" s="257"/>
      <c r="UDZ15" s="257"/>
      <c r="UEA15" s="257"/>
      <c r="UEB15" s="257"/>
      <c r="UEC15" s="257"/>
      <c r="UED15" s="257"/>
      <c r="UEE15" s="257"/>
      <c r="UEF15" s="257"/>
      <c r="UEG15" s="257"/>
      <c r="UEH15" s="257"/>
      <c r="UEI15" s="257"/>
      <c r="UEJ15" s="257"/>
      <c r="UEK15" s="257"/>
      <c r="UEL15" s="257"/>
      <c r="UEM15" s="257"/>
      <c r="UEN15" s="257"/>
      <c r="UEO15" s="257"/>
      <c r="UEP15" s="257"/>
      <c r="UEQ15" s="257"/>
      <c r="UER15" s="257"/>
      <c r="UES15" s="257"/>
      <c r="UET15" s="257"/>
      <c r="UEU15" s="257"/>
      <c r="UEV15" s="257"/>
      <c r="UEW15" s="257"/>
      <c r="UEX15" s="257"/>
      <c r="UEY15" s="257"/>
      <c r="UEZ15" s="257"/>
      <c r="UFA15" s="257"/>
      <c r="UFB15" s="257"/>
      <c r="UFC15" s="257"/>
      <c r="UFD15" s="257"/>
      <c r="UFE15" s="257"/>
      <c r="UFF15" s="257"/>
      <c r="UFG15" s="257"/>
      <c r="UFH15" s="257"/>
      <c r="UFI15" s="257"/>
      <c r="UFJ15" s="257"/>
      <c r="UFK15" s="257"/>
      <c r="UFL15" s="257"/>
      <c r="UFM15" s="257"/>
      <c r="UFN15" s="257"/>
      <c r="UFO15" s="257"/>
      <c r="UFP15" s="257"/>
      <c r="UFQ15" s="257"/>
      <c r="UFR15" s="257"/>
      <c r="UFS15" s="257"/>
      <c r="UFT15" s="257"/>
      <c r="UFU15" s="257"/>
      <c r="UFV15" s="257"/>
      <c r="UFW15" s="257"/>
      <c r="UFX15" s="257"/>
      <c r="UFY15" s="257"/>
      <c r="UFZ15" s="257"/>
      <c r="UGA15" s="257"/>
      <c r="UGB15" s="257"/>
      <c r="UGC15" s="257"/>
      <c r="UGD15" s="257"/>
      <c r="UGE15" s="257"/>
      <c r="UGF15" s="257"/>
      <c r="UGG15" s="257"/>
      <c r="UGH15" s="257"/>
      <c r="UGI15" s="257"/>
      <c r="UGJ15" s="257"/>
      <c r="UGK15" s="257"/>
      <c r="UGL15" s="257"/>
      <c r="UGM15" s="257"/>
      <c r="UGN15" s="257"/>
      <c r="UGO15" s="257"/>
      <c r="UGP15" s="257"/>
      <c r="UGQ15" s="257"/>
      <c r="UGR15" s="257"/>
      <c r="UGS15" s="257"/>
      <c r="UGT15" s="257"/>
      <c r="UGU15" s="257"/>
      <c r="UGV15" s="257"/>
      <c r="UGW15" s="257"/>
      <c r="UGX15" s="257"/>
      <c r="UGY15" s="257"/>
      <c r="UGZ15" s="257"/>
      <c r="UHA15" s="257"/>
      <c r="UHB15" s="257"/>
      <c r="UHC15" s="257"/>
      <c r="UHD15" s="257"/>
      <c r="UHE15" s="257"/>
      <c r="UHF15" s="257"/>
      <c r="UHG15" s="257"/>
      <c r="UHH15" s="257"/>
      <c r="UHI15" s="257"/>
      <c r="UHJ15" s="257"/>
      <c r="UHK15" s="257"/>
      <c r="UHL15" s="257"/>
      <c r="UHM15" s="257"/>
      <c r="UHN15" s="257"/>
      <c r="UHO15" s="257"/>
      <c r="UHP15" s="257"/>
      <c r="UHQ15" s="257"/>
      <c r="UHR15" s="257"/>
      <c r="UHS15" s="257"/>
      <c r="UHT15" s="257"/>
      <c r="UHU15" s="257"/>
      <c r="UHV15" s="257"/>
      <c r="UHW15" s="257"/>
      <c r="UHX15" s="257"/>
      <c r="UHY15" s="257"/>
      <c r="UHZ15" s="257"/>
      <c r="UIA15" s="257"/>
      <c r="UIB15" s="257"/>
      <c r="UIC15" s="257"/>
      <c r="UID15" s="257"/>
      <c r="UIE15" s="257"/>
      <c r="UIF15" s="257"/>
      <c r="UIG15" s="257"/>
      <c r="UIH15" s="257"/>
      <c r="UII15" s="257"/>
      <c r="UIJ15" s="257"/>
      <c r="UIK15" s="257"/>
      <c r="UIL15" s="257"/>
      <c r="UIM15" s="257"/>
      <c r="UIN15" s="257"/>
      <c r="UIO15" s="257"/>
      <c r="UIP15" s="257"/>
      <c r="UIQ15" s="257"/>
      <c r="UIR15" s="257"/>
      <c r="UIS15" s="257"/>
      <c r="UIT15" s="257"/>
      <c r="UIU15" s="257"/>
      <c r="UIV15" s="257"/>
      <c r="UIW15" s="257"/>
      <c r="UIX15" s="257"/>
      <c r="UIY15" s="257"/>
      <c r="UIZ15" s="257"/>
      <c r="UJA15" s="257"/>
      <c r="UJB15" s="257"/>
      <c r="UJC15" s="257"/>
      <c r="UJD15" s="257"/>
      <c r="UJE15" s="257"/>
      <c r="UJF15" s="257"/>
      <c r="UJG15" s="257"/>
      <c r="UJH15" s="257"/>
      <c r="UJI15" s="257"/>
      <c r="UJJ15" s="257"/>
      <c r="UJK15" s="257"/>
      <c r="UJL15" s="257"/>
      <c r="UJM15" s="257"/>
      <c r="UJN15" s="257"/>
      <c r="UJO15" s="257"/>
      <c r="UJP15" s="257"/>
      <c r="UJQ15" s="257"/>
      <c r="UJR15" s="257"/>
      <c r="UJS15" s="257"/>
      <c r="UJT15" s="257"/>
      <c r="UJU15" s="257"/>
      <c r="UJV15" s="257"/>
      <c r="UJW15" s="257"/>
      <c r="UJX15" s="257"/>
      <c r="UJY15" s="257"/>
      <c r="UJZ15" s="257"/>
      <c r="UKA15" s="257"/>
      <c r="UKB15" s="257"/>
      <c r="UKC15" s="257"/>
      <c r="UKD15" s="257"/>
      <c r="UKE15" s="257"/>
      <c r="UKF15" s="257"/>
      <c r="UKG15" s="257"/>
      <c r="UKH15" s="257"/>
      <c r="UKI15" s="257"/>
      <c r="UKJ15" s="257"/>
      <c r="UKK15" s="257"/>
      <c r="UKL15" s="257"/>
      <c r="UKM15" s="257"/>
      <c r="UKN15" s="257"/>
      <c r="UKO15" s="257"/>
      <c r="UKP15" s="257"/>
      <c r="UKQ15" s="257"/>
      <c r="UKR15" s="257"/>
      <c r="UKS15" s="257"/>
      <c r="UKT15" s="257"/>
      <c r="UKU15" s="257"/>
      <c r="UKV15" s="257"/>
      <c r="UKW15" s="257"/>
      <c r="UKX15" s="257"/>
      <c r="UKY15" s="257"/>
      <c r="UKZ15" s="257"/>
      <c r="ULA15" s="257"/>
      <c r="ULB15" s="257"/>
      <c r="ULC15" s="257"/>
      <c r="ULD15" s="257"/>
      <c r="ULE15" s="257"/>
      <c r="ULF15" s="257"/>
      <c r="ULG15" s="257"/>
      <c r="ULH15" s="257"/>
      <c r="ULI15" s="257"/>
      <c r="ULJ15" s="257"/>
      <c r="ULK15" s="257"/>
      <c r="ULL15" s="257"/>
      <c r="ULM15" s="257"/>
      <c r="ULN15" s="257"/>
      <c r="ULO15" s="257"/>
      <c r="ULP15" s="257"/>
      <c r="ULQ15" s="257"/>
      <c r="ULR15" s="257"/>
      <c r="ULS15" s="257"/>
      <c r="ULT15" s="257"/>
      <c r="ULU15" s="257"/>
      <c r="ULV15" s="257"/>
      <c r="ULW15" s="257"/>
      <c r="ULX15" s="257"/>
      <c r="ULY15" s="257"/>
      <c r="ULZ15" s="257"/>
      <c r="UMA15" s="257"/>
      <c r="UMB15" s="257"/>
      <c r="UMC15" s="257"/>
      <c r="UMD15" s="257"/>
      <c r="UME15" s="257"/>
      <c r="UMF15" s="257"/>
      <c r="UMG15" s="257"/>
      <c r="UMH15" s="257"/>
      <c r="UMI15" s="257"/>
      <c r="UMJ15" s="257"/>
      <c r="UMK15" s="257"/>
      <c r="UML15" s="257"/>
      <c r="UMM15" s="257"/>
      <c r="UMN15" s="257"/>
      <c r="UMO15" s="257"/>
      <c r="UMP15" s="257"/>
      <c r="UMQ15" s="257"/>
      <c r="UMR15" s="257"/>
      <c r="UMS15" s="257"/>
      <c r="UMT15" s="257"/>
      <c r="UMU15" s="257"/>
      <c r="UMV15" s="257"/>
      <c r="UMW15" s="257"/>
      <c r="UMX15" s="257"/>
      <c r="UMY15" s="257"/>
      <c r="UMZ15" s="257"/>
      <c r="UNA15" s="257"/>
      <c r="UNB15" s="257"/>
      <c r="UNC15" s="257"/>
      <c r="UND15" s="257"/>
      <c r="UNE15" s="257"/>
      <c r="UNF15" s="257"/>
      <c r="UNG15" s="257"/>
      <c r="UNH15" s="257"/>
      <c r="UNI15" s="257"/>
      <c r="UNJ15" s="257"/>
      <c r="UNK15" s="257"/>
      <c r="UNL15" s="257"/>
      <c r="UNM15" s="257"/>
      <c r="UNN15" s="257"/>
      <c r="UNO15" s="257"/>
      <c r="UNP15" s="257"/>
      <c r="UNQ15" s="257"/>
      <c r="UNR15" s="257"/>
      <c r="UNS15" s="257"/>
      <c r="UNT15" s="257"/>
      <c r="UNU15" s="257"/>
      <c r="UNV15" s="257"/>
      <c r="UNW15" s="257"/>
      <c r="UNX15" s="257"/>
      <c r="UNY15" s="257"/>
      <c r="UNZ15" s="257"/>
      <c r="UOA15" s="257"/>
      <c r="UOB15" s="257"/>
      <c r="UOC15" s="257"/>
      <c r="UOD15" s="257"/>
      <c r="UOE15" s="257"/>
      <c r="UOF15" s="257"/>
      <c r="UOG15" s="257"/>
      <c r="UOH15" s="257"/>
      <c r="UOI15" s="257"/>
      <c r="UOJ15" s="257"/>
      <c r="UOK15" s="257"/>
      <c r="UOL15" s="257"/>
      <c r="UOM15" s="257"/>
      <c r="UON15" s="257"/>
      <c r="UOO15" s="257"/>
      <c r="UOP15" s="257"/>
      <c r="UOQ15" s="257"/>
      <c r="UOR15" s="257"/>
      <c r="UOS15" s="257"/>
      <c r="UOT15" s="257"/>
      <c r="UOU15" s="257"/>
      <c r="UOV15" s="257"/>
      <c r="UOW15" s="257"/>
      <c r="UOX15" s="257"/>
      <c r="UOY15" s="257"/>
      <c r="UOZ15" s="257"/>
      <c r="UPA15" s="257"/>
      <c r="UPB15" s="257"/>
      <c r="UPC15" s="257"/>
      <c r="UPD15" s="257"/>
      <c r="UPE15" s="257"/>
      <c r="UPF15" s="257"/>
      <c r="UPG15" s="257"/>
      <c r="UPH15" s="257"/>
      <c r="UPI15" s="257"/>
      <c r="UPJ15" s="257"/>
      <c r="UPK15" s="257"/>
      <c r="UPL15" s="257"/>
      <c r="UPM15" s="257"/>
      <c r="UPN15" s="257"/>
      <c r="UPO15" s="257"/>
      <c r="UPP15" s="257"/>
      <c r="UPQ15" s="257"/>
      <c r="UPR15" s="257"/>
      <c r="UPS15" s="257"/>
      <c r="UPT15" s="257"/>
      <c r="UPU15" s="257"/>
      <c r="UPV15" s="257"/>
      <c r="UPW15" s="257"/>
      <c r="UPX15" s="257"/>
      <c r="UPY15" s="257"/>
      <c r="UPZ15" s="257"/>
      <c r="UQA15" s="257"/>
      <c r="UQB15" s="257"/>
      <c r="UQC15" s="257"/>
      <c r="UQD15" s="257"/>
      <c r="UQE15" s="257"/>
      <c r="UQF15" s="257"/>
      <c r="UQG15" s="257"/>
      <c r="UQH15" s="257"/>
      <c r="UQI15" s="257"/>
      <c r="UQJ15" s="257"/>
      <c r="UQK15" s="257"/>
      <c r="UQL15" s="257"/>
      <c r="UQM15" s="257"/>
      <c r="UQN15" s="257"/>
      <c r="UQO15" s="257"/>
      <c r="UQP15" s="257"/>
      <c r="UQQ15" s="257"/>
      <c r="UQR15" s="257"/>
      <c r="UQS15" s="257"/>
      <c r="UQT15" s="257"/>
      <c r="UQU15" s="257"/>
      <c r="UQV15" s="257"/>
      <c r="UQW15" s="257"/>
      <c r="UQX15" s="257"/>
      <c r="UQY15" s="257"/>
      <c r="UQZ15" s="257"/>
      <c r="URA15" s="257"/>
      <c r="URB15" s="257"/>
      <c r="URC15" s="257"/>
      <c r="URD15" s="257"/>
      <c r="URE15" s="257"/>
      <c r="URF15" s="257"/>
      <c r="URG15" s="257"/>
      <c r="URH15" s="257"/>
      <c r="URI15" s="257"/>
      <c r="URJ15" s="257"/>
      <c r="URK15" s="257"/>
      <c r="URL15" s="257"/>
      <c r="URM15" s="257"/>
      <c r="URN15" s="257"/>
      <c r="URO15" s="257"/>
      <c r="URP15" s="257"/>
      <c r="URQ15" s="257"/>
      <c r="URR15" s="257"/>
      <c r="URS15" s="257"/>
      <c r="URT15" s="257"/>
      <c r="URU15" s="257"/>
      <c r="URV15" s="257"/>
      <c r="URW15" s="257"/>
      <c r="URX15" s="257"/>
      <c r="URY15" s="257"/>
      <c r="URZ15" s="257"/>
      <c r="USA15" s="257"/>
      <c r="USB15" s="257"/>
      <c r="USC15" s="257"/>
      <c r="USD15" s="257"/>
      <c r="USE15" s="257"/>
      <c r="USF15" s="257"/>
      <c r="USG15" s="257"/>
      <c r="USH15" s="257"/>
      <c r="USI15" s="257"/>
      <c r="USJ15" s="257"/>
      <c r="USK15" s="257"/>
      <c r="USL15" s="257"/>
      <c r="USM15" s="257"/>
      <c r="USN15" s="257"/>
      <c r="USO15" s="257"/>
      <c r="USP15" s="257"/>
      <c r="USQ15" s="257"/>
      <c r="USR15" s="257"/>
      <c r="USS15" s="257"/>
      <c r="UST15" s="257"/>
      <c r="USU15" s="257"/>
      <c r="USV15" s="257"/>
      <c r="USW15" s="257"/>
      <c r="USX15" s="257"/>
      <c r="USY15" s="257"/>
      <c r="USZ15" s="257"/>
      <c r="UTA15" s="257"/>
      <c r="UTB15" s="257"/>
      <c r="UTC15" s="257"/>
      <c r="UTD15" s="257"/>
      <c r="UTE15" s="257"/>
      <c r="UTF15" s="257"/>
      <c r="UTG15" s="257"/>
      <c r="UTH15" s="257"/>
      <c r="UTI15" s="257"/>
      <c r="UTJ15" s="257"/>
      <c r="UTK15" s="257"/>
      <c r="UTL15" s="257"/>
      <c r="UTM15" s="257"/>
      <c r="UTN15" s="257"/>
      <c r="UTO15" s="257"/>
      <c r="UTP15" s="257"/>
      <c r="UTQ15" s="257"/>
      <c r="UTR15" s="257"/>
      <c r="UTS15" s="257"/>
      <c r="UTT15" s="257"/>
      <c r="UTU15" s="257"/>
      <c r="UTV15" s="257"/>
      <c r="UTW15" s="257"/>
      <c r="UTX15" s="257"/>
      <c r="UTY15" s="257"/>
      <c r="UTZ15" s="257"/>
      <c r="UUA15" s="257"/>
      <c r="UUB15" s="257"/>
      <c r="UUC15" s="257"/>
      <c r="UUD15" s="257"/>
      <c r="UUE15" s="257"/>
      <c r="UUF15" s="257"/>
      <c r="UUG15" s="257"/>
      <c r="UUH15" s="257"/>
      <c r="UUI15" s="257"/>
      <c r="UUJ15" s="257"/>
      <c r="UUK15" s="257"/>
      <c r="UUL15" s="257"/>
      <c r="UUM15" s="257"/>
      <c r="UUN15" s="257"/>
      <c r="UUO15" s="257"/>
      <c r="UUP15" s="257"/>
      <c r="UUQ15" s="257"/>
      <c r="UUR15" s="257"/>
      <c r="UUS15" s="257"/>
      <c r="UUT15" s="257"/>
      <c r="UUU15" s="257"/>
      <c r="UUV15" s="257"/>
      <c r="UUW15" s="257"/>
      <c r="UUX15" s="257"/>
      <c r="UUY15" s="257"/>
      <c r="UUZ15" s="257"/>
      <c r="UVA15" s="257"/>
      <c r="UVB15" s="257"/>
      <c r="UVC15" s="257"/>
      <c r="UVD15" s="257"/>
      <c r="UVE15" s="257"/>
      <c r="UVF15" s="257"/>
      <c r="UVG15" s="257"/>
      <c r="UVH15" s="257"/>
      <c r="UVI15" s="257"/>
      <c r="UVJ15" s="257"/>
      <c r="UVK15" s="257"/>
      <c r="UVL15" s="257"/>
      <c r="UVM15" s="257"/>
      <c r="UVN15" s="257"/>
      <c r="UVO15" s="257"/>
      <c r="UVP15" s="257"/>
      <c r="UVQ15" s="257"/>
      <c r="UVR15" s="257"/>
      <c r="UVS15" s="257"/>
      <c r="UVT15" s="257"/>
      <c r="UVU15" s="257"/>
      <c r="UVV15" s="257"/>
      <c r="UVW15" s="257"/>
      <c r="UVX15" s="257"/>
      <c r="UVY15" s="257"/>
      <c r="UVZ15" s="257"/>
      <c r="UWA15" s="257"/>
      <c r="UWB15" s="257"/>
      <c r="UWC15" s="257"/>
      <c r="UWD15" s="257"/>
      <c r="UWE15" s="257"/>
      <c r="UWF15" s="257"/>
      <c r="UWG15" s="257"/>
      <c r="UWH15" s="257"/>
      <c r="UWI15" s="257"/>
      <c r="UWJ15" s="257"/>
      <c r="UWK15" s="257"/>
      <c r="UWL15" s="257"/>
      <c r="UWM15" s="257"/>
      <c r="UWN15" s="257"/>
      <c r="UWO15" s="257"/>
      <c r="UWP15" s="257"/>
      <c r="UWQ15" s="257"/>
      <c r="UWR15" s="257"/>
      <c r="UWS15" s="257"/>
      <c r="UWT15" s="257"/>
      <c r="UWU15" s="257"/>
      <c r="UWV15" s="257"/>
      <c r="UWW15" s="257"/>
      <c r="UWX15" s="257"/>
      <c r="UWY15" s="257"/>
      <c r="UWZ15" s="257"/>
      <c r="UXA15" s="257"/>
      <c r="UXB15" s="257"/>
      <c r="UXC15" s="257"/>
      <c r="UXD15" s="257"/>
      <c r="UXE15" s="257"/>
      <c r="UXF15" s="257"/>
      <c r="UXG15" s="257"/>
      <c r="UXH15" s="257"/>
      <c r="UXI15" s="257"/>
      <c r="UXJ15" s="257"/>
      <c r="UXK15" s="257"/>
      <c r="UXL15" s="257"/>
      <c r="UXM15" s="257"/>
      <c r="UXN15" s="257"/>
      <c r="UXO15" s="257"/>
      <c r="UXP15" s="257"/>
      <c r="UXQ15" s="257"/>
      <c r="UXR15" s="257"/>
      <c r="UXS15" s="257"/>
      <c r="UXT15" s="257"/>
      <c r="UXU15" s="257"/>
      <c r="UXV15" s="257"/>
      <c r="UXW15" s="257"/>
      <c r="UXX15" s="257"/>
      <c r="UXY15" s="257"/>
      <c r="UXZ15" s="257"/>
      <c r="UYA15" s="257"/>
      <c r="UYB15" s="257"/>
      <c r="UYC15" s="257"/>
      <c r="UYD15" s="257"/>
      <c r="UYE15" s="257"/>
      <c r="UYF15" s="257"/>
      <c r="UYG15" s="257"/>
      <c r="UYH15" s="257"/>
      <c r="UYI15" s="257"/>
      <c r="UYJ15" s="257"/>
      <c r="UYK15" s="257"/>
      <c r="UYL15" s="257"/>
      <c r="UYM15" s="257"/>
      <c r="UYN15" s="257"/>
      <c r="UYO15" s="257"/>
      <c r="UYP15" s="257"/>
      <c r="UYQ15" s="257"/>
      <c r="UYR15" s="257"/>
      <c r="UYS15" s="257"/>
      <c r="UYT15" s="257"/>
      <c r="UYU15" s="257"/>
      <c r="UYV15" s="257"/>
      <c r="UYW15" s="257"/>
      <c r="UYX15" s="257"/>
      <c r="UYY15" s="257"/>
      <c r="UYZ15" s="257"/>
      <c r="UZA15" s="257"/>
      <c r="UZB15" s="257"/>
      <c r="UZC15" s="257"/>
      <c r="UZD15" s="257"/>
      <c r="UZE15" s="257"/>
      <c r="UZF15" s="257"/>
      <c r="UZG15" s="257"/>
      <c r="UZH15" s="257"/>
      <c r="UZI15" s="257"/>
      <c r="UZJ15" s="257"/>
      <c r="UZK15" s="257"/>
      <c r="UZL15" s="257"/>
      <c r="UZM15" s="257"/>
      <c r="UZN15" s="257"/>
      <c r="UZO15" s="257"/>
      <c r="UZP15" s="257"/>
      <c r="UZQ15" s="257"/>
      <c r="UZR15" s="257"/>
      <c r="UZS15" s="257"/>
      <c r="UZT15" s="257"/>
      <c r="UZU15" s="257"/>
      <c r="UZV15" s="257"/>
      <c r="UZW15" s="257"/>
      <c r="UZX15" s="257"/>
      <c r="UZY15" s="257"/>
      <c r="UZZ15" s="257"/>
      <c r="VAA15" s="257"/>
      <c r="VAB15" s="257"/>
      <c r="VAC15" s="257"/>
      <c r="VAD15" s="257"/>
      <c r="VAE15" s="257"/>
      <c r="VAF15" s="257"/>
      <c r="VAG15" s="257"/>
      <c r="VAH15" s="257"/>
      <c r="VAI15" s="257"/>
      <c r="VAJ15" s="257"/>
      <c r="VAK15" s="257"/>
      <c r="VAL15" s="257"/>
      <c r="VAM15" s="257"/>
      <c r="VAN15" s="257"/>
      <c r="VAO15" s="257"/>
      <c r="VAP15" s="257"/>
      <c r="VAQ15" s="257"/>
      <c r="VAR15" s="257"/>
      <c r="VAS15" s="257"/>
      <c r="VAT15" s="257"/>
      <c r="VAU15" s="257"/>
      <c r="VAV15" s="257"/>
      <c r="VAW15" s="257"/>
      <c r="VAX15" s="257"/>
      <c r="VAY15" s="257"/>
      <c r="VAZ15" s="257"/>
      <c r="VBA15" s="257"/>
      <c r="VBB15" s="257"/>
      <c r="VBC15" s="257"/>
      <c r="VBD15" s="257"/>
      <c r="VBE15" s="257"/>
      <c r="VBF15" s="257"/>
      <c r="VBG15" s="257"/>
      <c r="VBH15" s="257"/>
      <c r="VBI15" s="257"/>
      <c r="VBJ15" s="257"/>
      <c r="VBK15" s="257"/>
      <c r="VBL15" s="257"/>
      <c r="VBM15" s="257"/>
      <c r="VBN15" s="257"/>
      <c r="VBO15" s="257"/>
      <c r="VBP15" s="257"/>
      <c r="VBQ15" s="257"/>
      <c r="VBR15" s="257"/>
      <c r="VBS15" s="257"/>
      <c r="VBT15" s="257"/>
      <c r="VBU15" s="257"/>
      <c r="VBV15" s="257"/>
      <c r="VBW15" s="257"/>
      <c r="VBX15" s="257"/>
      <c r="VBY15" s="257"/>
      <c r="VBZ15" s="257"/>
      <c r="VCA15" s="257"/>
      <c r="VCB15" s="257"/>
      <c r="VCC15" s="257"/>
      <c r="VCD15" s="257"/>
      <c r="VCE15" s="257"/>
      <c r="VCF15" s="257"/>
      <c r="VCG15" s="257"/>
      <c r="VCH15" s="257"/>
      <c r="VCI15" s="257"/>
      <c r="VCJ15" s="257"/>
      <c r="VCK15" s="257"/>
      <c r="VCL15" s="257"/>
      <c r="VCM15" s="257"/>
      <c r="VCN15" s="257"/>
      <c r="VCO15" s="257"/>
      <c r="VCP15" s="257"/>
      <c r="VCQ15" s="257"/>
      <c r="VCR15" s="257"/>
      <c r="VCS15" s="257"/>
      <c r="VCT15" s="257"/>
      <c r="VCU15" s="257"/>
      <c r="VCV15" s="257"/>
      <c r="VCW15" s="257"/>
      <c r="VCX15" s="257"/>
      <c r="VCY15" s="257"/>
      <c r="VCZ15" s="257"/>
      <c r="VDA15" s="257"/>
      <c r="VDB15" s="257"/>
      <c r="VDC15" s="257"/>
      <c r="VDD15" s="257"/>
      <c r="VDE15" s="257"/>
      <c r="VDF15" s="257"/>
      <c r="VDG15" s="257"/>
      <c r="VDH15" s="257"/>
      <c r="VDI15" s="257"/>
      <c r="VDJ15" s="257"/>
      <c r="VDK15" s="257"/>
      <c r="VDL15" s="257"/>
      <c r="VDM15" s="257"/>
      <c r="VDN15" s="257"/>
      <c r="VDO15" s="257"/>
      <c r="VDP15" s="257"/>
      <c r="VDQ15" s="257"/>
      <c r="VDR15" s="257"/>
      <c r="VDS15" s="257"/>
      <c r="VDT15" s="257"/>
      <c r="VDU15" s="257"/>
      <c r="VDV15" s="257"/>
      <c r="VDW15" s="257"/>
      <c r="VDX15" s="257"/>
      <c r="VDY15" s="257"/>
      <c r="VDZ15" s="257"/>
      <c r="VEA15" s="257"/>
      <c r="VEB15" s="257"/>
      <c r="VEC15" s="257"/>
      <c r="VED15" s="257"/>
      <c r="VEE15" s="257"/>
      <c r="VEF15" s="257"/>
      <c r="VEG15" s="257"/>
      <c r="VEH15" s="257"/>
      <c r="VEI15" s="257"/>
      <c r="VEJ15" s="257"/>
      <c r="VEK15" s="257"/>
      <c r="VEL15" s="257"/>
      <c r="VEM15" s="257"/>
      <c r="VEN15" s="257"/>
      <c r="VEO15" s="257"/>
      <c r="VEP15" s="257"/>
      <c r="VEQ15" s="257"/>
      <c r="VER15" s="257"/>
      <c r="VES15" s="257"/>
      <c r="VET15" s="257"/>
      <c r="VEU15" s="257"/>
      <c r="VEV15" s="257"/>
      <c r="VEW15" s="257"/>
      <c r="VEX15" s="257"/>
      <c r="VEY15" s="257"/>
      <c r="VEZ15" s="257"/>
      <c r="VFA15" s="257"/>
      <c r="VFB15" s="257"/>
      <c r="VFC15" s="257"/>
      <c r="VFD15" s="257"/>
      <c r="VFE15" s="257"/>
      <c r="VFF15" s="257"/>
      <c r="VFG15" s="257"/>
      <c r="VFH15" s="257"/>
      <c r="VFI15" s="257"/>
      <c r="VFJ15" s="257"/>
      <c r="VFK15" s="257"/>
      <c r="VFL15" s="257"/>
      <c r="VFM15" s="257"/>
      <c r="VFN15" s="257"/>
      <c r="VFO15" s="257"/>
      <c r="VFP15" s="257"/>
      <c r="VFQ15" s="257"/>
      <c r="VFR15" s="257"/>
      <c r="VFS15" s="257"/>
      <c r="VFT15" s="257"/>
      <c r="VFU15" s="257"/>
      <c r="VFV15" s="257"/>
      <c r="VFW15" s="257"/>
      <c r="VFX15" s="257"/>
      <c r="VFY15" s="257"/>
      <c r="VFZ15" s="257"/>
      <c r="VGA15" s="257"/>
      <c r="VGB15" s="257"/>
      <c r="VGC15" s="257"/>
      <c r="VGD15" s="257"/>
      <c r="VGE15" s="257"/>
      <c r="VGF15" s="257"/>
      <c r="VGG15" s="257"/>
      <c r="VGH15" s="257"/>
      <c r="VGI15" s="257"/>
      <c r="VGJ15" s="257"/>
      <c r="VGK15" s="257"/>
      <c r="VGL15" s="257"/>
      <c r="VGM15" s="257"/>
      <c r="VGN15" s="257"/>
      <c r="VGO15" s="257"/>
      <c r="VGP15" s="257"/>
      <c r="VGQ15" s="257"/>
      <c r="VGR15" s="257"/>
      <c r="VGS15" s="257"/>
      <c r="VGT15" s="257"/>
      <c r="VGU15" s="257"/>
      <c r="VGV15" s="257"/>
      <c r="VGW15" s="257"/>
      <c r="VGX15" s="257"/>
      <c r="VGY15" s="257"/>
      <c r="VGZ15" s="257"/>
      <c r="VHA15" s="257"/>
      <c r="VHB15" s="257"/>
      <c r="VHC15" s="257"/>
      <c r="VHD15" s="257"/>
      <c r="VHE15" s="257"/>
      <c r="VHF15" s="257"/>
      <c r="VHG15" s="257"/>
      <c r="VHH15" s="257"/>
      <c r="VHI15" s="257"/>
      <c r="VHJ15" s="257"/>
      <c r="VHK15" s="257"/>
      <c r="VHL15" s="257"/>
      <c r="VHM15" s="257"/>
      <c r="VHN15" s="257"/>
      <c r="VHO15" s="257"/>
      <c r="VHP15" s="257"/>
      <c r="VHQ15" s="257"/>
      <c r="VHR15" s="257"/>
      <c r="VHS15" s="257"/>
      <c r="VHT15" s="257"/>
      <c r="VHU15" s="257"/>
      <c r="VHV15" s="257"/>
      <c r="VHW15" s="257"/>
      <c r="VHX15" s="257"/>
      <c r="VHY15" s="257"/>
      <c r="VHZ15" s="257"/>
      <c r="VIA15" s="257"/>
      <c r="VIB15" s="257"/>
      <c r="VIC15" s="257"/>
      <c r="VID15" s="257"/>
      <c r="VIE15" s="257"/>
      <c r="VIF15" s="257"/>
      <c r="VIG15" s="257"/>
      <c r="VIH15" s="257"/>
      <c r="VII15" s="257"/>
      <c r="VIJ15" s="257"/>
      <c r="VIK15" s="257"/>
      <c r="VIL15" s="257"/>
      <c r="VIM15" s="257"/>
      <c r="VIN15" s="257"/>
      <c r="VIO15" s="257"/>
      <c r="VIP15" s="257"/>
      <c r="VIQ15" s="257"/>
      <c r="VIR15" s="257"/>
      <c r="VIS15" s="257"/>
      <c r="VIT15" s="257"/>
      <c r="VIU15" s="257"/>
      <c r="VIV15" s="257"/>
      <c r="VIW15" s="257"/>
      <c r="VIX15" s="257"/>
      <c r="VIY15" s="257"/>
      <c r="VIZ15" s="257"/>
      <c r="VJA15" s="257"/>
      <c r="VJB15" s="257"/>
      <c r="VJC15" s="257"/>
      <c r="VJD15" s="257"/>
      <c r="VJE15" s="257"/>
      <c r="VJF15" s="257"/>
      <c r="VJG15" s="257"/>
      <c r="VJH15" s="257"/>
      <c r="VJI15" s="257"/>
      <c r="VJJ15" s="257"/>
      <c r="VJK15" s="257"/>
      <c r="VJL15" s="257"/>
      <c r="VJM15" s="257"/>
      <c r="VJN15" s="257"/>
      <c r="VJO15" s="257"/>
      <c r="VJP15" s="257"/>
      <c r="VJQ15" s="257"/>
      <c r="VJR15" s="257"/>
      <c r="VJS15" s="257"/>
      <c r="VJT15" s="257"/>
      <c r="VJU15" s="257"/>
      <c r="VJV15" s="257"/>
      <c r="VJW15" s="257"/>
      <c r="VJX15" s="257"/>
      <c r="VJY15" s="257"/>
      <c r="VJZ15" s="257"/>
      <c r="VKA15" s="257"/>
      <c r="VKB15" s="257"/>
      <c r="VKC15" s="257"/>
      <c r="VKD15" s="257"/>
      <c r="VKE15" s="257"/>
      <c r="VKF15" s="257"/>
      <c r="VKG15" s="257"/>
      <c r="VKH15" s="257"/>
      <c r="VKI15" s="257"/>
      <c r="VKJ15" s="257"/>
      <c r="VKK15" s="257"/>
      <c r="VKL15" s="257"/>
      <c r="VKM15" s="257"/>
      <c r="VKN15" s="257"/>
      <c r="VKO15" s="257"/>
      <c r="VKP15" s="257"/>
      <c r="VKQ15" s="257"/>
      <c r="VKR15" s="257"/>
      <c r="VKS15" s="257"/>
      <c r="VKT15" s="257"/>
      <c r="VKU15" s="257"/>
      <c r="VKV15" s="257"/>
      <c r="VKW15" s="257"/>
      <c r="VKX15" s="257"/>
      <c r="VKY15" s="257"/>
      <c r="VKZ15" s="257"/>
      <c r="VLA15" s="257"/>
      <c r="VLB15" s="257"/>
      <c r="VLC15" s="257"/>
      <c r="VLD15" s="257"/>
      <c r="VLE15" s="257"/>
      <c r="VLF15" s="257"/>
      <c r="VLG15" s="257"/>
      <c r="VLH15" s="257"/>
      <c r="VLI15" s="257"/>
      <c r="VLJ15" s="257"/>
      <c r="VLK15" s="257"/>
      <c r="VLL15" s="257"/>
      <c r="VLM15" s="257"/>
      <c r="VLN15" s="257"/>
      <c r="VLO15" s="257"/>
      <c r="VLP15" s="257"/>
      <c r="VLQ15" s="257"/>
      <c r="VLR15" s="257"/>
      <c r="VLS15" s="257"/>
      <c r="VLT15" s="257"/>
      <c r="VLU15" s="257"/>
      <c r="VLV15" s="257"/>
      <c r="VLW15" s="257"/>
      <c r="VLX15" s="257"/>
      <c r="VLY15" s="257"/>
      <c r="VLZ15" s="257"/>
      <c r="VMA15" s="257"/>
      <c r="VMB15" s="257"/>
      <c r="VMC15" s="257"/>
      <c r="VMD15" s="257"/>
      <c r="VME15" s="257"/>
      <c r="VMF15" s="257"/>
      <c r="VMG15" s="257"/>
      <c r="VMH15" s="257"/>
      <c r="VMI15" s="257"/>
      <c r="VMJ15" s="257"/>
      <c r="VMK15" s="257"/>
      <c r="VML15" s="257"/>
      <c r="VMM15" s="257"/>
      <c r="VMN15" s="257"/>
      <c r="VMO15" s="257"/>
      <c r="VMP15" s="257"/>
      <c r="VMQ15" s="257"/>
      <c r="VMR15" s="257"/>
      <c r="VMS15" s="257"/>
      <c r="VMT15" s="257"/>
      <c r="VMU15" s="257"/>
      <c r="VMV15" s="257"/>
      <c r="VMW15" s="257"/>
      <c r="VMX15" s="257"/>
      <c r="VMY15" s="257"/>
      <c r="VMZ15" s="257"/>
      <c r="VNA15" s="257"/>
      <c r="VNB15" s="257"/>
      <c r="VNC15" s="257"/>
      <c r="VND15" s="257"/>
      <c r="VNE15" s="257"/>
      <c r="VNF15" s="257"/>
      <c r="VNG15" s="257"/>
      <c r="VNH15" s="257"/>
      <c r="VNI15" s="257"/>
      <c r="VNJ15" s="257"/>
      <c r="VNK15" s="257"/>
      <c r="VNL15" s="257"/>
      <c r="VNM15" s="257"/>
      <c r="VNN15" s="257"/>
      <c r="VNO15" s="257"/>
      <c r="VNP15" s="257"/>
      <c r="VNQ15" s="257"/>
      <c r="VNR15" s="257"/>
      <c r="VNS15" s="257"/>
      <c r="VNT15" s="257"/>
      <c r="VNU15" s="257"/>
      <c r="VNV15" s="257"/>
      <c r="VNW15" s="257"/>
      <c r="VNX15" s="257"/>
      <c r="VNY15" s="257"/>
      <c r="VNZ15" s="257"/>
      <c r="VOA15" s="257"/>
      <c r="VOB15" s="257"/>
      <c r="VOC15" s="257"/>
      <c r="VOD15" s="257"/>
      <c r="VOE15" s="257"/>
      <c r="VOF15" s="257"/>
      <c r="VOG15" s="257"/>
      <c r="VOH15" s="257"/>
      <c r="VOI15" s="257"/>
      <c r="VOJ15" s="257"/>
      <c r="VOK15" s="257"/>
      <c r="VOL15" s="257"/>
      <c r="VOM15" s="257"/>
      <c r="VON15" s="257"/>
      <c r="VOO15" s="257"/>
      <c r="VOP15" s="257"/>
      <c r="VOQ15" s="257"/>
      <c r="VOR15" s="257"/>
      <c r="VOS15" s="257"/>
      <c r="VOT15" s="257"/>
      <c r="VOU15" s="257"/>
      <c r="VOV15" s="257"/>
      <c r="VOW15" s="257"/>
      <c r="VOX15" s="257"/>
      <c r="VOY15" s="257"/>
      <c r="VOZ15" s="257"/>
      <c r="VPA15" s="257"/>
      <c r="VPB15" s="257"/>
      <c r="VPC15" s="257"/>
      <c r="VPD15" s="257"/>
      <c r="VPE15" s="257"/>
      <c r="VPF15" s="257"/>
      <c r="VPG15" s="257"/>
      <c r="VPH15" s="257"/>
      <c r="VPI15" s="257"/>
      <c r="VPJ15" s="257"/>
      <c r="VPK15" s="257"/>
      <c r="VPL15" s="257"/>
      <c r="VPM15" s="257"/>
      <c r="VPN15" s="257"/>
      <c r="VPO15" s="257"/>
      <c r="VPP15" s="257"/>
      <c r="VPQ15" s="257"/>
      <c r="VPR15" s="257"/>
      <c r="VPS15" s="257"/>
      <c r="VPT15" s="257"/>
      <c r="VPU15" s="257"/>
      <c r="VPV15" s="257"/>
      <c r="VPW15" s="257"/>
      <c r="VPX15" s="257"/>
      <c r="VPY15" s="257"/>
      <c r="VPZ15" s="257"/>
      <c r="VQA15" s="257"/>
      <c r="VQB15" s="257"/>
      <c r="VQC15" s="257"/>
      <c r="VQD15" s="257"/>
      <c r="VQE15" s="257"/>
      <c r="VQF15" s="257"/>
      <c r="VQG15" s="257"/>
      <c r="VQH15" s="257"/>
      <c r="VQI15" s="257"/>
      <c r="VQJ15" s="257"/>
      <c r="VQK15" s="257"/>
      <c r="VQL15" s="257"/>
      <c r="VQM15" s="257"/>
      <c r="VQN15" s="257"/>
      <c r="VQO15" s="257"/>
      <c r="VQP15" s="257"/>
      <c r="VQQ15" s="257"/>
      <c r="VQR15" s="257"/>
      <c r="VQS15" s="257"/>
      <c r="VQT15" s="257"/>
      <c r="VQU15" s="257"/>
      <c r="VQV15" s="257"/>
      <c r="VQW15" s="257"/>
      <c r="VQX15" s="257"/>
      <c r="VQY15" s="257"/>
      <c r="VQZ15" s="257"/>
      <c r="VRA15" s="257"/>
      <c r="VRB15" s="257"/>
      <c r="VRC15" s="257"/>
      <c r="VRD15" s="257"/>
      <c r="VRE15" s="257"/>
      <c r="VRF15" s="257"/>
      <c r="VRG15" s="257"/>
      <c r="VRH15" s="257"/>
      <c r="VRI15" s="257"/>
      <c r="VRJ15" s="257"/>
      <c r="VRK15" s="257"/>
      <c r="VRL15" s="257"/>
      <c r="VRM15" s="257"/>
      <c r="VRN15" s="257"/>
      <c r="VRO15" s="257"/>
      <c r="VRP15" s="257"/>
      <c r="VRQ15" s="257"/>
      <c r="VRR15" s="257"/>
      <c r="VRS15" s="257"/>
      <c r="VRT15" s="257"/>
      <c r="VRU15" s="257"/>
      <c r="VRV15" s="257"/>
      <c r="VRW15" s="257"/>
      <c r="VRX15" s="257"/>
      <c r="VRY15" s="257"/>
      <c r="VRZ15" s="257"/>
      <c r="VSA15" s="257"/>
      <c r="VSB15" s="257"/>
      <c r="VSC15" s="257"/>
      <c r="VSD15" s="257"/>
      <c r="VSE15" s="257"/>
      <c r="VSF15" s="257"/>
      <c r="VSG15" s="257"/>
      <c r="VSH15" s="257"/>
      <c r="VSI15" s="257"/>
      <c r="VSJ15" s="257"/>
      <c r="VSK15" s="257"/>
      <c r="VSL15" s="257"/>
      <c r="VSM15" s="257"/>
      <c r="VSN15" s="257"/>
      <c r="VSO15" s="257"/>
      <c r="VSP15" s="257"/>
      <c r="VSQ15" s="257"/>
      <c r="VSR15" s="257"/>
      <c r="VSS15" s="257"/>
      <c r="VST15" s="257"/>
      <c r="VSU15" s="257"/>
      <c r="VSV15" s="257"/>
      <c r="VSW15" s="257"/>
      <c r="VSX15" s="257"/>
      <c r="VSY15" s="257"/>
      <c r="VSZ15" s="257"/>
      <c r="VTA15" s="257"/>
      <c r="VTB15" s="257"/>
      <c r="VTC15" s="257"/>
      <c r="VTD15" s="257"/>
      <c r="VTE15" s="257"/>
      <c r="VTF15" s="257"/>
      <c r="VTG15" s="257"/>
      <c r="VTH15" s="257"/>
      <c r="VTI15" s="257"/>
      <c r="VTJ15" s="257"/>
      <c r="VTK15" s="257"/>
      <c r="VTL15" s="257"/>
      <c r="VTM15" s="257"/>
      <c r="VTN15" s="257"/>
      <c r="VTO15" s="257"/>
      <c r="VTP15" s="257"/>
      <c r="VTQ15" s="257"/>
      <c r="VTR15" s="257"/>
      <c r="VTS15" s="257"/>
      <c r="VTT15" s="257"/>
      <c r="VTU15" s="257"/>
      <c r="VTV15" s="257"/>
      <c r="VTW15" s="257"/>
      <c r="VTX15" s="257"/>
      <c r="VTY15" s="257"/>
      <c r="VTZ15" s="257"/>
      <c r="VUA15" s="257"/>
      <c r="VUB15" s="257"/>
      <c r="VUC15" s="257"/>
      <c r="VUD15" s="257"/>
      <c r="VUE15" s="257"/>
      <c r="VUF15" s="257"/>
      <c r="VUG15" s="257"/>
      <c r="VUH15" s="257"/>
      <c r="VUI15" s="257"/>
      <c r="VUJ15" s="257"/>
      <c r="VUK15" s="257"/>
      <c r="VUL15" s="257"/>
      <c r="VUM15" s="257"/>
      <c r="VUN15" s="257"/>
      <c r="VUO15" s="257"/>
      <c r="VUP15" s="257"/>
      <c r="VUQ15" s="257"/>
      <c r="VUR15" s="257"/>
      <c r="VUS15" s="257"/>
      <c r="VUT15" s="257"/>
      <c r="VUU15" s="257"/>
      <c r="VUV15" s="257"/>
      <c r="VUW15" s="257"/>
      <c r="VUX15" s="257"/>
      <c r="VUY15" s="257"/>
      <c r="VUZ15" s="257"/>
      <c r="VVA15" s="257"/>
      <c r="VVB15" s="257"/>
      <c r="VVC15" s="257"/>
      <c r="VVD15" s="257"/>
      <c r="VVE15" s="257"/>
      <c r="VVF15" s="257"/>
      <c r="VVG15" s="257"/>
      <c r="VVH15" s="257"/>
      <c r="VVI15" s="257"/>
      <c r="VVJ15" s="257"/>
      <c r="VVK15" s="257"/>
      <c r="VVL15" s="257"/>
      <c r="VVM15" s="257"/>
      <c r="VVN15" s="257"/>
      <c r="VVO15" s="257"/>
      <c r="VVP15" s="257"/>
      <c r="VVQ15" s="257"/>
      <c r="VVR15" s="257"/>
      <c r="VVS15" s="257"/>
      <c r="VVT15" s="257"/>
      <c r="VVU15" s="257"/>
      <c r="VVV15" s="257"/>
      <c r="VVW15" s="257"/>
      <c r="VVX15" s="257"/>
      <c r="VVY15" s="257"/>
      <c r="VVZ15" s="257"/>
      <c r="VWA15" s="257"/>
      <c r="VWB15" s="257"/>
      <c r="VWC15" s="257"/>
      <c r="VWD15" s="257"/>
      <c r="VWE15" s="257"/>
      <c r="VWF15" s="257"/>
      <c r="VWG15" s="257"/>
      <c r="VWH15" s="257"/>
      <c r="VWI15" s="257"/>
      <c r="VWJ15" s="257"/>
      <c r="VWK15" s="257"/>
      <c r="VWL15" s="257"/>
      <c r="VWM15" s="257"/>
      <c r="VWN15" s="257"/>
      <c r="VWO15" s="257"/>
      <c r="VWP15" s="257"/>
      <c r="VWQ15" s="257"/>
      <c r="VWR15" s="257"/>
      <c r="VWS15" s="257"/>
      <c r="VWT15" s="257"/>
      <c r="VWU15" s="257"/>
      <c r="VWV15" s="257"/>
      <c r="VWW15" s="257"/>
      <c r="VWX15" s="257"/>
      <c r="VWY15" s="257"/>
      <c r="VWZ15" s="257"/>
      <c r="VXA15" s="257"/>
      <c r="VXB15" s="257"/>
      <c r="VXC15" s="257"/>
      <c r="VXD15" s="257"/>
      <c r="VXE15" s="257"/>
      <c r="VXF15" s="257"/>
      <c r="VXG15" s="257"/>
      <c r="VXH15" s="257"/>
      <c r="VXI15" s="257"/>
      <c r="VXJ15" s="257"/>
      <c r="VXK15" s="257"/>
      <c r="VXL15" s="257"/>
      <c r="VXM15" s="257"/>
      <c r="VXN15" s="257"/>
      <c r="VXO15" s="257"/>
      <c r="VXP15" s="257"/>
      <c r="VXQ15" s="257"/>
      <c r="VXR15" s="257"/>
      <c r="VXS15" s="257"/>
      <c r="VXT15" s="257"/>
      <c r="VXU15" s="257"/>
      <c r="VXV15" s="257"/>
      <c r="VXW15" s="257"/>
      <c r="VXX15" s="257"/>
      <c r="VXY15" s="257"/>
      <c r="VXZ15" s="257"/>
      <c r="VYA15" s="257"/>
      <c r="VYB15" s="257"/>
      <c r="VYC15" s="257"/>
      <c r="VYD15" s="257"/>
      <c r="VYE15" s="257"/>
      <c r="VYF15" s="257"/>
      <c r="VYG15" s="257"/>
      <c r="VYH15" s="257"/>
      <c r="VYI15" s="257"/>
      <c r="VYJ15" s="257"/>
      <c r="VYK15" s="257"/>
      <c r="VYL15" s="257"/>
      <c r="VYM15" s="257"/>
      <c r="VYN15" s="257"/>
      <c r="VYO15" s="257"/>
      <c r="VYP15" s="257"/>
      <c r="VYQ15" s="257"/>
      <c r="VYR15" s="257"/>
      <c r="VYS15" s="257"/>
      <c r="VYT15" s="257"/>
      <c r="VYU15" s="257"/>
      <c r="VYV15" s="257"/>
      <c r="VYW15" s="257"/>
      <c r="VYX15" s="257"/>
      <c r="VYY15" s="257"/>
      <c r="VYZ15" s="257"/>
      <c r="VZA15" s="257"/>
      <c r="VZB15" s="257"/>
      <c r="VZC15" s="257"/>
      <c r="VZD15" s="257"/>
      <c r="VZE15" s="257"/>
      <c r="VZF15" s="257"/>
      <c r="VZG15" s="257"/>
      <c r="VZH15" s="257"/>
      <c r="VZI15" s="257"/>
      <c r="VZJ15" s="257"/>
      <c r="VZK15" s="257"/>
      <c r="VZL15" s="257"/>
      <c r="VZM15" s="257"/>
      <c r="VZN15" s="257"/>
      <c r="VZO15" s="257"/>
      <c r="VZP15" s="257"/>
      <c r="VZQ15" s="257"/>
      <c r="VZR15" s="257"/>
      <c r="VZS15" s="257"/>
      <c r="VZT15" s="257"/>
      <c r="VZU15" s="257"/>
      <c r="VZV15" s="257"/>
      <c r="VZW15" s="257"/>
      <c r="VZX15" s="257"/>
      <c r="VZY15" s="257"/>
      <c r="VZZ15" s="257"/>
      <c r="WAA15" s="257"/>
      <c r="WAB15" s="257"/>
      <c r="WAC15" s="257"/>
      <c r="WAD15" s="257"/>
      <c r="WAE15" s="257"/>
      <c r="WAF15" s="257"/>
      <c r="WAG15" s="257"/>
      <c r="WAH15" s="257"/>
      <c r="WAI15" s="257"/>
      <c r="WAJ15" s="257"/>
      <c r="WAK15" s="257"/>
      <c r="WAL15" s="257"/>
      <c r="WAM15" s="257"/>
      <c r="WAN15" s="257"/>
      <c r="WAO15" s="257"/>
      <c r="WAP15" s="257"/>
      <c r="WAQ15" s="257"/>
      <c r="WAR15" s="257"/>
      <c r="WAS15" s="257"/>
      <c r="WAT15" s="257"/>
      <c r="WAU15" s="257"/>
      <c r="WAV15" s="257"/>
      <c r="WAW15" s="257"/>
      <c r="WAX15" s="257"/>
      <c r="WAY15" s="257"/>
      <c r="WAZ15" s="257"/>
      <c r="WBA15" s="257"/>
      <c r="WBB15" s="257"/>
      <c r="WBC15" s="257"/>
      <c r="WBD15" s="257"/>
      <c r="WBE15" s="257"/>
      <c r="WBF15" s="257"/>
      <c r="WBG15" s="257"/>
      <c r="WBH15" s="257"/>
      <c r="WBI15" s="257"/>
      <c r="WBJ15" s="257"/>
      <c r="WBK15" s="257"/>
      <c r="WBL15" s="257"/>
      <c r="WBM15" s="257"/>
      <c r="WBN15" s="257"/>
      <c r="WBO15" s="257"/>
      <c r="WBP15" s="257"/>
      <c r="WBQ15" s="257"/>
      <c r="WBR15" s="257"/>
      <c r="WBS15" s="257"/>
      <c r="WBT15" s="257"/>
      <c r="WBU15" s="257"/>
      <c r="WBV15" s="257"/>
      <c r="WBW15" s="257"/>
      <c r="WBX15" s="257"/>
      <c r="WBY15" s="257"/>
      <c r="WBZ15" s="257"/>
      <c r="WCA15" s="257"/>
      <c r="WCB15" s="257"/>
      <c r="WCC15" s="257"/>
      <c r="WCD15" s="257"/>
      <c r="WCE15" s="257"/>
      <c r="WCF15" s="257"/>
      <c r="WCG15" s="257"/>
      <c r="WCH15" s="257"/>
      <c r="WCI15" s="257"/>
      <c r="WCJ15" s="257"/>
      <c r="WCK15" s="257"/>
      <c r="WCL15" s="257"/>
      <c r="WCM15" s="257"/>
      <c r="WCN15" s="257"/>
      <c r="WCO15" s="257"/>
      <c r="WCP15" s="257"/>
      <c r="WCQ15" s="257"/>
      <c r="WCR15" s="257"/>
      <c r="WCS15" s="257"/>
      <c r="WCT15" s="257"/>
      <c r="WCU15" s="257"/>
      <c r="WCV15" s="257"/>
      <c r="WCW15" s="257"/>
      <c r="WCX15" s="257"/>
      <c r="WCY15" s="257"/>
      <c r="WCZ15" s="257"/>
      <c r="WDA15" s="257"/>
      <c r="WDB15" s="257"/>
      <c r="WDC15" s="257"/>
      <c r="WDD15" s="257"/>
      <c r="WDE15" s="257"/>
      <c r="WDF15" s="257"/>
      <c r="WDG15" s="257"/>
      <c r="WDH15" s="257"/>
      <c r="WDI15" s="257"/>
      <c r="WDJ15" s="257"/>
      <c r="WDK15" s="257"/>
      <c r="WDL15" s="257"/>
      <c r="WDM15" s="257"/>
      <c r="WDN15" s="257"/>
      <c r="WDO15" s="257"/>
      <c r="WDP15" s="257"/>
      <c r="WDQ15" s="257"/>
      <c r="WDR15" s="257"/>
      <c r="WDS15" s="257"/>
      <c r="WDT15" s="257"/>
      <c r="WDU15" s="257"/>
      <c r="WDV15" s="257"/>
      <c r="WDW15" s="257"/>
      <c r="WDX15" s="257"/>
      <c r="WDY15" s="257"/>
      <c r="WDZ15" s="257"/>
      <c r="WEA15" s="257"/>
      <c r="WEB15" s="257"/>
      <c r="WEC15" s="257"/>
      <c r="WED15" s="257"/>
      <c r="WEE15" s="257"/>
      <c r="WEF15" s="257"/>
      <c r="WEG15" s="257"/>
      <c r="WEH15" s="257"/>
      <c r="WEI15" s="257"/>
      <c r="WEJ15" s="257"/>
      <c r="WEK15" s="257"/>
      <c r="WEL15" s="257"/>
      <c r="WEM15" s="257"/>
      <c r="WEN15" s="257"/>
      <c r="WEO15" s="257"/>
      <c r="WEP15" s="257"/>
      <c r="WEQ15" s="257"/>
      <c r="WER15" s="257"/>
      <c r="WES15" s="257"/>
      <c r="WET15" s="257"/>
      <c r="WEU15" s="257"/>
      <c r="WEV15" s="257"/>
      <c r="WEW15" s="257"/>
      <c r="WEX15" s="257"/>
      <c r="WEY15" s="257"/>
      <c r="WEZ15" s="257"/>
      <c r="WFA15" s="257"/>
      <c r="WFB15" s="257"/>
      <c r="WFC15" s="257"/>
      <c r="WFD15" s="257"/>
      <c r="WFE15" s="257"/>
      <c r="WFF15" s="257"/>
      <c r="WFG15" s="257"/>
      <c r="WFH15" s="257"/>
      <c r="WFI15" s="257"/>
      <c r="WFJ15" s="257"/>
      <c r="WFK15" s="257"/>
      <c r="WFL15" s="257"/>
      <c r="WFM15" s="257"/>
      <c r="WFN15" s="257"/>
      <c r="WFO15" s="257"/>
      <c r="WFP15" s="257"/>
      <c r="WFQ15" s="257"/>
      <c r="WFR15" s="257"/>
      <c r="WFS15" s="257"/>
      <c r="WFT15" s="257"/>
      <c r="WFU15" s="257"/>
      <c r="WFV15" s="257"/>
      <c r="WFW15" s="257"/>
      <c r="WFX15" s="257"/>
      <c r="WFY15" s="257"/>
      <c r="WFZ15" s="257"/>
      <c r="WGA15" s="257"/>
      <c r="WGB15" s="257"/>
      <c r="WGC15" s="257"/>
      <c r="WGD15" s="257"/>
      <c r="WGE15" s="257"/>
      <c r="WGF15" s="257"/>
      <c r="WGG15" s="257"/>
      <c r="WGH15" s="257"/>
      <c r="WGI15" s="257"/>
      <c r="WGJ15" s="257"/>
      <c r="WGK15" s="257"/>
      <c r="WGL15" s="257"/>
      <c r="WGM15" s="257"/>
      <c r="WGN15" s="257"/>
      <c r="WGO15" s="257"/>
      <c r="WGP15" s="257"/>
      <c r="WGQ15" s="257"/>
      <c r="WGR15" s="257"/>
      <c r="WGS15" s="257"/>
      <c r="WGT15" s="257"/>
      <c r="WGU15" s="257"/>
      <c r="WGV15" s="257"/>
      <c r="WGW15" s="257"/>
      <c r="WGX15" s="257"/>
      <c r="WGY15" s="257"/>
      <c r="WGZ15" s="257"/>
      <c r="WHA15" s="257"/>
      <c r="WHB15" s="257"/>
      <c r="WHC15" s="257"/>
      <c r="WHD15" s="257"/>
      <c r="WHE15" s="257"/>
      <c r="WHF15" s="257"/>
      <c r="WHG15" s="257"/>
      <c r="WHH15" s="257"/>
      <c r="WHI15" s="257"/>
      <c r="WHJ15" s="257"/>
      <c r="WHK15" s="257"/>
      <c r="WHL15" s="257"/>
      <c r="WHM15" s="257"/>
      <c r="WHN15" s="257"/>
      <c r="WHO15" s="257"/>
      <c r="WHP15" s="257"/>
      <c r="WHQ15" s="257"/>
      <c r="WHR15" s="257"/>
      <c r="WHS15" s="257"/>
      <c r="WHT15" s="257"/>
      <c r="WHU15" s="257"/>
      <c r="WHV15" s="257"/>
      <c r="WHW15" s="257"/>
      <c r="WHX15" s="257"/>
      <c r="WHY15" s="257"/>
      <c r="WHZ15" s="257"/>
      <c r="WIA15" s="257"/>
      <c r="WIB15" s="257"/>
      <c r="WIC15" s="257"/>
      <c r="WID15" s="257"/>
      <c r="WIE15" s="257"/>
      <c r="WIF15" s="257"/>
      <c r="WIG15" s="257"/>
      <c r="WIH15" s="257"/>
      <c r="WII15" s="257"/>
      <c r="WIJ15" s="257"/>
      <c r="WIK15" s="257"/>
      <c r="WIL15" s="257"/>
      <c r="WIM15" s="257"/>
      <c r="WIN15" s="257"/>
      <c r="WIO15" s="257"/>
      <c r="WIP15" s="257"/>
      <c r="WIQ15" s="257"/>
      <c r="WIR15" s="257"/>
      <c r="WIS15" s="257"/>
      <c r="WIT15" s="257"/>
      <c r="WIU15" s="257"/>
      <c r="WIV15" s="257"/>
      <c r="WIW15" s="257"/>
      <c r="WIX15" s="257"/>
      <c r="WIY15" s="257"/>
      <c r="WIZ15" s="257"/>
      <c r="WJA15" s="257"/>
      <c r="WJB15" s="257"/>
      <c r="WJC15" s="257"/>
      <c r="WJD15" s="257"/>
      <c r="WJE15" s="257"/>
      <c r="WJF15" s="257"/>
      <c r="WJG15" s="257"/>
      <c r="WJH15" s="257"/>
      <c r="WJI15" s="257"/>
      <c r="WJJ15" s="257"/>
      <c r="WJK15" s="257"/>
      <c r="WJL15" s="257"/>
      <c r="WJM15" s="257"/>
      <c r="WJN15" s="257"/>
      <c r="WJO15" s="257"/>
      <c r="WJP15" s="257"/>
      <c r="WJQ15" s="257"/>
      <c r="WJR15" s="257"/>
      <c r="WJS15" s="257"/>
      <c r="WJT15" s="257"/>
      <c r="WJU15" s="257"/>
      <c r="WJV15" s="257"/>
      <c r="WJW15" s="257"/>
      <c r="WJX15" s="257"/>
      <c r="WJY15" s="257"/>
      <c r="WJZ15" s="257"/>
      <c r="WKA15" s="257"/>
      <c r="WKB15" s="257"/>
      <c r="WKC15" s="257"/>
      <c r="WKD15" s="257"/>
      <c r="WKE15" s="257"/>
      <c r="WKF15" s="257"/>
      <c r="WKG15" s="257"/>
      <c r="WKH15" s="257"/>
      <c r="WKI15" s="257"/>
      <c r="WKJ15" s="257"/>
      <c r="WKK15" s="257"/>
      <c r="WKL15" s="257"/>
      <c r="WKM15" s="257"/>
      <c r="WKN15" s="257"/>
      <c r="WKO15" s="257"/>
      <c r="WKP15" s="257"/>
      <c r="WKQ15" s="257"/>
      <c r="WKR15" s="257"/>
      <c r="WKS15" s="257"/>
      <c r="WKT15" s="257"/>
      <c r="WKU15" s="257"/>
      <c r="WKV15" s="257"/>
      <c r="WKW15" s="257"/>
      <c r="WKX15" s="257"/>
      <c r="WKY15" s="257"/>
      <c r="WKZ15" s="257"/>
      <c r="WLA15" s="257"/>
      <c r="WLB15" s="257"/>
      <c r="WLC15" s="257"/>
      <c r="WLD15" s="257"/>
      <c r="WLE15" s="257"/>
      <c r="WLF15" s="257"/>
      <c r="WLG15" s="257"/>
      <c r="WLH15" s="257"/>
      <c r="WLI15" s="257"/>
      <c r="WLJ15" s="257"/>
      <c r="WLK15" s="257"/>
      <c r="WLL15" s="257"/>
      <c r="WLM15" s="257"/>
      <c r="WLN15" s="257"/>
      <c r="WLO15" s="257"/>
      <c r="WLP15" s="257"/>
      <c r="WLQ15" s="257"/>
      <c r="WLR15" s="257"/>
      <c r="WLS15" s="257"/>
      <c r="WLT15" s="257"/>
      <c r="WLU15" s="257"/>
      <c r="WLV15" s="257"/>
      <c r="WLW15" s="257"/>
      <c r="WLX15" s="257"/>
      <c r="WLY15" s="257"/>
      <c r="WLZ15" s="257"/>
      <c r="WMA15" s="257"/>
      <c r="WMB15" s="257"/>
      <c r="WMC15" s="257"/>
      <c r="WMD15" s="257"/>
      <c r="WME15" s="257"/>
      <c r="WMF15" s="257"/>
      <c r="WMG15" s="257"/>
      <c r="WMH15" s="257"/>
      <c r="WMI15" s="257"/>
      <c r="WMJ15" s="257"/>
      <c r="WMK15" s="257"/>
      <c r="WML15" s="257"/>
      <c r="WMM15" s="257"/>
      <c r="WMN15" s="257"/>
      <c r="WMO15" s="257"/>
      <c r="WMP15" s="257"/>
      <c r="WMQ15" s="257"/>
      <c r="WMR15" s="257"/>
      <c r="WMS15" s="257"/>
      <c r="WMT15" s="257"/>
      <c r="WMU15" s="257"/>
      <c r="WMV15" s="257"/>
      <c r="WMW15" s="257"/>
      <c r="WMX15" s="257"/>
      <c r="WMY15" s="257"/>
      <c r="WMZ15" s="257"/>
      <c r="WNA15" s="257"/>
      <c r="WNB15" s="257"/>
      <c r="WNC15" s="257"/>
      <c r="WND15" s="257"/>
      <c r="WNE15" s="257"/>
      <c r="WNF15" s="257"/>
      <c r="WNG15" s="257"/>
      <c r="WNH15" s="257"/>
      <c r="WNI15" s="257"/>
      <c r="WNJ15" s="257"/>
      <c r="WNK15" s="257"/>
      <c r="WNL15" s="257"/>
      <c r="WNM15" s="257"/>
      <c r="WNN15" s="257"/>
      <c r="WNO15" s="257"/>
      <c r="WNP15" s="257"/>
      <c r="WNQ15" s="257"/>
      <c r="WNR15" s="257"/>
      <c r="WNS15" s="257"/>
      <c r="WNT15" s="257"/>
      <c r="WNU15" s="257"/>
      <c r="WNV15" s="257"/>
      <c r="WNW15" s="257"/>
      <c r="WNX15" s="257"/>
      <c r="WNY15" s="257"/>
      <c r="WNZ15" s="257"/>
      <c r="WOA15" s="257"/>
      <c r="WOB15" s="257"/>
      <c r="WOC15" s="257"/>
      <c r="WOD15" s="257"/>
      <c r="WOE15" s="257"/>
      <c r="WOF15" s="257"/>
      <c r="WOG15" s="257"/>
      <c r="WOH15" s="257"/>
      <c r="WOI15" s="257"/>
      <c r="WOJ15" s="257"/>
      <c r="WOK15" s="257"/>
      <c r="WOL15" s="257"/>
      <c r="WOM15" s="257"/>
      <c r="WON15" s="257"/>
      <c r="WOO15" s="257"/>
      <c r="WOP15" s="257"/>
      <c r="WOQ15" s="257"/>
      <c r="WOR15" s="257"/>
      <c r="WOS15" s="257"/>
      <c r="WOT15" s="257"/>
      <c r="WOU15" s="257"/>
      <c r="WOV15" s="257"/>
      <c r="WOW15" s="257"/>
      <c r="WOX15" s="257"/>
      <c r="WOY15" s="257"/>
      <c r="WOZ15" s="257"/>
      <c r="WPA15" s="257"/>
      <c r="WPB15" s="257"/>
      <c r="WPC15" s="257"/>
      <c r="WPD15" s="257"/>
      <c r="WPE15" s="257"/>
      <c r="WPF15" s="257"/>
      <c r="WPG15" s="257"/>
      <c r="WPH15" s="257"/>
      <c r="WPI15" s="257"/>
      <c r="WPJ15" s="257"/>
      <c r="WPK15" s="257"/>
      <c r="WPL15" s="257"/>
      <c r="WPM15" s="257"/>
      <c r="WPN15" s="257"/>
      <c r="WPO15" s="257"/>
      <c r="WPP15" s="257"/>
      <c r="WPQ15" s="257"/>
      <c r="WPR15" s="257"/>
      <c r="WPS15" s="257"/>
      <c r="WPT15" s="257"/>
      <c r="WPU15" s="257"/>
      <c r="WPV15" s="257"/>
      <c r="WPW15" s="257"/>
      <c r="WPX15" s="257"/>
      <c r="WPY15" s="257"/>
      <c r="WPZ15" s="257"/>
      <c r="WQA15" s="257"/>
      <c r="WQB15" s="257"/>
      <c r="WQC15" s="257"/>
      <c r="WQD15" s="257"/>
      <c r="WQE15" s="257"/>
      <c r="WQF15" s="257"/>
      <c r="WQG15" s="257"/>
      <c r="WQH15" s="257"/>
      <c r="WQI15" s="257"/>
      <c r="WQJ15" s="257"/>
      <c r="WQK15" s="257"/>
      <c r="WQL15" s="257"/>
      <c r="WQM15" s="257"/>
      <c r="WQN15" s="257"/>
      <c r="WQO15" s="257"/>
      <c r="WQP15" s="257"/>
      <c r="WQQ15" s="257"/>
      <c r="WQR15" s="257"/>
      <c r="WQS15" s="257"/>
      <c r="WQT15" s="257"/>
      <c r="WQU15" s="257"/>
      <c r="WQV15" s="257"/>
      <c r="WQW15" s="257"/>
      <c r="WQX15" s="257"/>
      <c r="WQY15" s="257"/>
      <c r="WQZ15" s="257"/>
      <c r="WRA15" s="257"/>
      <c r="WRB15" s="257"/>
      <c r="WRC15" s="257"/>
      <c r="WRD15" s="257"/>
      <c r="WRE15" s="257"/>
      <c r="WRF15" s="257"/>
      <c r="WRG15" s="257"/>
      <c r="WRH15" s="257"/>
      <c r="WRI15" s="257"/>
      <c r="WRJ15" s="257"/>
      <c r="WRK15" s="257"/>
      <c r="WRL15" s="257"/>
      <c r="WRM15" s="257"/>
      <c r="WRN15" s="257"/>
      <c r="WRO15" s="257"/>
      <c r="WRP15" s="257"/>
      <c r="WRQ15" s="257"/>
      <c r="WRR15" s="257"/>
      <c r="WRS15" s="257"/>
      <c r="WRT15" s="257"/>
      <c r="WRU15" s="257"/>
      <c r="WRV15" s="257"/>
      <c r="WRW15" s="257"/>
      <c r="WRX15" s="257"/>
      <c r="WRY15" s="257"/>
      <c r="WRZ15" s="257"/>
      <c r="WSA15" s="257"/>
      <c r="WSB15" s="257"/>
      <c r="WSC15" s="257"/>
      <c r="WSD15" s="257"/>
      <c r="WSE15" s="257"/>
      <c r="WSF15" s="257"/>
      <c r="WSG15" s="257"/>
      <c r="WSH15" s="257"/>
      <c r="WSI15" s="257"/>
      <c r="WSJ15" s="257"/>
      <c r="WSK15" s="257"/>
      <c r="WSL15" s="257"/>
      <c r="WSM15" s="257"/>
      <c r="WSN15" s="257"/>
      <c r="WSO15" s="257"/>
      <c r="WSP15" s="257"/>
      <c r="WSQ15" s="257"/>
      <c r="WSR15" s="257"/>
      <c r="WSS15" s="257"/>
      <c r="WST15" s="257"/>
      <c r="WSU15" s="257"/>
      <c r="WSV15" s="257"/>
      <c r="WSW15" s="257"/>
      <c r="WSX15" s="257"/>
      <c r="WSY15" s="257"/>
      <c r="WSZ15" s="257"/>
      <c r="WTA15" s="257"/>
      <c r="WTB15" s="257"/>
      <c r="WTC15" s="257"/>
      <c r="WTD15" s="257"/>
      <c r="WTE15" s="257"/>
      <c r="WTF15" s="257"/>
      <c r="WTG15" s="257"/>
      <c r="WTH15" s="257"/>
      <c r="WTI15" s="257"/>
      <c r="WTJ15" s="257"/>
      <c r="WTK15" s="257"/>
      <c r="WTL15" s="257"/>
      <c r="WTM15" s="257"/>
      <c r="WTN15" s="257"/>
      <c r="WTO15" s="257"/>
      <c r="WTP15" s="257"/>
      <c r="WTQ15" s="257"/>
      <c r="WTR15" s="257"/>
      <c r="WTS15" s="257"/>
      <c r="WTT15" s="257"/>
      <c r="WTU15" s="257"/>
      <c r="WTV15" s="257"/>
      <c r="WTW15" s="257"/>
      <c r="WTX15" s="257"/>
      <c r="WTY15" s="257"/>
      <c r="WTZ15" s="257"/>
      <c r="WUA15" s="257"/>
      <c r="WUB15" s="257"/>
      <c r="WUC15" s="257"/>
      <c r="WUD15" s="257"/>
      <c r="WUE15" s="257"/>
      <c r="WUF15" s="257"/>
      <c r="WUG15" s="257"/>
      <c r="WUH15" s="257"/>
      <c r="WUI15" s="257"/>
      <c r="WUJ15" s="257"/>
      <c r="WUK15" s="257"/>
      <c r="WUL15" s="257"/>
      <c r="WUM15" s="257"/>
      <c r="WUN15" s="257"/>
      <c r="WUO15" s="257"/>
      <c r="WUP15" s="257"/>
      <c r="WUQ15" s="257"/>
      <c r="WUR15" s="257"/>
      <c r="WUS15" s="257"/>
      <c r="WUT15" s="257"/>
      <c r="WUU15" s="257"/>
      <c r="WUV15" s="257"/>
      <c r="WUW15" s="257"/>
      <c r="WUX15" s="257"/>
      <c r="WUY15" s="257"/>
      <c r="WUZ15" s="257"/>
      <c r="WVA15" s="257"/>
      <c r="WVB15" s="257"/>
      <c r="WVC15" s="257"/>
      <c r="WVD15" s="257"/>
      <c r="WVE15" s="257"/>
      <c r="WVF15" s="257"/>
      <c r="WVG15" s="257"/>
      <c r="WVH15" s="257"/>
      <c r="WVI15" s="257"/>
      <c r="WVJ15" s="257"/>
      <c r="WVK15" s="257"/>
      <c r="WVL15" s="257"/>
      <c r="WVM15" s="257"/>
      <c r="WVN15" s="257"/>
      <c r="WVO15" s="257"/>
      <c r="WVP15" s="257"/>
      <c r="WVQ15" s="257"/>
      <c r="WVR15" s="257"/>
      <c r="WVS15" s="257"/>
      <c r="WVT15" s="257"/>
      <c r="WVU15" s="257"/>
      <c r="WVV15" s="257"/>
      <c r="WVW15" s="257"/>
      <c r="WVX15" s="257"/>
      <c r="WVY15" s="257"/>
      <c r="WVZ15" s="257"/>
      <c r="WWA15" s="257"/>
      <c r="WWB15" s="257"/>
      <c r="WWC15" s="257"/>
      <c r="WWD15" s="257"/>
      <c r="WWE15" s="257"/>
      <c r="WWF15" s="257"/>
      <c r="WWG15" s="257"/>
      <c r="WWH15" s="257"/>
      <c r="WWI15" s="257"/>
      <c r="WWJ15" s="257"/>
      <c r="WWK15" s="257"/>
      <c r="WWL15" s="257"/>
      <c r="WWM15" s="257"/>
      <c r="WWN15" s="257"/>
      <c r="WWO15" s="257"/>
      <c r="WWP15" s="257"/>
      <c r="WWQ15" s="257"/>
      <c r="WWR15" s="257"/>
      <c r="WWS15" s="257"/>
      <c r="WWT15" s="257"/>
      <c r="WWU15" s="257"/>
      <c r="WWV15" s="257"/>
      <c r="WWW15" s="257"/>
      <c r="WWX15" s="257"/>
      <c r="WWY15" s="257"/>
      <c r="WWZ15" s="257"/>
      <c r="WXA15" s="257"/>
      <c r="WXB15" s="257"/>
      <c r="WXC15" s="257"/>
      <c r="WXD15" s="257"/>
      <c r="WXE15" s="257"/>
      <c r="WXF15" s="257"/>
      <c r="WXG15" s="257"/>
      <c r="WXH15" s="257"/>
      <c r="WXI15" s="257"/>
      <c r="WXJ15" s="257"/>
      <c r="WXK15" s="257"/>
      <c r="WXL15" s="257"/>
      <c r="WXM15" s="257"/>
      <c r="WXN15" s="257"/>
      <c r="WXO15" s="257"/>
      <c r="WXP15" s="257"/>
      <c r="WXQ15" s="257"/>
      <c r="WXR15" s="257"/>
      <c r="WXS15" s="257"/>
      <c r="WXT15" s="257"/>
      <c r="WXU15" s="257"/>
      <c r="WXV15" s="257"/>
      <c r="WXW15" s="257"/>
      <c r="WXX15" s="257"/>
      <c r="WXY15" s="257"/>
      <c r="WXZ15" s="257"/>
      <c r="WYA15" s="257"/>
      <c r="WYB15" s="257"/>
      <c r="WYC15" s="257"/>
      <c r="WYD15" s="257"/>
      <c r="WYE15" s="257"/>
      <c r="WYF15" s="257"/>
      <c r="WYG15" s="257"/>
      <c r="WYH15" s="257"/>
      <c r="WYI15" s="257"/>
      <c r="WYJ15" s="257"/>
      <c r="WYK15" s="257"/>
      <c r="WYL15" s="257"/>
      <c r="WYM15" s="257"/>
      <c r="WYN15" s="257"/>
      <c r="WYO15" s="257"/>
      <c r="WYP15" s="257"/>
      <c r="WYQ15" s="257"/>
      <c r="WYR15" s="257"/>
      <c r="WYS15" s="257"/>
      <c r="WYT15" s="257"/>
      <c r="WYU15" s="257"/>
      <c r="WYV15" s="257"/>
      <c r="WYW15" s="257"/>
      <c r="WYX15" s="257"/>
      <c r="WYY15" s="257"/>
      <c r="WYZ15" s="257"/>
      <c r="WZA15" s="257"/>
      <c r="WZB15" s="257"/>
      <c r="WZC15" s="257"/>
      <c r="WZD15" s="257"/>
      <c r="WZE15" s="257"/>
      <c r="WZF15" s="257"/>
      <c r="WZG15" s="257"/>
      <c r="WZH15" s="257"/>
      <c r="WZI15" s="257"/>
      <c r="WZJ15" s="257"/>
      <c r="WZK15" s="257"/>
      <c r="WZL15" s="257"/>
      <c r="WZM15" s="257"/>
      <c r="WZN15" s="257"/>
      <c r="WZO15" s="257"/>
      <c r="WZP15" s="257"/>
      <c r="WZQ15" s="257"/>
      <c r="WZR15" s="257"/>
      <c r="WZS15" s="257"/>
      <c r="WZT15" s="257"/>
      <c r="WZU15" s="257"/>
      <c r="WZV15" s="257"/>
      <c r="WZW15" s="257"/>
      <c r="WZX15" s="257"/>
      <c r="WZY15" s="257"/>
      <c r="WZZ15" s="257"/>
      <c r="XAA15" s="257"/>
      <c r="XAB15" s="257"/>
      <c r="XAC15" s="257"/>
      <c r="XAD15" s="257"/>
      <c r="XAE15" s="257"/>
      <c r="XAF15" s="257"/>
      <c r="XAG15" s="257"/>
      <c r="XAH15" s="257"/>
      <c r="XAI15" s="257"/>
      <c r="XAJ15" s="257"/>
      <c r="XAK15" s="257"/>
      <c r="XAL15" s="257"/>
      <c r="XAM15" s="257"/>
      <c r="XAN15" s="257"/>
      <c r="XAO15" s="257"/>
      <c r="XAP15" s="257"/>
      <c r="XAQ15" s="257"/>
      <c r="XAR15" s="257"/>
      <c r="XAS15" s="257"/>
      <c r="XAT15" s="257"/>
      <c r="XAU15" s="257"/>
      <c r="XAV15" s="257"/>
      <c r="XAW15" s="257"/>
      <c r="XAX15" s="257"/>
      <c r="XAY15" s="257"/>
      <c r="XAZ15" s="257"/>
      <c r="XBA15" s="257"/>
      <c r="XBB15" s="257"/>
      <c r="XBC15" s="257"/>
      <c r="XBD15" s="257"/>
      <c r="XBE15" s="257"/>
      <c r="XBF15" s="257"/>
      <c r="XBG15" s="257"/>
      <c r="XBH15" s="257"/>
      <c r="XBI15" s="257"/>
      <c r="XBJ15" s="257"/>
      <c r="XBK15" s="257"/>
      <c r="XBL15" s="257"/>
      <c r="XBM15" s="257"/>
      <c r="XBN15" s="257"/>
      <c r="XBO15" s="257"/>
      <c r="XBP15" s="257"/>
      <c r="XBQ15" s="257"/>
      <c r="XBR15" s="257"/>
      <c r="XBS15" s="257"/>
      <c r="XBT15" s="257"/>
      <c r="XBU15" s="257"/>
      <c r="XBV15" s="257"/>
      <c r="XBW15" s="257"/>
      <c r="XBX15" s="257"/>
      <c r="XBY15" s="257"/>
      <c r="XBZ15" s="257"/>
      <c r="XCA15" s="257"/>
      <c r="XCB15" s="257"/>
      <c r="XCC15" s="257"/>
      <c r="XCD15" s="257"/>
      <c r="XCE15" s="257"/>
      <c r="XCF15" s="257"/>
      <c r="XCG15" s="257"/>
      <c r="XCH15" s="257"/>
      <c r="XCI15" s="257"/>
      <c r="XCJ15" s="257"/>
      <c r="XCK15" s="257"/>
      <c r="XCL15" s="257"/>
      <c r="XCM15" s="257"/>
      <c r="XCN15" s="257"/>
      <c r="XCO15" s="257"/>
      <c r="XCP15" s="257"/>
      <c r="XCQ15" s="257"/>
      <c r="XCR15" s="257"/>
      <c r="XCS15" s="257"/>
      <c r="XCT15" s="257"/>
      <c r="XCU15" s="257"/>
      <c r="XCV15" s="257"/>
      <c r="XCW15" s="257"/>
      <c r="XCX15" s="257"/>
      <c r="XCY15" s="257"/>
      <c r="XCZ15" s="257"/>
      <c r="XDA15" s="257"/>
      <c r="XDB15" s="257"/>
      <c r="XDC15" s="257"/>
      <c r="XDD15" s="257"/>
      <c r="XDE15" s="257"/>
      <c r="XDF15" s="257"/>
      <c r="XDG15" s="257"/>
      <c r="XDH15" s="257"/>
      <c r="XDI15" s="257"/>
      <c r="XDJ15" s="257"/>
      <c r="XDK15" s="257"/>
      <c r="XDL15" s="257"/>
      <c r="XDM15" s="257"/>
      <c r="XDN15" s="257"/>
      <c r="XDO15" s="257"/>
      <c r="XDP15" s="257"/>
      <c r="XDQ15" s="257"/>
      <c r="XDR15" s="257"/>
      <c r="XDS15" s="257"/>
      <c r="XDT15" s="257"/>
      <c r="XDU15" s="257"/>
      <c r="XDV15" s="257"/>
      <c r="XDW15" s="257"/>
      <c r="XDX15" s="257"/>
      <c r="XDY15" s="257"/>
      <c r="XDZ15" s="257"/>
      <c r="XEA15" s="257"/>
      <c r="XEB15" s="257"/>
      <c r="XEC15" s="257"/>
      <c r="XED15" s="257"/>
      <c r="XEE15" s="257"/>
      <c r="XEF15" s="257"/>
      <c r="XEG15" s="257"/>
      <c r="XEH15" s="257"/>
      <c r="XEI15" s="257"/>
      <c r="XEJ15" s="257"/>
      <c r="XEK15" s="257"/>
      <c r="XEL15" s="257"/>
      <c r="XEM15" s="257"/>
      <c r="XEN15" s="257"/>
      <c r="XEO15" s="257"/>
      <c r="XEP15" s="257"/>
      <c r="XEQ15" s="257"/>
      <c r="XER15" s="257"/>
      <c r="XES15" s="257"/>
      <c r="XET15" s="257"/>
      <c r="XEU15" s="257"/>
      <c r="XEV15" s="257"/>
      <c r="XEW15" s="257"/>
      <c r="XEX15" s="257"/>
    </row>
    <row r="16" spans="1:16378">
      <c r="A16" s="259" t="s">
        <v>1113</v>
      </c>
      <c r="B16" s="260"/>
      <c r="C16" s="260"/>
      <c r="D16" s="260"/>
      <c r="E16" s="260">
        <v>100</v>
      </c>
      <c r="F16" s="260"/>
      <c r="G16" s="260"/>
      <c r="H16" s="260"/>
      <c r="I16" s="262"/>
      <c r="J16" s="260"/>
      <c r="K16" s="260"/>
      <c r="L16" s="260"/>
      <c r="M16" s="260"/>
      <c r="N16" s="260"/>
      <c r="O16" s="260"/>
      <c r="P16" s="261">
        <v>0.88</v>
      </c>
      <c r="Q16" s="260">
        <v>1</v>
      </c>
      <c r="R16" s="260" t="s">
        <v>20</v>
      </c>
      <c r="S16" s="260">
        <v>2006</v>
      </c>
      <c r="T16" s="260" t="s">
        <v>161</v>
      </c>
      <c r="U16" s="386">
        <v>42653</v>
      </c>
      <c r="V16" s="387"/>
      <c r="W16" s="260">
        <f>COUNT(RawMaterials[[#This Row],[Lab Quantity 1]:[Lab Quantity 4]])</f>
        <v>0</v>
      </c>
      <c r="X16" s="260"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 s="260"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 s="260"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 s="260"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 s="260" t="e">
        <f>RawMaterials[[#This Row],[Lab Price 1]]/RawMaterials[[#This Row],[Lab Q Model Units 1]]</f>
        <v>#N/A</v>
      </c>
      <c r="AC16" s="260" t="e">
        <f>RawMaterials[[#This Row],[Lab Price 2]]/RawMaterials[[#This Row],[Lab Q Model Units 2]]</f>
        <v>#N/A</v>
      </c>
      <c r="AD16" s="260" t="e">
        <f>RawMaterials[[#This Row],[Lab Price 3]]/RawMaterials[[#This Row],[Lab Q Model Units 3]]</f>
        <v>#N/A</v>
      </c>
      <c r="AE16" s="260" t="e">
        <f>RawMaterials[[#This Row],[Lab Price 4]]/RawMaterials[[#This Row],[Lab Q Model Units 4]]</f>
        <v>#N/A</v>
      </c>
      <c r="AF16" s="260" t="str">
        <f ca="1">IF(RawMaterials[[#This Row],[Lab Quote Count]]&gt;1,SLOPE(LOG(INDIRECT("RawMaterials[@[Lab Unit P 1]:[Lab Unit P "&amp;RawMaterials[[#This Row],[Lab Quote Count]]&amp;"]]")),LOG(INDIRECT("RawMaterials[@[Lab Q Model Units 1]:[Lab Q Model Units "&amp;RawMaterials[[#This Row],[Lab Quote Count]]&amp;"]]"))),"")</f>
        <v/>
      </c>
      <c r="AG16" s="260" t="str">
        <f ca="1">IF(RawMaterials[[#This Row],[Lab Quote Count]]&gt;1,INTERCEPT(LOG(INDIRECT("RawMaterials[@[Lab Unit P 1]:[Lab Unit P "&amp;RawMaterials[[#This Row],[Lab Quote Count]]&amp;"]]")),LOG(INDIRECT("RawMaterials[@[Lab Q Model Units 1]:[Lab Q Model Units "&amp;RawMaterials[[#This Row],[Lab Quote Count]]&amp;"]]"))),"")</f>
        <v/>
      </c>
      <c r="AH16" s="388" t="str">
        <f>IF(RawMaterials[[#This Row],[Material Type]]="Metal Precursor","D13",IF(RawMaterials[[#This Row],[Material Type]]="Ligand","D13","D12"))</f>
        <v>D12</v>
      </c>
      <c r="AI16" s="389" t="str">
        <f ca="1">IF(RawMaterials[[#This Row],[Lab Quote Count]]&gt;1,10^RawMaterials[[#This Row],[Lab Log-Log Intercept]]*INDIRECT(RawMaterials[[#This Row],[Basis Cell]])^RawMaterials[[#This Row],[Lab Log-Log Slope]],"&gt;&gt;&gt; Enter 2 or more lab quotes &lt;&lt;&lt;")</f>
        <v>&gt;&gt;&gt; Enter 2 or more lab quotes &lt;&lt;&lt;</v>
      </c>
      <c r="AJ16" s="264">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 s="390">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1.9400679072269227</v>
      </c>
      <c r="AL16" s="390">
        <f>IF(ISTEXT(RawMaterials[[#This Row],[Unit price in quote year]]),"Check calcs",RawMaterials[[#This Row],[Unit price in quote year]]/VLOOKUP(RawMaterials[[#This Row],[Quote Year]],ChemPPI[],14,FALSE)*VLOOKUP(BasisYear,ChemPPI[],14,FALSE))</f>
        <v>2.6330901322170281</v>
      </c>
      <c r="AM16" s="391" t="str">
        <f t="shared" ref="AM16:AM79" si="0">CurrencySymbol&amp;"/"&amp;OutMassUnit&amp;" ("&amp;BasisYear&amp;")"</f>
        <v>$/kg (2016)</v>
      </c>
    </row>
    <row r="17" spans="1:39">
      <c r="A17" s="259" t="s">
        <v>1114</v>
      </c>
      <c r="B17" s="260"/>
      <c r="C17" s="260"/>
      <c r="D17" s="260"/>
      <c r="E17" s="260">
        <v>100</v>
      </c>
      <c r="F17" s="260"/>
      <c r="G17" s="260"/>
      <c r="H17" s="260"/>
      <c r="I17" s="262"/>
      <c r="J17" s="260"/>
      <c r="K17" s="260"/>
      <c r="L17" s="260"/>
      <c r="M17" s="260"/>
      <c r="N17" s="260"/>
      <c r="O17" s="260"/>
      <c r="P17" s="261">
        <v>0.77500000000000002</v>
      </c>
      <c r="Q17" s="260">
        <v>1</v>
      </c>
      <c r="R17" s="260" t="s">
        <v>20</v>
      </c>
      <c r="S17" s="260">
        <v>2006</v>
      </c>
      <c r="T17" s="260" t="s">
        <v>161</v>
      </c>
      <c r="U17" s="386">
        <v>42653</v>
      </c>
      <c r="V17" s="387"/>
      <c r="W17" s="354">
        <f>COUNT(RawMaterials[[#This Row],[Lab Quantity 1]:[Lab Quantity 4]])</f>
        <v>0</v>
      </c>
      <c r="X1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 s="392" t="e">
        <f>RawMaterials[[#This Row],[Lab Price 1]]/RawMaterials[[#This Row],[Lab Q Model Units 1]]</f>
        <v>#N/A</v>
      </c>
      <c r="AC17" s="392" t="e">
        <f>RawMaterials[[#This Row],[Lab Price 2]]/RawMaterials[[#This Row],[Lab Q Model Units 2]]</f>
        <v>#N/A</v>
      </c>
      <c r="AD17" s="392" t="e">
        <f>RawMaterials[[#This Row],[Lab Price 3]]/RawMaterials[[#This Row],[Lab Q Model Units 3]]</f>
        <v>#N/A</v>
      </c>
      <c r="AE17" s="392" t="e">
        <f>RawMaterials[[#This Row],[Lab Price 4]]/RawMaterials[[#This Row],[Lab Q Model Units 4]]</f>
        <v>#N/A</v>
      </c>
      <c r="AF17" s="392" t="str">
        <f ca="1">IF(RawMaterials[[#This Row],[Lab Quote Count]]&gt;1,SLOPE(LOG(INDIRECT("RawMaterials[@[Lab Unit P 1]:[Lab Unit P "&amp;RawMaterials[[#This Row],[Lab Quote Count]]&amp;"]]")),LOG(INDIRECT("RawMaterials[@[Lab Q Model Units 1]:[Lab Q Model Units "&amp;RawMaterials[[#This Row],[Lab Quote Count]]&amp;"]]"))),"")</f>
        <v/>
      </c>
      <c r="AG17" s="392" t="str">
        <f ca="1">IF(RawMaterials[[#This Row],[Lab Quote Count]]&gt;1,INTERCEPT(LOG(INDIRECT("RawMaterials[@[Lab Unit P 1]:[Lab Unit P "&amp;RawMaterials[[#This Row],[Lab Quote Count]]&amp;"]]")),LOG(INDIRECT("RawMaterials[@[Lab Q Model Units 1]:[Lab Q Model Units "&amp;RawMaterials[[#This Row],[Lab Quote Count]]&amp;"]]"))),"")</f>
        <v/>
      </c>
      <c r="AH17" s="393" t="str">
        <f>IF(RawMaterials[[#This Row],[Material Type]]="Metal Precursor","D13",IF(RawMaterials[[#This Row],[Material Type]]="Ligand","D13","D12"))</f>
        <v>D12</v>
      </c>
      <c r="AI17" s="394" t="str">
        <f ca="1">IF(RawMaterials[[#This Row],[Lab Quote Count]]&gt;1,10^RawMaterials[[#This Row],[Lab Log-Log Intercept]]*INDIRECT(RawMaterials[[#This Row],[Basis Cell]])^RawMaterials[[#This Row],[Lab Log-Log Slope]],"&gt;&gt;&gt; Enter 2 or more lab quotes &lt;&lt;&lt;")</f>
        <v>&gt;&gt;&gt; Enter 2 or more lab quotes &lt;&lt;&lt;</v>
      </c>
      <c r="AJ1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1.7085825319328012</v>
      </c>
      <c r="AL17" s="396">
        <f>IF(ISTEXT(RawMaterials[[#This Row],[Unit price in quote year]]),"Check calcs",RawMaterials[[#This Row],[Unit price in quote year]]/VLOOKUP(RawMaterials[[#This Row],[Quote Year]],ChemPPI[],14,FALSE)*VLOOKUP(BasisYear,ChemPPI[],14,FALSE))</f>
        <v>2.3189146050774965</v>
      </c>
      <c r="AM17" s="397" t="str">
        <f t="shared" si="0"/>
        <v>$/kg (2016)</v>
      </c>
    </row>
    <row r="18" spans="1:39">
      <c r="A18" s="259" t="s">
        <v>1115</v>
      </c>
      <c r="B18" s="260"/>
      <c r="C18" s="260"/>
      <c r="D18" s="260"/>
      <c r="E18" s="260">
        <v>100</v>
      </c>
      <c r="F18" s="260"/>
      <c r="G18" s="260"/>
      <c r="H18" s="260"/>
      <c r="I18" s="262"/>
      <c r="J18" s="260"/>
      <c r="K18" s="260"/>
      <c r="L18" s="260"/>
      <c r="M18" s="260"/>
      <c r="N18" s="260"/>
      <c r="O18" s="260"/>
      <c r="P18" s="261">
        <v>0.77500000000000002</v>
      </c>
      <c r="Q18" s="260">
        <v>1</v>
      </c>
      <c r="R18" s="260" t="s">
        <v>20</v>
      </c>
      <c r="S18" s="260">
        <v>2006</v>
      </c>
      <c r="T18" s="260" t="s">
        <v>161</v>
      </c>
      <c r="U18" s="386">
        <v>42653</v>
      </c>
      <c r="V18" s="387"/>
      <c r="W18" s="354">
        <f>COUNT(RawMaterials[[#This Row],[Lab Quantity 1]:[Lab Quantity 4]])</f>
        <v>0</v>
      </c>
      <c r="X1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 s="392" t="e">
        <f>RawMaterials[[#This Row],[Lab Price 1]]/RawMaterials[[#This Row],[Lab Q Model Units 1]]</f>
        <v>#N/A</v>
      </c>
      <c r="AC18" s="392" t="e">
        <f>RawMaterials[[#This Row],[Lab Price 2]]/RawMaterials[[#This Row],[Lab Q Model Units 2]]</f>
        <v>#N/A</v>
      </c>
      <c r="AD18" s="392" t="e">
        <f>RawMaterials[[#This Row],[Lab Price 3]]/RawMaterials[[#This Row],[Lab Q Model Units 3]]</f>
        <v>#N/A</v>
      </c>
      <c r="AE18" s="392" t="e">
        <f>RawMaterials[[#This Row],[Lab Price 4]]/RawMaterials[[#This Row],[Lab Q Model Units 4]]</f>
        <v>#N/A</v>
      </c>
      <c r="AF18" s="392" t="str">
        <f ca="1">IF(RawMaterials[[#This Row],[Lab Quote Count]]&gt;1,SLOPE(LOG(INDIRECT("RawMaterials[@[Lab Unit P 1]:[Lab Unit P "&amp;RawMaterials[[#This Row],[Lab Quote Count]]&amp;"]]")),LOG(INDIRECT("RawMaterials[@[Lab Q Model Units 1]:[Lab Q Model Units "&amp;RawMaterials[[#This Row],[Lab Quote Count]]&amp;"]]"))),"")</f>
        <v/>
      </c>
      <c r="AG18" s="392" t="str">
        <f ca="1">IF(RawMaterials[[#This Row],[Lab Quote Count]]&gt;1,INTERCEPT(LOG(INDIRECT("RawMaterials[@[Lab Unit P 1]:[Lab Unit P "&amp;RawMaterials[[#This Row],[Lab Quote Count]]&amp;"]]")),LOG(INDIRECT("RawMaterials[@[Lab Q Model Units 1]:[Lab Q Model Units "&amp;RawMaterials[[#This Row],[Lab Quote Count]]&amp;"]]"))),"")</f>
        <v/>
      </c>
      <c r="AH18" s="393" t="str">
        <f>IF(RawMaterials[[#This Row],[Material Type]]="Metal Precursor","D13",IF(RawMaterials[[#This Row],[Material Type]]="Ligand","D13","D12"))</f>
        <v>D12</v>
      </c>
      <c r="AI18" s="394" t="str">
        <f ca="1">IF(RawMaterials[[#This Row],[Lab Quote Count]]&gt;1,10^RawMaterials[[#This Row],[Lab Log-Log Intercept]]*INDIRECT(RawMaterials[[#This Row],[Basis Cell]])^RawMaterials[[#This Row],[Lab Log-Log Slope]],"&gt;&gt;&gt; Enter 2 or more lab quotes &lt;&lt;&lt;")</f>
        <v>&gt;&gt;&gt; Enter 2 or more lab quotes &lt;&lt;&lt;</v>
      </c>
      <c r="AJ1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1.7085825319328012</v>
      </c>
      <c r="AL18" s="396">
        <f>IF(ISTEXT(RawMaterials[[#This Row],[Unit price in quote year]]),"Check calcs",RawMaterials[[#This Row],[Unit price in quote year]]/VLOOKUP(RawMaterials[[#This Row],[Quote Year]],ChemPPI[],14,FALSE)*VLOOKUP(BasisYear,ChemPPI[],14,FALSE))</f>
        <v>2.3189146050774965</v>
      </c>
      <c r="AM18" s="397" t="str">
        <f t="shared" si="0"/>
        <v>$/kg (2016)</v>
      </c>
    </row>
    <row r="19" spans="1:39">
      <c r="A19" s="259" t="s">
        <v>1116</v>
      </c>
      <c r="B19" s="260"/>
      <c r="C19" s="260"/>
      <c r="D19" s="260"/>
      <c r="E19" s="260">
        <v>100</v>
      </c>
      <c r="F19" s="260"/>
      <c r="G19" s="260"/>
      <c r="H19" s="260"/>
      <c r="I19" s="262"/>
      <c r="J19" s="260"/>
      <c r="K19" s="260"/>
      <c r="L19" s="260"/>
      <c r="M19" s="260"/>
      <c r="N19" s="260"/>
      <c r="O19" s="260"/>
      <c r="P19" s="261">
        <v>0.63500000000000001</v>
      </c>
      <c r="Q19" s="260">
        <v>1</v>
      </c>
      <c r="R19" s="260" t="s">
        <v>20</v>
      </c>
      <c r="S19" s="260">
        <v>2006</v>
      </c>
      <c r="T19" s="260" t="s">
        <v>161</v>
      </c>
      <c r="U19" s="386">
        <v>42653</v>
      </c>
      <c r="V19" s="387"/>
      <c r="W19" s="354">
        <f>COUNT(RawMaterials[[#This Row],[Lab Quantity 1]:[Lab Quantity 4]])</f>
        <v>0</v>
      </c>
      <c r="X1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 s="392" t="e">
        <f>RawMaterials[[#This Row],[Lab Price 1]]/RawMaterials[[#This Row],[Lab Q Model Units 1]]</f>
        <v>#N/A</v>
      </c>
      <c r="AC19" s="392" t="e">
        <f>RawMaterials[[#This Row],[Lab Price 2]]/RawMaterials[[#This Row],[Lab Q Model Units 2]]</f>
        <v>#N/A</v>
      </c>
      <c r="AD19" s="392" t="e">
        <f>RawMaterials[[#This Row],[Lab Price 3]]/RawMaterials[[#This Row],[Lab Q Model Units 3]]</f>
        <v>#N/A</v>
      </c>
      <c r="AE19" s="392" t="e">
        <f>RawMaterials[[#This Row],[Lab Price 4]]/RawMaterials[[#This Row],[Lab Q Model Units 4]]</f>
        <v>#N/A</v>
      </c>
      <c r="AF19" s="392" t="str">
        <f ca="1">IF(RawMaterials[[#This Row],[Lab Quote Count]]&gt;1,SLOPE(LOG(INDIRECT("RawMaterials[@[Lab Unit P 1]:[Lab Unit P "&amp;RawMaterials[[#This Row],[Lab Quote Count]]&amp;"]]")),LOG(INDIRECT("RawMaterials[@[Lab Q Model Units 1]:[Lab Q Model Units "&amp;RawMaterials[[#This Row],[Lab Quote Count]]&amp;"]]"))),"")</f>
        <v/>
      </c>
      <c r="AG19" s="392" t="str">
        <f ca="1">IF(RawMaterials[[#This Row],[Lab Quote Count]]&gt;1,INTERCEPT(LOG(INDIRECT("RawMaterials[@[Lab Unit P 1]:[Lab Unit P "&amp;RawMaterials[[#This Row],[Lab Quote Count]]&amp;"]]")),LOG(INDIRECT("RawMaterials[@[Lab Q Model Units 1]:[Lab Q Model Units "&amp;RawMaterials[[#This Row],[Lab Quote Count]]&amp;"]]"))),"")</f>
        <v/>
      </c>
      <c r="AH19" s="393" t="str">
        <f>IF(RawMaterials[[#This Row],[Material Type]]="Metal Precursor","D13",IF(RawMaterials[[#This Row],[Material Type]]="Ligand","D13","D12"))</f>
        <v>D12</v>
      </c>
      <c r="AI19" s="394" t="str">
        <f ca="1">IF(RawMaterials[[#This Row],[Lab Quote Count]]&gt;1,10^RawMaterials[[#This Row],[Lab Log-Log Intercept]]*INDIRECT(RawMaterials[[#This Row],[Basis Cell]])^RawMaterials[[#This Row],[Lab Log-Log Slope]],"&gt;&gt;&gt; Enter 2 or more lab quotes &lt;&lt;&lt;")</f>
        <v>&gt;&gt;&gt; Enter 2 or more lab quotes &lt;&lt;&lt;</v>
      </c>
      <c r="AJ1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1.3999353648739725</v>
      </c>
      <c r="AL19" s="396">
        <f>IF(ISTEXT(RawMaterials[[#This Row],[Unit price in quote year]]),"Check calcs",RawMaterials[[#This Row],[Unit price in quote year]]/VLOOKUP(RawMaterials[[#This Row],[Quote Year]],ChemPPI[],14,FALSE)*VLOOKUP(BasisYear,ChemPPI[],14,FALSE))</f>
        <v>1.9000139022247871</v>
      </c>
      <c r="AM19" s="397" t="str">
        <f t="shared" si="0"/>
        <v>$/kg (2016)</v>
      </c>
    </row>
    <row r="20" spans="1:39">
      <c r="A20" s="259" t="s">
        <v>1117</v>
      </c>
      <c r="B20" s="260"/>
      <c r="C20" s="260"/>
      <c r="D20" s="260"/>
      <c r="E20" s="260">
        <v>100</v>
      </c>
      <c r="F20" s="260"/>
      <c r="G20" s="260"/>
      <c r="H20" s="260"/>
      <c r="I20" s="262"/>
      <c r="J20" s="260"/>
      <c r="K20" s="260"/>
      <c r="L20" s="260"/>
      <c r="M20" s="260"/>
      <c r="N20" s="260"/>
      <c r="O20" s="260"/>
      <c r="P20" s="261">
        <v>0.84499999999999997</v>
      </c>
      <c r="Q20" s="260">
        <v>1</v>
      </c>
      <c r="R20" s="260" t="s">
        <v>20</v>
      </c>
      <c r="S20" s="260">
        <v>2006</v>
      </c>
      <c r="T20" s="260" t="s">
        <v>161</v>
      </c>
      <c r="U20" s="386">
        <v>42653</v>
      </c>
      <c r="V20" s="387"/>
      <c r="W20" s="354">
        <f>COUNT(RawMaterials[[#This Row],[Lab Quantity 1]:[Lab Quantity 4]])</f>
        <v>0</v>
      </c>
      <c r="X2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 s="392" t="e">
        <f>RawMaterials[[#This Row],[Lab Price 1]]/RawMaterials[[#This Row],[Lab Q Model Units 1]]</f>
        <v>#N/A</v>
      </c>
      <c r="AC20" s="392" t="e">
        <f>RawMaterials[[#This Row],[Lab Price 2]]/RawMaterials[[#This Row],[Lab Q Model Units 2]]</f>
        <v>#N/A</v>
      </c>
      <c r="AD20" s="392" t="e">
        <f>RawMaterials[[#This Row],[Lab Price 3]]/RawMaterials[[#This Row],[Lab Q Model Units 3]]</f>
        <v>#N/A</v>
      </c>
      <c r="AE20" s="392" t="e">
        <f>RawMaterials[[#This Row],[Lab Price 4]]/RawMaterials[[#This Row],[Lab Q Model Units 4]]</f>
        <v>#N/A</v>
      </c>
      <c r="AF20" s="392" t="str">
        <f ca="1">IF(RawMaterials[[#This Row],[Lab Quote Count]]&gt;1,SLOPE(LOG(INDIRECT("RawMaterials[@[Lab Unit P 1]:[Lab Unit P "&amp;RawMaterials[[#This Row],[Lab Quote Count]]&amp;"]]")),LOG(INDIRECT("RawMaterials[@[Lab Q Model Units 1]:[Lab Q Model Units "&amp;RawMaterials[[#This Row],[Lab Quote Count]]&amp;"]]"))),"")</f>
        <v/>
      </c>
      <c r="AG20" s="392" t="str">
        <f ca="1">IF(RawMaterials[[#This Row],[Lab Quote Count]]&gt;1,INTERCEPT(LOG(INDIRECT("RawMaterials[@[Lab Unit P 1]:[Lab Unit P "&amp;RawMaterials[[#This Row],[Lab Quote Count]]&amp;"]]")),LOG(INDIRECT("RawMaterials[@[Lab Q Model Units 1]:[Lab Q Model Units "&amp;RawMaterials[[#This Row],[Lab Quote Count]]&amp;"]]"))),"")</f>
        <v/>
      </c>
      <c r="AH20" s="393" t="str">
        <f>IF(RawMaterials[[#This Row],[Material Type]]="Metal Precursor","D13",IF(RawMaterials[[#This Row],[Material Type]]="Ligand","D13","D12"))</f>
        <v>D12</v>
      </c>
      <c r="AI20" s="394" t="str">
        <f ca="1">IF(RawMaterials[[#This Row],[Lab Quote Count]]&gt;1,10^RawMaterials[[#This Row],[Lab Log-Log Intercept]]*INDIRECT(RawMaterials[[#This Row],[Basis Cell]])^RawMaterials[[#This Row],[Lab Log-Log Slope]],"&gt;&gt;&gt; Enter 2 or more lab quotes &lt;&lt;&lt;")</f>
        <v>&gt;&gt;&gt; Enter 2 or more lab quotes &lt;&lt;&lt;</v>
      </c>
      <c r="AJ2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1.8629061154622153</v>
      </c>
      <c r="AL20" s="396">
        <f>IF(ISTEXT(RawMaterials[[#This Row],[Unit price in quote year]]),"Check calcs",RawMaterials[[#This Row],[Unit price in quote year]]/VLOOKUP(RawMaterials[[#This Row],[Quote Year]],ChemPPI[],14,FALSE)*VLOOKUP(BasisYear,ChemPPI[],14,FALSE))</f>
        <v>2.5283649565038506</v>
      </c>
      <c r="AM20" s="397" t="str">
        <f t="shared" si="0"/>
        <v>$/kg (2016)</v>
      </c>
    </row>
    <row r="21" spans="1:39">
      <c r="A21" s="259" t="s">
        <v>1118</v>
      </c>
      <c r="B21" s="260"/>
      <c r="C21" s="260"/>
      <c r="D21" s="260"/>
      <c r="E21" s="260">
        <v>100</v>
      </c>
      <c r="F21" s="260"/>
      <c r="G21" s="260"/>
      <c r="H21" s="260"/>
      <c r="I21" s="262"/>
      <c r="J21" s="260"/>
      <c r="K21" s="260"/>
      <c r="L21" s="260"/>
      <c r="M21" s="260"/>
      <c r="N21" s="260"/>
      <c r="O21" s="260"/>
      <c r="P21" s="261">
        <v>0.5</v>
      </c>
      <c r="Q21" s="260">
        <v>1</v>
      </c>
      <c r="R21" s="260" t="s">
        <v>20</v>
      </c>
      <c r="S21" s="260">
        <v>2006</v>
      </c>
      <c r="T21" s="260" t="s">
        <v>161</v>
      </c>
      <c r="U21" s="386">
        <v>42653</v>
      </c>
      <c r="V21" s="387"/>
      <c r="W21" s="354">
        <f>COUNT(RawMaterials[[#This Row],[Lab Quantity 1]:[Lab Quantity 4]])</f>
        <v>0</v>
      </c>
      <c r="X2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 s="392" t="e">
        <f>RawMaterials[[#This Row],[Lab Price 1]]/RawMaterials[[#This Row],[Lab Q Model Units 1]]</f>
        <v>#N/A</v>
      </c>
      <c r="AC21" s="392" t="e">
        <f>RawMaterials[[#This Row],[Lab Price 2]]/RawMaterials[[#This Row],[Lab Q Model Units 2]]</f>
        <v>#N/A</v>
      </c>
      <c r="AD21" s="392" t="e">
        <f>RawMaterials[[#This Row],[Lab Price 3]]/RawMaterials[[#This Row],[Lab Q Model Units 3]]</f>
        <v>#N/A</v>
      </c>
      <c r="AE21" s="392" t="e">
        <f>RawMaterials[[#This Row],[Lab Price 4]]/RawMaterials[[#This Row],[Lab Q Model Units 4]]</f>
        <v>#N/A</v>
      </c>
      <c r="AF21" s="392" t="str">
        <f ca="1">IF(RawMaterials[[#This Row],[Lab Quote Count]]&gt;1,SLOPE(LOG(INDIRECT("RawMaterials[@[Lab Unit P 1]:[Lab Unit P "&amp;RawMaterials[[#This Row],[Lab Quote Count]]&amp;"]]")),LOG(INDIRECT("RawMaterials[@[Lab Q Model Units 1]:[Lab Q Model Units "&amp;RawMaterials[[#This Row],[Lab Quote Count]]&amp;"]]"))),"")</f>
        <v/>
      </c>
      <c r="AG21" s="392" t="str">
        <f ca="1">IF(RawMaterials[[#This Row],[Lab Quote Count]]&gt;1,INTERCEPT(LOG(INDIRECT("RawMaterials[@[Lab Unit P 1]:[Lab Unit P "&amp;RawMaterials[[#This Row],[Lab Quote Count]]&amp;"]]")),LOG(INDIRECT("RawMaterials[@[Lab Q Model Units 1]:[Lab Q Model Units "&amp;RawMaterials[[#This Row],[Lab Quote Count]]&amp;"]]"))),"")</f>
        <v/>
      </c>
      <c r="AH21" s="393" t="str">
        <f>IF(RawMaterials[[#This Row],[Material Type]]="Metal Precursor","D13",IF(RawMaterials[[#This Row],[Material Type]]="Ligand","D13","D12"))</f>
        <v>D12</v>
      </c>
      <c r="AI21" s="394" t="str">
        <f ca="1">IF(RawMaterials[[#This Row],[Lab Quote Count]]&gt;1,10^RawMaterials[[#This Row],[Lab Log-Log Intercept]]*INDIRECT(RawMaterials[[#This Row],[Basis Cell]])^RawMaterials[[#This Row],[Lab Log-Log Slope]],"&gt;&gt;&gt; Enter 2 or more lab quotes &lt;&lt;&lt;")</f>
        <v>&gt;&gt;&gt; Enter 2 or more lab quotes &lt;&lt;&lt;</v>
      </c>
      <c r="AJ2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1.1023113109243878</v>
      </c>
      <c r="AL21" s="396">
        <f>IF(ISTEXT(RawMaterials[[#This Row],[Unit price in quote year]]),"Check calcs",RawMaterials[[#This Row],[Unit price in quote year]]/VLOOKUP(RawMaterials[[#This Row],[Quote Year]],ChemPPI[],14,FALSE)*VLOOKUP(BasisYear,ChemPPI[],14,FALSE))</f>
        <v>1.4960739387596749</v>
      </c>
      <c r="AM21" s="397" t="str">
        <f t="shared" si="0"/>
        <v>$/kg (2016)</v>
      </c>
    </row>
    <row r="22" spans="1:39">
      <c r="A22" s="259" t="s">
        <v>1119</v>
      </c>
      <c r="B22" s="260"/>
      <c r="C22" s="260"/>
      <c r="D22" s="260"/>
      <c r="E22" s="260">
        <v>100</v>
      </c>
      <c r="F22" s="260"/>
      <c r="G22" s="260"/>
      <c r="H22" s="260"/>
      <c r="I22" s="262"/>
      <c r="J22" s="260"/>
      <c r="K22" s="260"/>
      <c r="L22" s="260"/>
      <c r="M22" s="260"/>
      <c r="N22" s="260"/>
      <c r="O22" s="260"/>
      <c r="P22" s="261">
        <v>0.45500000000000002</v>
      </c>
      <c r="Q22" s="260">
        <v>1</v>
      </c>
      <c r="R22" s="260" t="s">
        <v>20</v>
      </c>
      <c r="S22" s="260">
        <v>2006</v>
      </c>
      <c r="T22" s="260" t="s">
        <v>161</v>
      </c>
      <c r="U22" s="386">
        <v>42653</v>
      </c>
      <c r="V22" s="387"/>
      <c r="W22" s="354">
        <f>COUNT(RawMaterials[[#This Row],[Lab Quantity 1]:[Lab Quantity 4]])</f>
        <v>0</v>
      </c>
      <c r="X2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 s="392" t="e">
        <f>RawMaterials[[#This Row],[Lab Price 1]]/RawMaterials[[#This Row],[Lab Q Model Units 1]]</f>
        <v>#N/A</v>
      </c>
      <c r="AC22" s="392" t="e">
        <f>RawMaterials[[#This Row],[Lab Price 2]]/RawMaterials[[#This Row],[Lab Q Model Units 2]]</f>
        <v>#N/A</v>
      </c>
      <c r="AD22" s="392" t="e">
        <f>RawMaterials[[#This Row],[Lab Price 3]]/RawMaterials[[#This Row],[Lab Q Model Units 3]]</f>
        <v>#N/A</v>
      </c>
      <c r="AE22" s="392" t="e">
        <f>RawMaterials[[#This Row],[Lab Price 4]]/RawMaterials[[#This Row],[Lab Q Model Units 4]]</f>
        <v>#N/A</v>
      </c>
      <c r="AF22" s="392" t="str">
        <f ca="1">IF(RawMaterials[[#This Row],[Lab Quote Count]]&gt;1,SLOPE(LOG(INDIRECT("RawMaterials[@[Lab Unit P 1]:[Lab Unit P "&amp;RawMaterials[[#This Row],[Lab Quote Count]]&amp;"]]")),LOG(INDIRECT("RawMaterials[@[Lab Q Model Units 1]:[Lab Q Model Units "&amp;RawMaterials[[#This Row],[Lab Quote Count]]&amp;"]]"))),"")</f>
        <v/>
      </c>
      <c r="AG22" s="392" t="str">
        <f ca="1">IF(RawMaterials[[#This Row],[Lab Quote Count]]&gt;1,INTERCEPT(LOG(INDIRECT("RawMaterials[@[Lab Unit P 1]:[Lab Unit P "&amp;RawMaterials[[#This Row],[Lab Quote Count]]&amp;"]]")),LOG(INDIRECT("RawMaterials[@[Lab Q Model Units 1]:[Lab Q Model Units "&amp;RawMaterials[[#This Row],[Lab Quote Count]]&amp;"]]"))),"")</f>
        <v/>
      </c>
      <c r="AH22" s="393" t="str">
        <f>IF(RawMaterials[[#This Row],[Material Type]]="Metal Precursor","D13",IF(RawMaterials[[#This Row],[Material Type]]="Ligand","D13","D12"))</f>
        <v>D12</v>
      </c>
      <c r="AI22" s="394" t="str">
        <f ca="1">IF(RawMaterials[[#This Row],[Lab Quote Count]]&gt;1,10^RawMaterials[[#This Row],[Lab Log-Log Intercept]]*INDIRECT(RawMaterials[[#This Row],[Basis Cell]])^RawMaterials[[#This Row],[Lab Log-Log Slope]],"&gt;&gt;&gt; Enter 2 or more lab quotes &lt;&lt;&lt;")</f>
        <v>&gt;&gt;&gt; Enter 2 or more lab quotes &lt;&lt;&lt;</v>
      </c>
      <c r="AJ2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1.0031032929411929</v>
      </c>
      <c r="AL22" s="396">
        <f>IF(ISTEXT(RawMaterials[[#This Row],[Unit price in quote year]]),"Check calcs",RawMaterials[[#This Row],[Unit price in quote year]]/VLOOKUP(RawMaterials[[#This Row],[Quote Year]],ChemPPI[],14,FALSE)*VLOOKUP(BasisYear,ChemPPI[],14,FALSE))</f>
        <v>1.3614272842713042</v>
      </c>
      <c r="AM22" s="397" t="str">
        <f t="shared" si="0"/>
        <v>$/kg (2016)</v>
      </c>
    </row>
    <row r="23" spans="1:39">
      <c r="A23" s="259" t="s">
        <v>1120</v>
      </c>
      <c r="B23" s="260"/>
      <c r="C23" s="260"/>
      <c r="D23" s="260"/>
      <c r="E23" s="260">
        <v>100</v>
      </c>
      <c r="F23" s="260"/>
      <c r="G23" s="260"/>
      <c r="H23" s="260"/>
      <c r="I23" s="262"/>
      <c r="J23" s="260"/>
      <c r="K23" s="260"/>
      <c r="L23" s="260"/>
      <c r="M23" s="260"/>
      <c r="N23" s="260"/>
      <c r="O23" s="260"/>
      <c r="P23" s="261">
        <v>0.38</v>
      </c>
      <c r="Q23" s="260">
        <v>1</v>
      </c>
      <c r="R23" s="260" t="s">
        <v>20</v>
      </c>
      <c r="S23" s="260">
        <v>2008</v>
      </c>
      <c r="T23" s="260" t="s">
        <v>161</v>
      </c>
      <c r="U23" s="386">
        <v>42653</v>
      </c>
      <c r="V23" s="387"/>
      <c r="W23" s="354">
        <f>COUNT(RawMaterials[[#This Row],[Lab Quantity 1]:[Lab Quantity 4]])</f>
        <v>0</v>
      </c>
      <c r="X2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 s="392" t="e">
        <f>RawMaterials[[#This Row],[Lab Price 1]]/RawMaterials[[#This Row],[Lab Q Model Units 1]]</f>
        <v>#N/A</v>
      </c>
      <c r="AC23" s="392" t="e">
        <f>RawMaterials[[#This Row],[Lab Price 2]]/RawMaterials[[#This Row],[Lab Q Model Units 2]]</f>
        <v>#N/A</v>
      </c>
      <c r="AD23" s="392" t="e">
        <f>RawMaterials[[#This Row],[Lab Price 3]]/RawMaterials[[#This Row],[Lab Q Model Units 3]]</f>
        <v>#N/A</v>
      </c>
      <c r="AE23" s="392" t="e">
        <f>RawMaterials[[#This Row],[Lab Price 4]]/RawMaterials[[#This Row],[Lab Q Model Units 4]]</f>
        <v>#N/A</v>
      </c>
      <c r="AF23" s="392" t="str">
        <f ca="1">IF(RawMaterials[[#This Row],[Lab Quote Count]]&gt;1,SLOPE(LOG(INDIRECT("RawMaterials[@[Lab Unit P 1]:[Lab Unit P "&amp;RawMaterials[[#This Row],[Lab Quote Count]]&amp;"]]")),LOG(INDIRECT("RawMaterials[@[Lab Q Model Units 1]:[Lab Q Model Units "&amp;RawMaterials[[#This Row],[Lab Quote Count]]&amp;"]]"))),"")</f>
        <v/>
      </c>
      <c r="AG23" s="392" t="str">
        <f ca="1">IF(RawMaterials[[#This Row],[Lab Quote Count]]&gt;1,INTERCEPT(LOG(INDIRECT("RawMaterials[@[Lab Unit P 1]:[Lab Unit P "&amp;RawMaterials[[#This Row],[Lab Quote Count]]&amp;"]]")),LOG(INDIRECT("RawMaterials[@[Lab Q Model Units 1]:[Lab Q Model Units "&amp;RawMaterials[[#This Row],[Lab Quote Count]]&amp;"]]"))),"")</f>
        <v/>
      </c>
      <c r="AH23" s="393" t="str">
        <f>IF(RawMaterials[[#This Row],[Material Type]]="Metal Precursor","D13",IF(RawMaterials[[#This Row],[Material Type]]="Ligand","D13","D12"))</f>
        <v>D12</v>
      </c>
      <c r="AI23" s="394" t="str">
        <f ca="1">IF(RawMaterials[[#This Row],[Lab Quote Count]]&gt;1,10^RawMaterials[[#This Row],[Lab Log-Log Intercept]]*INDIRECT(RawMaterials[[#This Row],[Basis Cell]])^RawMaterials[[#This Row],[Lab Log-Log Slope]],"&gt;&gt;&gt; Enter 2 or more lab quotes &lt;&lt;&lt;")</f>
        <v>&gt;&gt;&gt; Enter 2 or more lab quotes &lt;&lt;&lt;</v>
      </c>
      <c r="AJ2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0.83775659630253474</v>
      </c>
      <c r="AL23" s="396">
        <f>IF(ISTEXT(RawMaterials[[#This Row],[Unit price in quote year]]),"Check calcs",RawMaterials[[#This Row],[Unit price in quote year]]/VLOOKUP(RawMaterials[[#This Row],[Quote Year]],ChemPPI[],14,FALSE)*VLOOKUP(BasisYear,ChemPPI[],14,FALSE))</f>
        <v>0.98052855302862318</v>
      </c>
      <c r="AM23" s="397" t="str">
        <f t="shared" si="0"/>
        <v>$/kg (2016)</v>
      </c>
    </row>
    <row r="24" spans="1:39">
      <c r="A24" s="259" t="s">
        <v>1121</v>
      </c>
      <c r="B24" s="260"/>
      <c r="C24" s="260"/>
      <c r="D24" s="260"/>
      <c r="E24" s="260">
        <v>100</v>
      </c>
      <c r="F24" s="260"/>
      <c r="G24" s="260"/>
      <c r="H24" s="260"/>
      <c r="I24" s="262"/>
      <c r="J24" s="260"/>
      <c r="K24" s="260"/>
      <c r="L24" s="260"/>
      <c r="M24" s="260"/>
      <c r="N24" s="260"/>
      <c r="O24" s="260"/>
      <c r="P24" s="261">
        <v>0.68</v>
      </c>
      <c r="Q24" s="260">
        <v>1</v>
      </c>
      <c r="R24" s="260" t="s">
        <v>20</v>
      </c>
      <c r="S24" s="260">
        <v>2008</v>
      </c>
      <c r="T24" s="260" t="s">
        <v>161</v>
      </c>
      <c r="U24" s="386">
        <v>42653</v>
      </c>
      <c r="V24" s="387"/>
      <c r="W24" s="354">
        <f>COUNT(RawMaterials[[#This Row],[Lab Quantity 1]:[Lab Quantity 4]])</f>
        <v>0</v>
      </c>
      <c r="X2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 s="392" t="e">
        <f>RawMaterials[[#This Row],[Lab Price 1]]/RawMaterials[[#This Row],[Lab Q Model Units 1]]</f>
        <v>#N/A</v>
      </c>
      <c r="AC24" s="392" t="e">
        <f>RawMaterials[[#This Row],[Lab Price 2]]/RawMaterials[[#This Row],[Lab Q Model Units 2]]</f>
        <v>#N/A</v>
      </c>
      <c r="AD24" s="392" t="e">
        <f>RawMaterials[[#This Row],[Lab Price 3]]/RawMaterials[[#This Row],[Lab Q Model Units 3]]</f>
        <v>#N/A</v>
      </c>
      <c r="AE24" s="392" t="e">
        <f>RawMaterials[[#This Row],[Lab Price 4]]/RawMaterials[[#This Row],[Lab Q Model Units 4]]</f>
        <v>#N/A</v>
      </c>
      <c r="AF24" s="392" t="str">
        <f ca="1">IF(RawMaterials[[#This Row],[Lab Quote Count]]&gt;1,SLOPE(LOG(INDIRECT("RawMaterials[@[Lab Unit P 1]:[Lab Unit P "&amp;RawMaterials[[#This Row],[Lab Quote Count]]&amp;"]]")),LOG(INDIRECT("RawMaterials[@[Lab Q Model Units 1]:[Lab Q Model Units "&amp;RawMaterials[[#This Row],[Lab Quote Count]]&amp;"]]"))),"")</f>
        <v/>
      </c>
      <c r="AG24" s="392" t="str">
        <f ca="1">IF(RawMaterials[[#This Row],[Lab Quote Count]]&gt;1,INTERCEPT(LOG(INDIRECT("RawMaterials[@[Lab Unit P 1]:[Lab Unit P "&amp;RawMaterials[[#This Row],[Lab Quote Count]]&amp;"]]")),LOG(INDIRECT("RawMaterials[@[Lab Q Model Units 1]:[Lab Q Model Units "&amp;RawMaterials[[#This Row],[Lab Quote Count]]&amp;"]]"))),"")</f>
        <v/>
      </c>
      <c r="AH24" s="393" t="str">
        <f>IF(RawMaterials[[#This Row],[Material Type]]="Metal Precursor","D13",IF(RawMaterials[[#This Row],[Material Type]]="Ligand","D13","D12"))</f>
        <v>D12</v>
      </c>
      <c r="AI24" s="394" t="str">
        <f ca="1">IF(RawMaterials[[#This Row],[Lab Quote Count]]&gt;1,10^RawMaterials[[#This Row],[Lab Log-Log Intercept]]*INDIRECT(RawMaterials[[#This Row],[Basis Cell]])^RawMaterials[[#This Row],[Lab Log-Log Slope]],"&gt;&gt;&gt; Enter 2 or more lab quotes &lt;&lt;&lt;")</f>
        <v>&gt;&gt;&gt; Enter 2 or more lab quotes &lt;&lt;&lt;</v>
      </c>
      <c r="AJ2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1.4991433828571676</v>
      </c>
      <c r="AL24" s="396">
        <f>IF(ISTEXT(RawMaterials[[#This Row],[Unit price in quote year]]),"Check calcs",RawMaterials[[#This Row],[Unit price in quote year]]/VLOOKUP(RawMaterials[[#This Row],[Quote Year]],ChemPPI[],14,FALSE)*VLOOKUP(BasisYear,ChemPPI[],14,FALSE))</f>
        <v>1.7546300422617469</v>
      </c>
      <c r="AM24" s="397" t="str">
        <f t="shared" si="0"/>
        <v>$/kg (2016)</v>
      </c>
    </row>
    <row r="25" spans="1:39">
      <c r="A25" s="259" t="s">
        <v>1122</v>
      </c>
      <c r="B25" s="260"/>
      <c r="C25" s="263"/>
      <c r="D25" s="263"/>
      <c r="E25" s="260">
        <v>100</v>
      </c>
      <c r="F25" s="260"/>
      <c r="G25" s="263"/>
      <c r="H25" s="263"/>
      <c r="I25" s="262"/>
      <c r="J25" s="263"/>
      <c r="K25" s="263"/>
      <c r="L25" s="263"/>
      <c r="M25" s="263"/>
      <c r="N25" s="263"/>
      <c r="O25" s="263"/>
      <c r="P25" s="350">
        <v>0.495</v>
      </c>
      <c r="Q25" s="260">
        <v>1</v>
      </c>
      <c r="R25" s="260" t="s">
        <v>20</v>
      </c>
      <c r="S25" s="260">
        <v>2006</v>
      </c>
      <c r="T25" s="260" t="s">
        <v>161</v>
      </c>
      <c r="U25" s="386">
        <v>42653</v>
      </c>
      <c r="V25" s="387"/>
      <c r="W25" s="354">
        <f>COUNT(RawMaterials[[#This Row],[Lab Quantity 1]:[Lab Quantity 4]])</f>
        <v>0</v>
      </c>
      <c r="X2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 s="392" t="e">
        <f>RawMaterials[[#This Row],[Lab Price 1]]/RawMaterials[[#This Row],[Lab Q Model Units 1]]</f>
        <v>#N/A</v>
      </c>
      <c r="AC25" s="392" t="e">
        <f>RawMaterials[[#This Row],[Lab Price 2]]/RawMaterials[[#This Row],[Lab Q Model Units 2]]</f>
        <v>#N/A</v>
      </c>
      <c r="AD25" s="392" t="e">
        <f>RawMaterials[[#This Row],[Lab Price 3]]/RawMaterials[[#This Row],[Lab Q Model Units 3]]</f>
        <v>#N/A</v>
      </c>
      <c r="AE25" s="392" t="e">
        <f>RawMaterials[[#This Row],[Lab Price 4]]/RawMaterials[[#This Row],[Lab Q Model Units 4]]</f>
        <v>#N/A</v>
      </c>
      <c r="AF25" s="392" t="str">
        <f ca="1">IF(RawMaterials[[#This Row],[Lab Quote Count]]&gt;1,SLOPE(LOG(INDIRECT("RawMaterials[@[Lab Unit P 1]:[Lab Unit P "&amp;RawMaterials[[#This Row],[Lab Quote Count]]&amp;"]]")),LOG(INDIRECT("RawMaterials[@[Lab Q Model Units 1]:[Lab Q Model Units "&amp;RawMaterials[[#This Row],[Lab Quote Count]]&amp;"]]"))),"")</f>
        <v/>
      </c>
      <c r="AG25" s="392" t="str">
        <f ca="1">IF(RawMaterials[[#This Row],[Lab Quote Count]]&gt;1,INTERCEPT(LOG(INDIRECT("RawMaterials[@[Lab Unit P 1]:[Lab Unit P "&amp;RawMaterials[[#This Row],[Lab Quote Count]]&amp;"]]")),LOG(INDIRECT("RawMaterials[@[Lab Q Model Units 1]:[Lab Q Model Units "&amp;RawMaterials[[#This Row],[Lab Quote Count]]&amp;"]]"))),"")</f>
        <v/>
      </c>
      <c r="AH25" s="393" t="str">
        <f>IF(RawMaterials[[#This Row],[Material Type]]="Metal Precursor","D13",IF(RawMaterials[[#This Row],[Material Type]]="Ligand","D13","D12"))</f>
        <v>D12</v>
      </c>
      <c r="AI25" s="394" t="str">
        <f ca="1">IF(RawMaterials[[#This Row],[Lab Quote Count]]&gt;1,10^RawMaterials[[#This Row],[Lab Log-Log Intercept]]*INDIRECT(RawMaterials[[#This Row],[Basis Cell]])^RawMaterials[[#This Row],[Lab Log-Log Slope]],"&gt;&gt;&gt; Enter 2 or more lab quotes &lt;&lt;&lt;")</f>
        <v>&gt;&gt;&gt; Enter 2 or more lab quotes &lt;&lt;&lt;</v>
      </c>
      <c r="AJ2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1.0912881978151439</v>
      </c>
      <c r="AL25" s="396">
        <f>IF(ISTEXT(RawMaterials[[#This Row],[Unit price in quote year]]),"Check calcs",RawMaterials[[#This Row],[Unit price in quote year]]/VLOOKUP(RawMaterials[[#This Row],[Quote Year]],ChemPPI[],14,FALSE)*VLOOKUP(BasisYear,ChemPPI[],14,FALSE))</f>
        <v>1.4811131993720783</v>
      </c>
      <c r="AM25" s="397" t="str">
        <f t="shared" si="0"/>
        <v>$/kg (2016)</v>
      </c>
    </row>
    <row r="26" spans="1:39">
      <c r="A26" s="259" t="s">
        <v>1123</v>
      </c>
      <c r="B26" s="260"/>
      <c r="C26" s="263"/>
      <c r="D26" s="263"/>
      <c r="E26" s="260">
        <v>100</v>
      </c>
      <c r="F26" s="260"/>
      <c r="G26" s="263"/>
      <c r="H26" s="263"/>
      <c r="I26" s="262"/>
      <c r="J26" s="263"/>
      <c r="K26" s="263"/>
      <c r="L26" s="263"/>
      <c r="M26" s="263"/>
      <c r="N26" s="263"/>
      <c r="O26" s="263"/>
      <c r="P26" s="350">
        <v>0.72499999999999998</v>
      </c>
      <c r="Q26" s="264">
        <v>1</v>
      </c>
      <c r="R26" s="264" t="s">
        <v>20</v>
      </c>
      <c r="S26" s="264">
        <v>2008</v>
      </c>
      <c r="T26" s="264" t="s">
        <v>161</v>
      </c>
      <c r="U26" s="398">
        <v>42653</v>
      </c>
      <c r="V26" s="399"/>
      <c r="W26" s="354">
        <f>COUNT(RawMaterials[[#This Row],[Lab Quantity 1]:[Lab Quantity 4]])</f>
        <v>0</v>
      </c>
      <c r="X2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 s="392" t="e">
        <f>RawMaterials[[#This Row],[Lab Price 1]]/RawMaterials[[#This Row],[Lab Q Model Units 1]]</f>
        <v>#N/A</v>
      </c>
      <c r="AC26" s="392" t="e">
        <f>RawMaterials[[#This Row],[Lab Price 2]]/RawMaterials[[#This Row],[Lab Q Model Units 2]]</f>
        <v>#N/A</v>
      </c>
      <c r="AD26" s="392" t="e">
        <f>RawMaterials[[#This Row],[Lab Price 3]]/RawMaterials[[#This Row],[Lab Q Model Units 3]]</f>
        <v>#N/A</v>
      </c>
      <c r="AE26" s="392" t="e">
        <f>RawMaterials[[#This Row],[Lab Price 4]]/RawMaterials[[#This Row],[Lab Q Model Units 4]]</f>
        <v>#N/A</v>
      </c>
      <c r="AF26" s="392" t="str">
        <f ca="1">IF(RawMaterials[[#This Row],[Lab Quote Count]]&gt;1,SLOPE(LOG(INDIRECT("RawMaterials[@[Lab Unit P 1]:[Lab Unit P "&amp;RawMaterials[[#This Row],[Lab Quote Count]]&amp;"]]")),LOG(INDIRECT("RawMaterials[@[Lab Q Model Units 1]:[Lab Q Model Units "&amp;RawMaterials[[#This Row],[Lab Quote Count]]&amp;"]]"))),"")</f>
        <v/>
      </c>
      <c r="AG26" s="392" t="str">
        <f ca="1">IF(RawMaterials[[#This Row],[Lab Quote Count]]&gt;1,INTERCEPT(LOG(INDIRECT("RawMaterials[@[Lab Unit P 1]:[Lab Unit P "&amp;RawMaterials[[#This Row],[Lab Quote Count]]&amp;"]]")),LOG(INDIRECT("RawMaterials[@[Lab Q Model Units 1]:[Lab Q Model Units "&amp;RawMaterials[[#This Row],[Lab Quote Count]]&amp;"]]"))),"")</f>
        <v/>
      </c>
      <c r="AH26" s="393" t="str">
        <f>IF(RawMaterials[[#This Row],[Material Type]]="Metal Precursor","D13",IF(RawMaterials[[#This Row],[Material Type]]="Ligand","D13","D12"))</f>
        <v>D12</v>
      </c>
      <c r="AI26" s="394" t="str">
        <f ca="1">IF(RawMaterials[[#This Row],[Lab Quote Count]]&gt;1,10^RawMaterials[[#This Row],[Lab Log-Log Intercept]]*INDIRECT(RawMaterials[[#This Row],[Basis Cell]])^RawMaterials[[#This Row],[Lab Log-Log Slope]],"&gt;&gt;&gt; Enter 2 or more lab quotes &lt;&lt;&lt;")</f>
        <v>&gt;&gt;&gt; Enter 2 or more lab quotes &lt;&lt;&lt;</v>
      </c>
      <c r="AJ2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1.5983514008403623</v>
      </c>
      <c r="AL26" s="396">
        <f>IF(ISTEXT(RawMaterials[[#This Row],[Unit price in quote year]]),"Check calcs",RawMaterials[[#This Row],[Unit price in quote year]]/VLOOKUP(RawMaterials[[#This Row],[Quote Year]],ChemPPI[],14,FALSE)*VLOOKUP(BasisYear,ChemPPI[],14,FALSE))</f>
        <v>1.8707452656467152</v>
      </c>
      <c r="AM26" s="397" t="str">
        <f t="shared" si="0"/>
        <v>$/kg (2016)</v>
      </c>
    </row>
    <row r="27" spans="1:39">
      <c r="A27" s="259" t="s">
        <v>1124</v>
      </c>
      <c r="B27" s="260"/>
      <c r="C27" s="263"/>
      <c r="D27" s="263"/>
      <c r="E27" s="260">
        <v>100</v>
      </c>
      <c r="F27" s="260"/>
      <c r="G27" s="263"/>
      <c r="H27" s="263"/>
      <c r="I27" s="262"/>
      <c r="J27" s="263"/>
      <c r="K27" s="263"/>
      <c r="L27" s="263"/>
      <c r="M27" s="263"/>
      <c r="N27" s="263"/>
      <c r="O27" s="263"/>
      <c r="P27" s="261">
        <v>0.53</v>
      </c>
      <c r="Q27" s="260">
        <v>1</v>
      </c>
      <c r="R27" s="260" t="s">
        <v>20</v>
      </c>
      <c r="S27" s="260">
        <v>2008</v>
      </c>
      <c r="T27" s="260" t="s">
        <v>161</v>
      </c>
      <c r="U27" s="386">
        <v>42653</v>
      </c>
      <c r="V27" s="387"/>
      <c r="W27" s="354">
        <f>COUNT(RawMaterials[[#This Row],[Lab Quantity 1]:[Lab Quantity 4]])</f>
        <v>0</v>
      </c>
      <c r="X2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 s="392" t="e">
        <f>RawMaterials[[#This Row],[Lab Price 1]]/RawMaterials[[#This Row],[Lab Q Model Units 1]]</f>
        <v>#N/A</v>
      </c>
      <c r="AC27" s="392" t="e">
        <f>RawMaterials[[#This Row],[Lab Price 2]]/RawMaterials[[#This Row],[Lab Q Model Units 2]]</f>
        <v>#N/A</v>
      </c>
      <c r="AD27" s="392" t="e">
        <f>RawMaterials[[#This Row],[Lab Price 3]]/RawMaterials[[#This Row],[Lab Q Model Units 3]]</f>
        <v>#N/A</v>
      </c>
      <c r="AE27" s="392" t="e">
        <f>RawMaterials[[#This Row],[Lab Price 4]]/RawMaterials[[#This Row],[Lab Q Model Units 4]]</f>
        <v>#N/A</v>
      </c>
      <c r="AF27" s="392" t="str">
        <f ca="1">IF(RawMaterials[[#This Row],[Lab Quote Count]]&gt;1,SLOPE(LOG(INDIRECT("RawMaterials[@[Lab Unit P 1]:[Lab Unit P "&amp;RawMaterials[[#This Row],[Lab Quote Count]]&amp;"]]")),LOG(INDIRECT("RawMaterials[@[Lab Q Model Units 1]:[Lab Q Model Units "&amp;RawMaterials[[#This Row],[Lab Quote Count]]&amp;"]]"))),"")</f>
        <v/>
      </c>
      <c r="AG27" s="392" t="str">
        <f ca="1">IF(RawMaterials[[#This Row],[Lab Quote Count]]&gt;1,INTERCEPT(LOG(INDIRECT("RawMaterials[@[Lab Unit P 1]:[Lab Unit P "&amp;RawMaterials[[#This Row],[Lab Quote Count]]&amp;"]]")),LOG(INDIRECT("RawMaterials[@[Lab Q Model Units 1]:[Lab Q Model Units "&amp;RawMaterials[[#This Row],[Lab Quote Count]]&amp;"]]"))),"")</f>
        <v/>
      </c>
      <c r="AH27" s="393" t="str">
        <f>IF(RawMaterials[[#This Row],[Material Type]]="Metal Precursor","D13",IF(RawMaterials[[#This Row],[Material Type]]="Ligand","D13","D12"))</f>
        <v>D12</v>
      </c>
      <c r="AI27" s="394" t="str">
        <f ca="1">IF(RawMaterials[[#This Row],[Lab Quote Count]]&gt;1,10^RawMaterials[[#This Row],[Lab Log-Log Intercept]]*INDIRECT(RawMaterials[[#This Row],[Basis Cell]])^RawMaterials[[#This Row],[Lab Log-Log Slope]],"&gt;&gt;&gt; Enter 2 or more lab quotes &lt;&lt;&lt;")</f>
        <v>&gt;&gt;&gt; Enter 2 or more lab quotes &lt;&lt;&lt;</v>
      </c>
      <c r="AJ2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1.1684499895798512</v>
      </c>
      <c r="AL27" s="396">
        <f>IF(ISTEXT(RawMaterials[[#This Row],[Unit price in quote year]]),"Check calcs",RawMaterials[[#This Row],[Unit price in quote year]]/VLOOKUP(RawMaterials[[#This Row],[Quote Year]],ChemPPI[],14,FALSE)*VLOOKUP(BasisYear,ChemPPI[],14,FALSE))</f>
        <v>1.367579297645185</v>
      </c>
      <c r="AM27" s="397" t="str">
        <f t="shared" si="0"/>
        <v>$/kg (2016)</v>
      </c>
    </row>
    <row r="28" spans="1:39">
      <c r="A28" s="259" t="s">
        <v>1125</v>
      </c>
      <c r="B28" s="260"/>
      <c r="C28" s="263"/>
      <c r="D28" s="263"/>
      <c r="E28" s="260">
        <v>100</v>
      </c>
      <c r="F28" s="260"/>
      <c r="G28" s="263"/>
      <c r="H28" s="263"/>
      <c r="I28" s="262"/>
      <c r="J28" s="263"/>
      <c r="K28" s="263"/>
      <c r="L28" s="263"/>
      <c r="M28" s="263"/>
      <c r="N28" s="263"/>
      <c r="O28" s="263"/>
      <c r="P28" s="261">
        <v>0.5</v>
      </c>
      <c r="Q28" s="260">
        <v>1</v>
      </c>
      <c r="R28" s="260" t="s">
        <v>20</v>
      </c>
      <c r="S28" s="260">
        <v>2008</v>
      </c>
      <c r="T28" s="260" t="s">
        <v>161</v>
      </c>
      <c r="U28" s="386">
        <v>42653</v>
      </c>
      <c r="V28" s="387"/>
      <c r="W28" s="354">
        <f>COUNT(RawMaterials[[#This Row],[Lab Quantity 1]:[Lab Quantity 4]])</f>
        <v>0</v>
      </c>
      <c r="X2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 s="392" t="e">
        <f>RawMaterials[[#This Row],[Lab Price 1]]/RawMaterials[[#This Row],[Lab Q Model Units 1]]</f>
        <v>#N/A</v>
      </c>
      <c r="AC28" s="392" t="e">
        <f>RawMaterials[[#This Row],[Lab Price 2]]/RawMaterials[[#This Row],[Lab Q Model Units 2]]</f>
        <v>#N/A</v>
      </c>
      <c r="AD28" s="392" t="e">
        <f>RawMaterials[[#This Row],[Lab Price 3]]/RawMaterials[[#This Row],[Lab Q Model Units 3]]</f>
        <v>#N/A</v>
      </c>
      <c r="AE28" s="392" t="e">
        <f>RawMaterials[[#This Row],[Lab Price 4]]/RawMaterials[[#This Row],[Lab Q Model Units 4]]</f>
        <v>#N/A</v>
      </c>
      <c r="AF28" s="392" t="str">
        <f ca="1">IF(RawMaterials[[#This Row],[Lab Quote Count]]&gt;1,SLOPE(LOG(INDIRECT("RawMaterials[@[Lab Unit P 1]:[Lab Unit P "&amp;RawMaterials[[#This Row],[Lab Quote Count]]&amp;"]]")),LOG(INDIRECT("RawMaterials[@[Lab Q Model Units 1]:[Lab Q Model Units "&amp;RawMaterials[[#This Row],[Lab Quote Count]]&amp;"]]"))),"")</f>
        <v/>
      </c>
      <c r="AG28" s="392" t="str">
        <f ca="1">IF(RawMaterials[[#This Row],[Lab Quote Count]]&gt;1,INTERCEPT(LOG(INDIRECT("RawMaterials[@[Lab Unit P 1]:[Lab Unit P "&amp;RawMaterials[[#This Row],[Lab Quote Count]]&amp;"]]")),LOG(INDIRECT("RawMaterials[@[Lab Q Model Units 1]:[Lab Q Model Units "&amp;RawMaterials[[#This Row],[Lab Quote Count]]&amp;"]]"))),"")</f>
        <v/>
      </c>
      <c r="AH28" s="393" t="str">
        <f>IF(RawMaterials[[#This Row],[Material Type]]="Metal Precursor","D13",IF(RawMaterials[[#This Row],[Material Type]]="Ligand","D13","D12"))</f>
        <v>D12</v>
      </c>
      <c r="AI28" s="394" t="str">
        <f ca="1">IF(RawMaterials[[#This Row],[Lab Quote Count]]&gt;1,10^RawMaterials[[#This Row],[Lab Log-Log Intercept]]*INDIRECT(RawMaterials[[#This Row],[Basis Cell]])^RawMaterials[[#This Row],[Lab Log-Log Slope]],"&gt;&gt;&gt; Enter 2 or more lab quotes &lt;&lt;&lt;")</f>
        <v>&gt;&gt;&gt; Enter 2 or more lab quotes &lt;&lt;&lt;</v>
      </c>
      <c r="AJ2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1.1023113109243878</v>
      </c>
      <c r="AL28" s="396">
        <f>IF(ISTEXT(RawMaterials[[#This Row],[Unit price in quote year]]),"Check calcs",RawMaterials[[#This Row],[Unit price in quote year]]/VLOOKUP(RawMaterials[[#This Row],[Quote Year]],ChemPPI[],14,FALSE)*VLOOKUP(BasisYear,ChemPPI[],14,FALSE))</f>
        <v>1.2901691487218725</v>
      </c>
      <c r="AM28" s="397" t="str">
        <f t="shared" si="0"/>
        <v>$/kg (2016)</v>
      </c>
    </row>
    <row r="29" spans="1:39">
      <c r="A29" s="259" t="s">
        <v>1126</v>
      </c>
      <c r="B29" s="260"/>
      <c r="C29" s="263"/>
      <c r="D29" s="263"/>
      <c r="E29" s="260">
        <v>100</v>
      </c>
      <c r="F29" s="260"/>
      <c r="G29" s="263"/>
      <c r="H29" s="263"/>
      <c r="I29" s="262"/>
      <c r="J29" s="263"/>
      <c r="K29" s="263"/>
      <c r="L29" s="263"/>
      <c r="M29" s="263"/>
      <c r="N29" s="263"/>
      <c r="O29" s="263"/>
      <c r="P29" s="261">
        <v>0.7</v>
      </c>
      <c r="Q29" s="260">
        <v>1</v>
      </c>
      <c r="R29" s="260" t="s">
        <v>20</v>
      </c>
      <c r="S29" s="260">
        <v>2006</v>
      </c>
      <c r="T29" s="260" t="s">
        <v>161</v>
      </c>
      <c r="U29" s="386">
        <v>42653</v>
      </c>
      <c r="V29" s="387"/>
      <c r="W29" s="354">
        <f>COUNT(RawMaterials[[#This Row],[Lab Quantity 1]:[Lab Quantity 4]])</f>
        <v>0</v>
      </c>
      <c r="X2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 s="392" t="e">
        <f>RawMaterials[[#This Row],[Lab Price 1]]/RawMaterials[[#This Row],[Lab Q Model Units 1]]</f>
        <v>#N/A</v>
      </c>
      <c r="AC29" s="392" t="e">
        <f>RawMaterials[[#This Row],[Lab Price 2]]/RawMaterials[[#This Row],[Lab Q Model Units 2]]</f>
        <v>#N/A</v>
      </c>
      <c r="AD29" s="392" t="e">
        <f>RawMaterials[[#This Row],[Lab Price 3]]/RawMaterials[[#This Row],[Lab Q Model Units 3]]</f>
        <v>#N/A</v>
      </c>
      <c r="AE29" s="392" t="e">
        <f>RawMaterials[[#This Row],[Lab Price 4]]/RawMaterials[[#This Row],[Lab Q Model Units 4]]</f>
        <v>#N/A</v>
      </c>
      <c r="AF29" s="392" t="str">
        <f ca="1">IF(RawMaterials[[#This Row],[Lab Quote Count]]&gt;1,SLOPE(LOG(INDIRECT("RawMaterials[@[Lab Unit P 1]:[Lab Unit P "&amp;RawMaterials[[#This Row],[Lab Quote Count]]&amp;"]]")),LOG(INDIRECT("RawMaterials[@[Lab Q Model Units 1]:[Lab Q Model Units "&amp;RawMaterials[[#This Row],[Lab Quote Count]]&amp;"]]"))),"")</f>
        <v/>
      </c>
      <c r="AG29" s="392" t="str">
        <f ca="1">IF(RawMaterials[[#This Row],[Lab Quote Count]]&gt;1,INTERCEPT(LOG(INDIRECT("RawMaterials[@[Lab Unit P 1]:[Lab Unit P "&amp;RawMaterials[[#This Row],[Lab Quote Count]]&amp;"]]")),LOG(INDIRECT("RawMaterials[@[Lab Q Model Units 1]:[Lab Q Model Units "&amp;RawMaterials[[#This Row],[Lab Quote Count]]&amp;"]]"))),"")</f>
        <v/>
      </c>
      <c r="AH29" s="393" t="str">
        <f>IF(RawMaterials[[#This Row],[Material Type]]="Metal Precursor","D13",IF(RawMaterials[[#This Row],[Material Type]]="Ligand","D13","D12"))</f>
        <v>D12</v>
      </c>
      <c r="AI29" s="394" t="str">
        <f ca="1">IF(RawMaterials[[#This Row],[Lab Quote Count]]&gt;1,10^RawMaterials[[#This Row],[Lab Log-Log Intercept]]*INDIRECT(RawMaterials[[#This Row],[Basis Cell]])^RawMaterials[[#This Row],[Lab Log-Log Slope]],"&gt;&gt;&gt; Enter 2 or more lab quotes &lt;&lt;&lt;")</f>
        <v>&gt;&gt;&gt; Enter 2 or more lab quotes &lt;&lt;&lt;</v>
      </c>
      <c r="AJ2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1.5432358352941429</v>
      </c>
      <c r="AL29" s="396">
        <f>IF(ISTEXT(RawMaterials[[#This Row],[Unit price in quote year]]),"Check calcs",RawMaterials[[#This Row],[Unit price in quote year]]/VLOOKUP(RawMaterials[[#This Row],[Quote Year]],ChemPPI[],14,FALSE)*VLOOKUP(BasisYear,ChemPPI[],14,FALSE))</f>
        <v>2.0945035142635451</v>
      </c>
      <c r="AM29" s="397" t="str">
        <f t="shared" si="0"/>
        <v>$/kg (2016)</v>
      </c>
    </row>
    <row r="30" spans="1:39">
      <c r="A30" s="259" t="s">
        <v>1127</v>
      </c>
      <c r="B30" s="260"/>
      <c r="C30" s="263"/>
      <c r="D30" s="263"/>
      <c r="E30" s="260">
        <v>100</v>
      </c>
      <c r="F30" s="260"/>
      <c r="G30" s="263"/>
      <c r="H30" s="263"/>
      <c r="I30" s="262"/>
      <c r="J30" s="263"/>
      <c r="K30" s="263"/>
      <c r="L30" s="263"/>
      <c r="M30" s="263"/>
      <c r="N30" s="263"/>
      <c r="O30" s="263"/>
      <c r="P30" s="261">
        <v>3.7</v>
      </c>
      <c r="Q30" s="260">
        <v>1</v>
      </c>
      <c r="R30" s="260" t="s">
        <v>20</v>
      </c>
      <c r="S30" s="260">
        <v>2006</v>
      </c>
      <c r="T30" s="260" t="s">
        <v>161</v>
      </c>
      <c r="U30" s="386">
        <v>42653</v>
      </c>
      <c r="V30" s="387"/>
      <c r="W30" s="354">
        <f>COUNT(RawMaterials[[#This Row],[Lab Quantity 1]:[Lab Quantity 4]])</f>
        <v>0</v>
      </c>
      <c r="X3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 s="392" t="e">
        <f>RawMaterials[[#This Row],[Lab Price 1]]/RawMaterials[[#This Row],[Lab Q Model Units 1]]</f>
        <v>#N/A</v>
      </c>
      <c r="AC30" s="392" t="e">
        <f>RawMaterials[[#This Row],[Lab Price 2]]/RawMaterials[[#This Row],[Lab Q Model Units 2]]</f>
        <v>#N/A</v>
      </c>
      <c r="AD30" s="392" t="e">
        <f>RawMaterials[[#This Row],[Lab Price 3]]/RawMaterials[[#This Row],[Lab Q Model Units 3]]</f>
        <v>#N/A</v>
      </c>
      <c r="AE30" s="392" t="e">
        <f>RawMaterials[[#This Row],[Lab Price 4]]/RawMaterials[[#This Row],[Lab Q Model Units 4]]</f>
        <v>#N/A</v>
      </c>
      <c r="AF30" s="392" t="str">
        <f ca="1">IF(RawMaterials[[#This Row],[Lab Quote Count]]&gt;1,SLOPE(LOG(INDIRECT("RawMaterials[@[Lab Unit P 1]:[Lab Unit P "&amp;RawMaterials[[#This Row],[Lab Quote Count]]&amp;"]]")),LOG(INDIRECT("RawMaterials[@[Lab Q Model Units 1]:[Lab Q Model Units "&amp;RawMaterials[[#This Row],[Lab Quote Count]]&amp;"]]"))),"")</f>
        <v/>
      </c>
      <c r="AG30" s="392" t="str">
        <f ca="1">IF(RawMaterials[[#This Row],[Lab Quote Count]]&gt;1,INTERCEPT(LOG(INDIRECT("RawMaterials[@[Lab Unit P 1]:[Lab Unit P "&amp;RawMaterials[[#This Row],[Lab Quote Count]]&amp;"]]")),LOG(INDIRECT("RawMaterials[@[Lab Q Model Units 1]:[Lab Q Model Units "&amp;RawMaterials[[#This Row],[Lab Quote Count]]&amp;"]]"))),"")</f>
        <v/>
      </c>
      <c r="AH30" s="393" t="str">
        <f>IF(RawMaterials[[#This Row],[Material Type]]="Metal Precursor","D13",IF(RawMaterials[[#This Row],[Material Type]]="Ligand","D13","D12"))</f>
        <v>D12</v>
      </c>
      <c r="AI30" s="394" t="str">
        <f ca="1">IF(RawMaterials[[#This Row],[Lab Quote Count]]&gt;1,10^RawMaterials[[#This Row],[Lab Log-Log Intercept]]*INDIRECT(RawMaterials[[#This Row],[Basis Cell]])^RawMaterials[[#This Row],[Lab Log-Log Slope]],"&gt;&gt;&gt; Enter 2 or more lab quotes &lt;&lt;&lt;")</f>
        <v>&gt;&gt;&gt; Enter 2 or more lab quotes &lt;&lt;&lt;</v>
      </c>
      <c r="AJ3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8.1571037008404712</v>
      </c>
      <c r="AL30" s="396">
        <f>IF(ISTEXT(RawMaterials[[#This Row],[Unit price in quote year]]),"Check calcs",RawMaterials[[#This Row],[Unit price in quote year]]/VLOOKUP(RawMaterials[[#This Row],[Quote Year]],ChemPPI[],14,FALSE)*VLOOKUP(BasisYear,ChemPPI[],14,FALSE))</f>
        <v>11.070947146821595</v>
      </c>
      <c r="AM30" s="397" t="str">
        <f t="shared" si="0"/>
        <v>$/kg (2016)</v>
      </c>
    </row>
    <row r="31" spans="1:39">
      <c r="A31" s="259" t="s">
        <v>1128</v>
      </c>
      <c r="B31" s="260"/>
      <c r="C31" s="263"/>
      <c r="D31" s="263"/>
      <c r="E31" s="260">
        <v>100</v>
      </c>
      <c r="F31" s="260"/>
      <c r="G31" s="263"/>
      <c r="H31" s="263"/>
      <c r="I31" s="262"/>
      <c r="J31" s="263"/>
      <c r="K31" s="263"/>
      <c r="L31" s="263"/>
      <c r="M31" s="263"/>
      <c r="N31" s="263"/>
      <c r="O31" s="263"/>
      <c r="P31" s="261">
        <v>3.9</v>
      </c>
      <c r="Q31" s="260">
        <v>1</v>
      </c>
      <c r="R31" s="260" t="s">
        <v>20</v>
      </c>
      <c r="S31" s="260">
        <v>2006</v>
      </c>
      <c r="T31" s="260" t="s">
        <v>161</v>
      </c>
      <c r="U31" s="386">
        <v>42653</v>
      </c>
      <c r="V31" s="387"/>
      <c r="W31" s="354">
        <f>COUNT(RawMaterials[[#This Row],[Lab Quantity 1]:[Lab Quantity 4]])</f>
        <v>0</v>
      </c>
      <c r="X3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 s="392" t="e">
        <f>RawMaterials[[#This Row],[Lab Price 1]]/RawMaterials[[#This Row],[Lab Q Model Units 1]]</f>
        <v>#N/A</v>
      </c>
      <c r="AC31" s="392" t="e">
        <f>RawMaterials[[#This Row],[Lab Price 2]]/RawMaterials[[#This Row],[Lab Q Model Units 2]]</f>
        <v>#N/A</v>
      </c>
      <c r="AD31" s="392" t="e">
        <f>RawMaterials[[#This Row],[Lab Price 3]]/RawMaterials[[#This Row],[Lab Q Model Units 3]]</f>
        <v>#N/A</v>
      </c>
      <c r="AE31" s="392" t="e">
        <f>RawMaterials[[#This Row],[Lab Price 4]]/RawMaterials[[#This Row],[Lab Q Model Units 4]]</f>
        <v>#N/A</v>
      </c>
      <c r="AF31" s="392" t="str">
        <f ca="1">IF(RawMaterials[[#This Row],[Lab Quote Count]]&gt;1,SLOPE(LOG(INDIRECT("RawMaterials[@[Lab Unit P 1]:[Lab Unit P "&amp;RawMaterials[[#This Row],[Lab Quote Count]]&amp;"]]")),LOG(INDIRECT("RawMaterials[@[Lab Q Model Units 1]:[Lab Q Model Units "&amp;RawMaterials[[#This Row],[Lab Quote Count]]&amp;"]]"))),"")</f>
        <v/>
      </c>
      <c r="AG31" s="392" t="str">
        <f ca="1">IF(RawMaterials[[#This Row],[Lab Quote Count]]&gt;1,INTERCEPT(LOG(INDIRECT("RawMaterials[@[Lab Unit P 1]:[Lab Unit P "&amp;RawMaterials[[#This Row],[Lab Quote Count]]&amp;"]]")),LOG(INDIRECT("RawMaterials[@[Lab Q Model Units 1]:[Lab Q Model Units "&amp;RawMaterials[[#This Row],[Lab Quote Count]]&amp;"]]"))),"")</f>
        <v/>
      </c>
      <c r="AH31" s="393" t="str">
        <f>IF(RawMaterials[[#This Row],[Material Type]]="Metal Precursor","D13",IF(RawMaterials[[#This Row],[Material Type]]="Ligand","D13","D12"))</f>
        <v>D12</v>
      </c>
      <c r="AI31" s="394" t="str">
        <f ca="1">IF(RawMaterials[[#This Row],[Lab Quote Count]]&gt;1,10^RawMaterials[[#This Row],[Lab Log-Log Intercept]]*INDIRECT(RawMaterials[[#This Row],[Basis Cell]])^RawMaterials[[#This Row],[Lab Log-Log Slope]],"&gt;&gt;&gt; Enter 2 or more lab quotes &lt;&lt;&lt;")</f>
        <v>&gt;&gt;&gt; Enter 2 or more lab quotes &lt;&lt;&lt;</v>
      </c>
      <c r="AJ3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8.5980282252102249</v>
      </c>
      <c r="AL31" s="396">
        <f>IF(ISTEXT(RawMaterials[[#This Row],[Unit price in quote year]]),"Check calcs",RawMaterials[[#This Row],[Unit price in quote year]]/VLOOKUP(RawMaterials[[#This Row],[Quote Year]],ChemPPI[],14,FALSE)*VLOOKUP(BasisYear,ChemPPI[],14,FALSE))</f>
        <v>11.669376722325465</v>
      </c>
      <c r="AM31" s="397" t="str">
        <f t="shared" si="0"/>
        <v>$/kg (2016)</v>
      </c>
    </row>
    <row r="32" spans="1:39">
      <c r="A32" s="259" t="s">
        <v>1129</v>
      </c>
      <c r="B32" s="260"/>
      <c r="C32" s="263"/>
      <c r="D32" s="263"/>
      <c r="E32" s="260">
        <v>100</v>
      </c>
      <c r="F32" s="260"/>
      <c r="G32" s="263"/>
      <c r="H32" s="263"/>
      <c r="I32" s="262"/>
      <c r="J32" s="263"/>
      <c r="K32" s="263"/>
      <c r="L32" s="263"/>
      <c r="M32" s="263"/>
      <c r="N32" s="263"/>
      <c r="O32" s="263"/>
      <c r="P32" s="261">
        <v>1.115</v>
      </c>
      <c r="Q32" s="260">
        <v>1</v>
      </c>
      <c r="R32" s="260" t="s">
        <v>20</v>
      </c>
      <c r="S32" s="260">
        <v>2008</v>
      </c>
      <c r="T32" s="260" t="s">
        <v>161</v>
      </c>
      <c r="U32" s="386">
        <v>42653</v>
      </c>
      <c r="V32" s="387"/>
      <c r="W32" s="354">
        <f>COUNT(RawMaterials[[#This Row],[Lab Quantity 1]:[Lab Quantity 4]])</f>
        <v>0</v>
      </c>
      <c r="X3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 s="392" t="e">
        <f>RawMaterials[[#This Row],[Lab Price 1]]/RawMaterials[[#This Row],[Lab Q Model Units 1]]</f>
        <v>#N/A</v>
      </c>
      <c r="AC32" s="392" t="e">
        <f>RawMaterials[[#This Row],[Lab Price 2]]/RawMaterials[[#This Row],[Lab Q Model Units 2]]</f>
        <v>#N/A</v>
      </c>
      <c r="AD32" s="392" t="e">
        <f>RawMaterials[[#This Row],[Lab Price 3]]/RawMaterials[[#This Row],[Lab Q Model Units 3]]</f>
        <v>#N/A</v>
      </c>
      <c r="AE32" s="392" t="e">
        <f>RawMaterials[[#This Row],[Lab Price 4]]/RawMaterials[[#This Row],[Lab Q Model Units 4]]</f>
        <v>#N/A</v>
      </c>
      <c r="AF32" s="392" t="str">
        <f ca="1">IF(RawMaterials[[#This Row],[Lab Quote Count]]&gt;1,SLOPE(LOG(INDIRECT("RawMaterials[@[Lab Unit P 1]:[Lab Unit P "&amp;RawMaterials[[#This Row],[Lab Quote Count]]&amp;"]]")),LOG(INDIRECT("RawMaterials[@[Lab Q Model Units 1]:[Lab Q Model Units "&amp;RawMaterials[[#This Row],[Lab Quote Count]]&amp;"]]"))),"")</f>
        <v/>
      </c>
      <c r="AG32" s="392" t="str">
        <f ca="1">IF(RawMaterials[[#This Row],[Lab Quote Count]]&gt;1,INTERCEPT(LOG(INDIRECT("RawMaterials[@[Lab Unit P 1]:[Lab Unit P "&amp;RawMaterials[[#This Row],[Lab Quote Count]]&amp;"]]")),LOG(INDIRECT("RawMaterials[@[Lab Q Model Units 1]:[Lab Q Model Units "&amp;RawMaterials[[#This Row],[Lab Quote Count]]&amp;"]]"))),"")</f>
        <v/>
      </c>
      <c r="AH32" s="393" t="str">
        <f>IF(RawMaterials[[#This Row],[Material Type]]="Metal Precursor","D13",IF(RawMaterials[[#This Row],[Material Type]]="Ligand","D13","D12"))</f>
        <v>D12</v>
      </c>
      <c r="AI32" s="394" t="str">
        <f ca="1">IF(RawMaterials[[#This Row],[Lab Quote Count]]&gt;1,10^RawMaterials[[#This Row],[Lab Log-Log Intercept]]*INDIRECT(RawMaterials[[#This Row],[Basis Cell]])^RawMaterials[[#This Row],[Lab Log-Log Slope]],"&gt;&gt;&gt; Enter 2 or more lab quotes &lt;&lt;&lt;")</f>
        <v>&gt;&gt;&gt; Enter 2 or more lab quotes &lt;&lt;&lt;</v>
      </c>
      <c r="AJ3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2.4581542233613849</v>
      </c>
      <c r="AL32" s="396">
        <f>IF(ISTEXT(RawMaterials[[#This Row],[Unit price in quote year]]),"Check calcs",RawMaterials[[#This Row],[Unit price in quote year]]/VLOOKUP(RawMaterials[[#This Row],[Quote Year]],ChemPPI[],14,FALSE)*VLOOKUP(BasisYear,ChemPPI[],14,FALSE))</f>
        <v>2.8770772016497759</v>
      </c>
      <c r="AM32" s="397" t="str">
        <f t="shared" si="0"/>
        <v>$/kg (2016)</v>
      </c>
    </row>
    <row r="33" spans="1:39">
      <c r="A33" s="259" t="s">
        <v>1130</v>
      </c>
      <c r="B33" s="260"/>
      <c r="C33" s="263"/>
      <c r="D33" s="263"/>
      <c r="E33" s="260">
        <v>100</v>
      </c>
      <c r="F33" s="260"/>
      <c r="G33" s="263"/>
      <c r="H33" s="263"/>
      <c r="I33" s="262"/>
      <c r="J33" s="263"/>
      <c r="K33" s="263"/>
      <c r="L33" s="263"/>
      <c r="M33" s="263"/>
      <c r="N33" s="263"/>
      <c r="O33" s="263"/>
      <c r="P33" s="261">
        <v>1.345</v>
      </c>
      <c r="Q33" s="260">
        <v>1</v>
      </c>
      <c r="R33" s="260" t="s">
        <v>20</v>
      </c>
      <c r="S33" s="260">
        <v>2008</v>
      </c>
      <c r="T33" s="260" t="s">
        <v>161</v>
      </c>
      <c r="U33" s="386">
        <v>42653</v>
      </c>
      <c r="V33" s="387"/>
      <c r="W33" s="354">
        <f>COUNT(RawMaterials[[#This Row],[Lab Quantity 1]:[Lab Quantity 4]])</f>
        <v>0</v>
      </c>
      <c r="X3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 s="392" t="e">
        <f>RawMaterials[[#This Row],[Lab Price 1]]/RawMaterials[[#This Row],[Lab Q Model Units 1]]</f>
        <v>#N/A</v>
      </c>
      <c r="AC33" s="392" t="e">
        <f>RawMaterials[[#This Row],[Lab Price 2]]/RawMaterials[[#This Row],[Lab Q Model Units 2]]</f>
        <v>#N/A</v>
      </c>
      <c r="AD33" s="392" t="e">
        <f>RawMaterials[[#This Row],[Lab Price 3]]/RawMaterials[[#This Row],[Lab Q Model Units 3]]</f>
        <v>#N/A</v>
      </c>
      <c r="AE33" s="392" t="e">
        <f>RawMaterials[[#This Row],[Lab Price 4]]/RawMaterials[[#This Row],[Lab Q Model Units 4]]</f>
        <v>#N/A</v>
      </c>
      <c r="AF33" s="392" t="str">
        <f ca="1">IF(RawMaterials[[#This Row],[Lab Quote Count]]&gt;1,SLOPE(LOG(INDIRECT("RawMaterials[@[Lab Unit P 1]:[Lab Unit P "&amp;RawMaterials[[#This Row],[Lab Quote Count]]&amp;"]]")),LOG(INDIRECT("RawMaterials[@[Lab Q Model Units 1]:[Lab Q Model Units "&amp;RawMaterials[[#This Row],[Lab Quote Count]]&amp;"]]"))),"")</f>
        <v/>
      </c>
      <c r="AG33" s="392" t="str">
        <f ca="1">IF(RawMaterials[[#This Row],[Lab Quote Count]]&gt;1,INTERCEPT(LOG(INDIRECT("RawMaterials[@[Lab Unit P 1]:[Lab Unit P "&amp;RawMaterials[[#This Row],[Lab Quote Count]]&amp;"]]")),LOG(INDIRECT("RawMaterials[@[Lab Q Model Units 1]:[Lab Q Model Units "&amp;RawMaterials[[#This Row],[Lab Quote Count]]&amp;"]]"))),"")</f>
        <v/>
      </c>
      <c r="AH33" s="393" t="str">
        <f>IF(RawMaterials[[#This Row],[Material Type]]="Metal Precursor","D13",IF(RawMaterials[[#This Row],[Material Type]]="Ligand","D13","D12"))</f>
        <v>D12</v>
      </c>
      <c r="AI33" s="394" t="str">
        <f ca="1">IF(RawMaterials[[#This Row],[Lab Quote Count]]&gt;1,10^RawMaterials[[#This Row],[Lab Log-Log Intercept]]*INDIRECT(RawMaterials[[#This Row],[Basis Cell]])^RawMaterials[[#This Row],[Lab Log-Log Slope]],"&gt;&gt;&gt; Enter 2 or more lab quotes &lt;&lt;&lt;")</f>
        <v>&gt;&gt;&gt; Enter 2 or more lab quotes &lt;&lt;&lt;</v>
      </c>
      <c r="AJ3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2.9652174263866033</v>
      </c>
      <c r="AL33" s="396">
        <f>IF(ISTEXT(RawMaterials[[#This Row],[Unit price in quote year]]),"Check calcs",RawMaterials[[#This Row],[Unit price in quote year]]/VLOOKUP(RawMaterials[[#This Row],[Quote Year]],ChemPPI[],14,FALSE)*VLOOKUP(BasisYear,ChemPPI[],14,FALSE))</f>
        <v>3.4705550100618376</v>
      </c>
      <c r="AM33" s="397" t="str">
        <f t="shared" si="0"/>
        <v>$/kg (2016)</v>
      </c>
    </row>
    <row r="34" spans="1:39">
      <c r="A34" s="259" t="s">
        <v>1131</v>
      </c>
      <c r="B34" s="260"/>
      <c r="C34" s="263"/>
      <c r="D34" s="263"/>
      <c r="E34" s="260">
        <v>100</v>
      </c>
      <c r="F34" s="260"/>
      <c r="G34" s="263"/>
      <c r="H34" s="263"/>
      <c r="I34" s="262"/>
      <c r="J34" s="263"/>
      <c r="K34" s="263"/>
      <c r="L34" s="263"/>
      <c r="M34" s="263"/>
      <c r="N34" s="263"/>
      <c r="O34" s="263"/>
      <c r="P34" s="261">
        <v>1.23</v>
      </c>
      <c r="Q34" s="260">
        <v>1</v>
      </c>
      <c r="R34" s="260" t="s">
        <v>20</v>
      </c>
      <c r="S34" s="260">
        <v>2008</v>
      </c>
      <c r="T34" s="260" t="s">
        <v>161</v>
      </c>
      <c r="U34" s="386">
        <v>42653</v>
      </c>
      <c r="V34" s="387"/>
      <c r="W34" s="354">
        <f>COUNT(RawMaterials[[#This Row],[Lab Quantity 1]:[Lab Quantity 4]])</f>
        <v>0</v>
      </c>
      <c r="X3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 s="392" t="e">
        <f>RawMaterials[[#This Row],[Lab Price 1]]/RawMaterials[[#This Row],[Lab Q Model Units 1]]</f>
        <v>#N/A</v>
      </c>
      <c r="AC34" s="392" t="e">
        <f>RawMaterials[[#This Row],[Lab Price 2]]/RawMaterials[[#This Row],[Lab Q Model Units 2]]</f>
        <v>#N/A</v>
      </c>
      <c r="AD34" s="392" t="e">
        <f>RawMaterials[[#This Row],[Lab Price 3]]/RawMaterials[[#This Row],[Lab Q Model Units 3]]</f>
        <v>#N/A</v>
      </c>
      <c r="AE34" s="392" t="e">
        <f>RawMaterials[[#This Row],[Lab Price 4]]/RawMaterials[[#This Row],[Lab Q Model Units 4]]</f>
        <v>#N/A</v>
      </c>
      <c r="AF34" s="392" t="str">
        <f ca="1">IF(RawMaterials[[#This Row],[Lab Quote Count]]&gt;1,SLOPE(LOG(INDIRECT("RawMaterials[@[Lab Unit P 1]:[Lab Unit P "&amp;RawMaterials[[#This Row],[Lab Quote Count]]&amp;"]]")),LOG(INDIRECT("RawMaterials[@[Lab Q Model Units 1]:[Lab Q Model Units "&amp;RawMaterials[[#This Row],[Lab Quote Count]]&amp;"]]"))),"")</f>
        <v/>
      </c>
      <c r="AG34" s="392" t="str">
        <f ca="1">IF(RawMaterials[[#This Row],[Lab Quote Count]]&gt;1,INTERCEPT(LOG(INDIRECT("RawMaterials[@[Lab Unit P 1]:[Lab Unit P "&amp;RawMaterials[[#This Row],[Lab Quote Count]]&amp;"]]")),LOG(INDIRECT("RawMaterials[@[Lab Q Model Units 1]:[Lab Q Model Units "&amp;RawMaterials[[#This Row],[Lab Quote Count]]&amp;"]]"))),"")</f>
        <v/>
      </c>
      <c r="AH34" s="393" t="str">
        <f>IF(RawMaterials[[#This Row],[Material Type]]="Metal Precursor","D13",IF(RawMaterials[[#This Row],[Material Type]]="Ligand","D13","D12"))</f>
        <v>D12</v>
      </c>
      <c r="AI34" s="394" t="str">
        <f ca="1">IF(RawMaterials[[#This Row],[Lab Quote Count]]&gt;1,10^RawMaterials[[#This Row],[Lab Log-Log Intercept]]*INDIRECT(RawMaterials[[#This Row],[Basis Cell]])^RawMaterials[[#This Row],[Lab Log-Log Slope]],"&gt;&gt;&gt; Enter 2 or more lab quotes &lt;&lt;&lt;")</f>
        <v>&gt;&gt;&gt; Enter 2 or more lab quotes &lt;&lt;&lt;</v>
      </c>
      <c r="AJ3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2.7116858248739941</v>
      </c>
      <c r="AL34" s="396">
        <f>IF(ISTEXT(RawMaterials[[#This Row],[Unit price in quote year]]),"Check calcs",RawMaterials[[#This Row],[Unit price in quote year]]/VLOOKUP(RawMaterials[[#This Row],[Quote Year]],ChemPPI[],14,FALSE)*VLOOKUP(BasisYear,ChemPPI[],14,FALSE))</f>
        <v>3.1738161058558063</v>
      </c>
      <c r="AM34" s="397" t="str">
        <f t="shared" si="0"/>
        <v>$/kg (2016)</v>
      </c>
    </row>
    <row r="35" spans="1:39">
      <c r="A35" s="259" t="s">
        <v>1132</v>
      </c>
      <c r="B35" s="260"/>
      <c r="C35" s="263"/>
      <c r="D35" s="263"/>
      <c r="E35" s="260">
        <v>100</v>
      </c>
      <c r="F35" s="260"/>
      <c r="G35" s="263"/>
      <c r="H35" s="263"/>
      <c r="I35" s="262"/>
      <c r="J35" s="263"/>
      <c r="K35" s="263"/>
      <c r="L35" s="263"/>
      <c r="M35" s="263"/>
      <c r="N35" s="263"/>
      <c r="O35" s="263"/>
      <c r="P35" s="261">
        <v>1.18</v>
      </c>
      <c r="Q35" s="260">
        <v>1</v>
      </c>
      <c r="R35" s="260" t="s">
        <v>20</v>
      </c>
      <c r="S35" s="260">
        <v>2008</v>
      </c>
      <c r="T35" s="260" t="s">
        <v>161</v>
      </c>
      <c r="U35" s="386">
        <v>42653</v>
      </c>
      <c r="V35" s="387"/>
      <c r="W35" s="354">
        <f>COUNT(RawMaterials[[#This Row],[Lab Quantity 1]:[Lab Quantity 4]])</f>
        <v>0</v>
      </c>
      <c r="X3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 s="392" t="e">
        <f>RawMaterials[[#This Row],[Lab Price 1]]/RawMaterials[[#This Row],[Lab Q Model Units 1]]</f>
        <v>#N/A</v>
      </c>
      <c r="AC35" s="392" t="e">
        <f>RawMaterials[[#This Row],[Lab Price 2]]/RawMaterials[[#This Row],[Lab Q Model Units 2]]</f>
        <v>#N/A</v>
      </c>
      <c r="AD35" s="392" t="e">
        <f>RawMaterials[[#This Row],[Lab Price 3]]/RawMaterials[[#This Row],[Lab Q Model Units 3]]</f>
        <v>#N/A</v>
      </c>
      <c r="AE35" s="392" t="e">
        <f>RawMaterials[[#This Row],[Lab Price 4]]/RawMaterials[[#This Row],[Lab Q Model Units 4]]</f>
        <v>#N/A</v>
      </c>
      <c r="AF35" s="392" t="str">
        <f ca="1">IF(RawMaterials[[#This Row],[Lab Quote Count]]&gt;1,SLOPE(LOG(INDIRECT("RawMaterials[@[Lab Unit P 1]:[Lab Unit P "&amp;RawMaterials[[#This Row],[Lab Quote Count]]&amp;"]]")),LOG(INDIRECT("RawMaterials[@[Lab Q Model Units 1]:[Lab Q Model Units "&amp;RawMaterials[[#This Row],[Lab Quote Count]]&amp;"]]"))),"")</f>
        <v/>
      </c>
      <c r="AG35" s="392" t="str">
        <f ca="1">IF(RawMaterials[[#This Row],[Lab Quote Count]]&gt;1,INTERCEPT(LOG(INDIRECT("RawMaterials[@[Lab Unit P 1]:[Lab Unit P "&amp;RawMaterials[[#This Row],[Lab Quote Count]]&amp;"]]")),LOG(INDIRECT("RawMaterials[@[Lab Q Model Units 1]:[Lab Q Model Units "&amp;RawMaterials[[#This Row],[Lab Quote Count]]&amp;"]]"))),"")</f>
        <v/>
      </c>
      <c r="AH35" s="393" t="str">
        <f>IF(RawMaterials[[#This Row],[Material Type]]="Metal Precursor","D13",IF(RawMaterials[[#This Row],[Material Type]]="Ligand","D13","D12"))</f>
        <v>D12</v>
      </c>
      <c r="AI35" s="394" t="str">
        <f ca="1">IF(RawMaterials[[#This Row],[Lab Quote Count]]&gt;1,10^RawMaterials[[#This Row],[Lab Log-Log Intercept]]*INDIRECT(RawMaterials[[#This Row],[Basis Cell]])^RawMaterials[[#This Row],[Lab Log-Log Slope]],"&gt;&gt;&gt; Enter 2 or more lab quotes &lt;&lt;&lt;")</f>
        <v>&gt;&gt;&gt; Enter 2 or more lab quotes &lt;&lt;&lt;</v>
      </c>
      <c r="AJ3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2.6014546937815552</v>
      </c>
      <c r="AL35" s="396">
        <f>IF(ISTEXT(RawMaterials[[#This Row],[Unit price in quote year]]),"Check calcs",RawMaterials[[#This Row],[Unit price in quote year]]/VLOOKUP(RawMaterials[[#This Row],[Quote Year]],ChemPPI[],14,FALSE)*VLOOKUP(BasisYear,ChemPPI[],14,FALSE))</f>
        <v>3.044799190983619</v>
      </c>
      <c r="AM35" s="397" t="str">
        <f t="shared" si="0"/>
        <v>$/kg (2016)</v>
      </c>
    </row>
    <row r="36" spans="1:39">
      <c r="A36" s="259" t="s">
        <v>1133</v>
      </c>
      <c r="B36" s="260"/>
      <c r="C36" s="263"/>
      <c r="D36" s="263"/>
      <c r="E36" s="260">
        <v>100</v>
      </c>
      <c r="F36" s="260"/>
      <c r="G36" s="263"/>
      <c r="H36" s="263"/>
      <c r="I36" s="262"/>
      <c r="J36" s="263"/>
      <c r="K36" s="263"/>
      <c r="L36" s="263"/>
      <c r="M36" s="263"/>
      <c r="N36" s="263"/>
      <c r="O36" s="263"/>
      <c r="P36" s="261">
        <v>1.0049999999999999</v>
      </c>
      <c r="Q36" s="260">
        <v>1</v>
      </c>
      <c r="R36" s="260" t="s">
        <v>20</v>
      </c>
      <c r="S36" s="260">
        <v>2008</v>
      </c>
      <c r="T36" s="260" t="s">
        <v>161</v>
      </c>
      <c r="U36" s="386">
        <v>42653</v>
      </c>
      <c r="V36" s="387"/>
      <c r="W36" s="354">
        <f>COUNT(RawMaterials[[#This Row],[Lab Quantity 1]:[Lab Quantity 4]])</f>
        <v>0</v>
      </c>
      <c r="X3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 s="392" t="e">
        <f>RawMaterials[[#This Row],[Lab Price 1]]/RawMaterials[[#This Row],[Lab Q Model Units 1]]</f>
        <v>#N/A</v>
      </c>
      <c r="AC36" s="392" t="e">
        <f>RawMaterials[[#This Row],[Lab Price 2]]/RawMaterials[[#This Row],[Lab Q Model Units 2]]</f>
        <v>#N/A</v>
      </c>
      <c r="AD36" s="392" t="e">
        <f>RawMaterials[[#This Row],[Lab Price 3]]/RawMaterials[[#This Row],[Lab Q Model Units 3]]</f>
        <v>#N/A</v>
      </c>
      <c r="AE36" s="392" t="e">
        <f>RawMaterials[[#This Row],[Lab Price 4]]/RawMaterials[[#This Row],[Lab Q Model Units 4]]</f>
        <v>#N/A</v>
      </c>
      <c r="AF36" s="392" t="str">
        <f ca="1">IF(RawMaterials[[#This Row],[Lab Quote Count]]&gt;1,SLOPE(LOG(INDIRECT("RawMaterials[@[Lab Unit P 1]:[Lab Unit P "&amp;RawMaterials[[#This Row],[Lab Quote Count]]&amp;"]]")),LOG(INDIRECT("RawMaterials[@[Lab Q Model Units 1]:[Lab Q Model Units "&amp;RawMaterials[[#This Row],[Lab Quote Count]]&amp;"]]"))),"")</f>
        <v/>
      </c>
      <c r="AG36" s="392" t="str">
        <f ca="1">IF(RawMaterials[[#This Row],[Lab Quote Count]]&gt;1,INTERCEPT(LOG(INDIRECT("RawMaterials[@[Lab Unit P 1]:[Lab Unit P "&amp;RawMaterials[[#This Row],[Lab Quote Count]]&amp;"]]")),LOG(INDIRECT("RawMaterials[@[Lab Q Model Units 1]:[Lab Q Model Units "&amp;RawMaterials[[#This Row],[Lab Quote Count]]&amp;"]]"))),"")</f>
        <v/>
      </c>
      <c r="AH36" s="393" t="str">
        <f>IF(RawMaterials[[#This Row],[Material Type]]="Metal Precursor","D13",IF(RawMaterials[[#This Row],[Material Type]]="Ligand","D13","D12"))</f>
        <v>D12</v>
      </c>
      <c r="AI36" s="394" t="str">
        <f ca="1">IF(RawMaterials[[#This Row],[Lab Quote Count]]&gt;1,10^RawMaterials[[#This Row],[Lab Log-Log Intercept]]*INDIRECT(RawMaterials[[#This Row],[Basis Cell]])^RawMaterials[[#This Row],[Lab Log-Log Slope]],"&gt;&gt;&gt; Enter 2 or more lab quotes &lt;&lt;&lt;")</f>
        <v>&gt;&gt;&gt; Enter 2 or more lab quotes &lt;&lt;&lt;</v>
      </c>
      <c r="AJ3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2.2156457349580192</v>
      </c>
      <c r="AL36" s="396">
        <f>IF(ISTEXT(RawMaterials[[#This Row],[Unit price in quote year]]),"Check calcs",RawMaterials[[#This Row],[Unit price in quote year]]/VLOOKUP(RawMaterials[[#This Row],[Quote Year]],ChemPPI[],14,FALSE)*VLOOKUP(BasisYear,ChemPPI[],14,FALSE))</f>
        <v>2.5932399889309634</v>
      </c>
      <c r="AM36" s="397" t="str">
        <f t="shared" si="0"/>
        <v>$/kg (2016)</v>
      </c>
    </row>
    <row r="37" spans="1:39">
      <c r="A37" s="259" t="s">
        <v>1134</v>
      </c>
      <c r="B37" s="260"/>
      <c r="C37" s="263"/>
      <c r="D37" s="263"/>
      <c r="E37" s="260">
        <v>100</v>
      </c>
      <c r="F37" s="260"/>
      <c r="G37" s="263"/>
      <c r="H37" s="263"/>
      <c r="I37" s="262"/>
      <c r="J37" s="263"/>
      <c r="K37" s="263"/>
      <c r="L37" s="263"/>
      <c r="M37" s="263"/>
      <c r="N37" s="263"/>
      <c r="O37" s="263"/>
      <c r="P37" s="261">
        <v>0.92999999999999905</v>
      </c>
      <c r="Q37" s="260">
        <v>1</v>
      </c>
      <c r="R37" s="260" t="s">
        <v>20</v>
      </c>
      <c r="S37" s="260">
        <v>2008</v>
      </c>
      <c r="T37" s="260" t="s">
        <v>161</v>
      </c>
      <c r="U37" s="386">
        <v>42653</v>
      </c>
      <c r="V37" s="387"/>
      <c r="W37" s="354">
        <f>COUNT(RawMaterials[[#This Row],[Lab Quantity 1]:[Lab Quantity 4]])</f>
        <v>0</v>
      </c>
      <c r="X3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 s="392" t="e">
        <f>RawMaterials[[#This Row],[Lab Price 1]]/RawMaterials[[#This Row],[Lab Q Model Units 1]]</f>
        <v>#N/A</v>
      </c>
      <c r="AC37" s="392" t="e">
        <f>RawMaterials[[#This Row],[Lab Price 2]]/RawMaterials[[#This Row],[Lab Q Model Units 2]]</f>
        <v>#N/A</v>
      </c>
      <c r="AD37" s="392" t="e">
        <f>RawMaterials[[#This Row],[Lab Price 3]]/RawMaterials[[#This Row],[Lab Q Model Units 3]]</f>
        <v>#N/A</v>
      </c>
      <c r="AE37" s="392" t="e">
        <f>RawMaterials[[#This Row],[Lab Price 4]]/RawMaterials[[#This Row],[Lab Q Model Units 4]]</f>
        <v>#N/A</v>
      </c>
      <c r="AF37" s="392" t="str">
        <f ca="1">IF(RawMaterials[[#This Row],[Lab Quote Count]]&gt;1,SLOPE(LOG(INDIRECT("RawMaterials[@[Lab Unit P 1]:[Lab Unit P "&amp;RawMaterials[[#This Row],[Lab Quote Count]]&amp;"]]")),LOG(INDIRECT("RawMaterials[@[Lab Q Model Units 1]:[Lab Q Model Units "&amp;RawMaterials[[#This Row],[Lab Quote Count]]&amp;"]]"))),"")</f>
        <v/>
      </c>
      <c r="AG37" s="392" t="str">
        <f ca="1">IF(RawMaterials[[#This Row],[Lab Quote Count]]&gt;1,INTERCEPT(LOG(INDIRECT("RawMaterials[@[Lab Unit P 1]:[Lab Unit P "&amp;RawMaterials[[#This Row],[Lab Quote Count]]&amp;"]]")),LOG(INDIRECT("RawMaterials[@[Lab Q Model Units 1]:[Lab Q Model Units "&amp;RawMaterials[[#This Row],[Lab Quote Count]]&amp;"]]"))),"")</f>
        <v/>
      </c>
      <c r="AH37" s="393" t="str">
        <f>IF(RawMaterials[[#This Row],[Material Type]]="Metal Precursor","D13",IF(RawMaterials[[#This Row],[Material Type]]="Ligand","D13","D12"))</f>
        <v>D12</v>
      </c>
      <c r="AI37" s="394" t="str">
        <f ca="1">IF(RawMaterials[[#This Row],[Lab Quote Count]]&gt;1,10^RawMaterials[[#This Row],[Lab Log-Log Intercept]]*INDIRECT(RawMaterials[[#This Row],[Basis Cell]])^RawMaterials[[#This Row],[Lab Log-Log Slope]],"&gt;&gt;&gt; Enter 2 or more lab quotes &lt;&lt;&lt;")</f>
        <v>&gt;&gt;&gt; Enter 2 or more lab quotes &lt;&lt;&lt;</v>
      </c>
      <c r="AJ3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2.0502990383193591</v>
      </c>
      <c r="AL37" s="396">
        <f>IF(ISTEXT(RawMaterials[[#This Row],[Unit price in quote year]]),"Check calcs",RawMaterials[[#This Row],[Unit price in quote year]]/VLOOKUP(RawMaterials[[#This Row],[Quote Year]],ChemPPI[],14,FALSE)*VLOOKUP(BasisYear,ChemPPI[],14,FALSE))</f>
        <v>2.3997146166226804</v>
      </c>
      <c r="AM37" s="397" t="str">
        <f t="shared" si="0"/>
        <v>$/kg (2016)</v>
      </c>
    </row>
    <row r="38" spans="1:39">
      <c r="A38" s="259" t="s">
        <v>1135</v>
      </c>
      <c r="B38" s="260"/>
      <c r="C38" s="263"/>
      <c r="D38" s="263"/>
      <c r="E38" s="260">
        <v>100</v>
      </c>
      <c r="F38" s="260"/>
      <c r="G38" s="263"/>
      <c r="H38" s="263"/>
      <c r="I38" s="262"/>
      <c r="J38" s="263"/>
      <c r="K38" s="263"/>
      <c r="L38" s="263"/>
      <c r="M38" s="263"/>
      <c r="N38" s="263"/>
      <c r="O38" s="263"/>
      <c r="P38" s="261">
        <v>0.87</v>
      </c>
      <c r="Q38" s="260">
        <v>1</v>
      </c>
      <c r="R38" s="260" t="s">
        <v>20</v>
      </c>
      <c r="S38" s="260">
        <v>2008</v>
      </c>
      <c r="T38" s="260" t="s">
        <v>161</v>
      </c>
      <c r="U38" s="386">
        <v>42653</v>
      </c>
      <c r="V38" s="387"/>
      <c r="W38" s="354">
        <f>COUNT(RawMaterials[[#This Row],[Lab Quantity 1]:[Lab Quantity 4]])</f>
        <v>0</v>
      </c>
      <c r="X3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 s="392" t="e">
        <f>RawMaterials[[#This Row],[Lab Price 1]]/RawMaterials[[#This Row],[Lab Q Model Units 1]]</f>
        <v>#N/A</v>
      </c>
      <c r="AC38" s="392" t="e">
        <f>RawMaterials[[#This Row],[Lab Price 2]]/RawMaterials[[#This Row],[Lab Q Model Units 2]]</f>
        <v>#N/A</v>
      </c>
      <c r="AD38" s="392" t="e">
        <f>RawMaterials[[#This Row],[Lab Price 3]]/RawMaterials[[#This Row],[Lab Q Model Units 3]]</f>
        <v>#N/A</v>
      </c>
      <c r="AE38" s="392" t="e">
        <f>RawMaterials[[#This Row],[Lab Price 4]]/RawMaterials[[#This Row],[Lab Q Model Units 4]]</f>
        <v>#N/A</v>
      </c>
      <c r="AF38" s="392" t="str">
        <f ca="1">IF(RawMaterials[[#This Row],[Lab Quote Count]]&gt;1,SLOPE(LOG(INDIRECT("RawMaterials[@[Lab Unit P 1]:[Lab Unit P "&amp;RawMaterials[[#This Row],[Lab Quote Count]]&amp;"]]")),LOG(INDIRECT("RawMaterials[@[Lab Q Model Units 1]:[Lab Q Model Units "&amp;RawMaterials[[#This Row],[Lab Quote Count]]&amp;"]]"))),"")</f>
        <v/>
      </c>
      <c r="AG38" s="392" t="str">
        <f ca="1">IF(RawMaterials[[#This Row],[Lab Quote Count]]&gt;1,INTERCEPT(LOG(INDIRECT("RawMaterials[@[Lab Unit P 1]:[Lab Unit P "&amp;RawMaterials[[#This Row],[Lab Quote Count]]&amp;"]]")),LOG(INDIRECT("RawMaterials[@[Lab Q Model Units 1]:[Lab Q Model Units "&amp;RawMaterials[[#This Row],[Lab Quote Count]]&amp;"]]"))),"")</f>
        <v/>
      </c>
      <c r="AH38" s="393" t="str">
        <f>IF(RawMaterials[[#This Row],[Material Type]]="Metal Precursor","D13",IF(RawMaterials[[#This Row],[Material Type]]="Ligand","D13","D12"))</f>
        <v>D12</v>
      </c>
      <c r="AI38" s="394" t="str">
        <f ca="1">IF(RawMaterials[[#This Row],[Lab Quote Count]]&gt;1,10^RawMaterials[[#This Row],[Lab Log-Log Intercept]]*INDIRECT(RawMaterials[[#This Row],[Basis Cell]])^RawMaterials[[#This Row],[Lab Log-Log Slope]],"&gt;&gt;&gt; Enter 2 or more lab quotes &lt;&lt;&lt;")</f>
        <v>&gt;&gt;&gt; Enter 2 or more lab quotes &lt;&lt;&lt;</v>
      </c>
      <c r="AJ3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1.918021681008435</v>
      </c>
      <c r="AL38" s="396">
        <f>IF(ISTEXT(RawMaterials[[#This Row],[Unit price in quote year]]),"Check calcs",RawMaterials[[#This Row],[Unit price in quote year]]/VLOOKUP(RawMaterials[[#This Row],[Quote Year]],ChemPPI[],14,FALSE)*VLOOKUP(BasisYear,ChemPPI[],14,FALSE))</f>
        <v>2.2448943187760584</v>
      </c>
      <c r="AM38" s="397" t="str">
        <f t="shared" si="0"/>
        <v>$/kg (2016)</v>
      </c>
    </row>
    <row r="39" spans="1:39">
      <c r="A39" s="259" t="s">
        <v>1136</v>
      </c>
      <c r="B39" s="260"/>
      <c r="C39" s="263"/>
      <c r="D39" s="263"/>
      <c r="E39" s="260">
        <v>100</v>
      </c>
      <c r="F39" s="260"/>
      <c r="G39" s="263"/>
      <c r="H39" s="263"/>
      <c r="I39" s="262"/>
      <c r="J39" s="263"/>
      <c r="K39" s="263"/>
      <c r="L39" s="263"/>
      <c r="M39" s="263"/>
      <c r="N39" s="263"/>
      <c r="O39" s="263"/>
      <c r="P39" s="261">
        <v>1.105</v>
      </c>
      <c r="Q39" s="260">
        <v>1</v>
      </c>
      <c r="R39" s="260" t="s">
        <v>20</v>
      </c>
      <c r="S39" s="260">
        <v>2008</v>
      </c>
      <c r="T39" s="260" t="s">
        <v>161</v>
      </c>
      <c r="U39" s="386">
        <v>42653</v>
      </c>
      <c r="V39" s="387"/>
      <c r="W39" s="354">
        <f>COUNT(RawMaterials[[#This Row],[Lab Quantity 1]:[Lab Quantity 4]])</f>
        <v>0</v>
      </c>
      <c r="X3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 s="392" t="e">
        <f>RawMaterials[[#This Row],[Lab Price 1]]/RawMaterials[[#This Row],[Lab Q Model Units 1]]</f>
        <v>#N/A</v>
      </c>
      <c r="AC39" s="392" t="e">
        <f>RawMaterials[[#This Row],[Lab Price 2]]/RawMaterials[[#This Row],[Lab Q Model Units 2]]</f>
        <v>#N/A</v>
      </c>
      <c r="AD39" s="392" t="e">
        <f>RawMaterials[[#This Row],[Lab Price 3]]/RawMaterials[[#This Row],[Lab Q Model Units 3]]</f>
        <v>#N/A</v>
      </c>
      <c r="AE39" s="392" t="e">
        <f>RawMaterials[[#This Row],[Lab Price 4]]/RawMaterials[[#This Row],[Lab Q Model Units 4]]</f>
        <v>#N/A</v>
      </c>
      <c r="AF39" s="392" t="str">
        <f ca="1">IF(RawMaterials[[#This Row],[Lab Quote Count]]&gt;1,SLOPE(LOG(INDIRECT("RawMaterials[@[Lab Unit P 1]:[Lab Unit P "&amp;RawMaterials[[#This Row],[Lab Quote Count]]&amp;"]]")),LOG(INDIRECT("RawMaterials[@[Lab Q Model Units 1]:[Lab Q Model Units "&amp;RawMaterials[[#This Row],[Lab Quote Count]]&amp;"]]"))),"")</f>
        <v/>
      </c>
      <c r="AG39" s="392" t="str">
        <f ca="1">IF(RawMaterials[[#This Row],[Lab Quote Count]]&gt;1,INTERCEPT(LOG(INDIRECT("RawMaterials[@[Lab Unit P 1]:[Lab Unit P "&amp;RawMaterials[[#This Row],[Lab Quote Count]]&amp;"]]")),LOG(INDIRECT("RawMaterials[@[Lab Q Model Units 1]:[Lab Q Model Units "&amp;RawMaterials[[#This Row],[Lab Quote Count]]&amp;"]]"))),"")</f>
        <v/>
      </c>
      <c r="AH39" s="393" t="str">
        <f>IF(RawMaterials[[#This Row],[Material Type]]="Metal Precursor","D13",IF(RawMaterials[[#This Row],[Material Type]]="Ligand","D13","D12"))</f>
        <v>D12</v>
      </c>
      <c r="AI39" s="394" t="str">
        <f ca="1">IF(RawMaterials[[#This Row],[Lab Quote Count]]&gt;1,10^RawMaterials[[#This Row],[Lab Log-Log Intercept]]*INDIRECT(RawMaterials[[#This Row],[Basis Cell]])^RawMaterials[[#This Row],[Lab Log-Log Slope]],"&gt;&gt;&gt; Enter 2 or more lab quotes &lt;&lt;&lt;")</f>
        <v>&gt;&gt;&gt; Enter 2 or more lab quotes &lt;&lt;&lt;</v>
      </c>
      <c r="AJ3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2.4361079971428969</v>
      </c>
      <c r="AL39" s="396">
        <f>IF(ISTEXT(RawMaterials[[#This Row],[Unit price in quote year]]),"Check calcs",RawMaterials[[#This Row],[Unit price in quote year]]/VLOOKUP(RawMaterials[[#This Row],[Quote Year]],ChemPPI[],14,FALSE)*VLOOKUP(BasisYear,ChemPPI[],14,FALSE))</f>
        <v>2.8512738186753386</v>
      </c>
      <c r="AM39" s="397" t="str">
        <f t="shared" si="0"/>
        <v>$/kg (2016)</v>
      </c>
    </row>
    <row r="40" spans="1:39">
      <c r="A40" s="259" t="s">
        <v>1137</v>
      </c>
      <c r="B40" s="260"/>
      <c r="C40" s="263"/>
      <c r="D40" s="263"/>
      <c r="E40" s="260">
        <v>100</v>
      </c>
      <c r="F40" s="260"/>
      <c r="G40" s="263"/>
      <c r="H40" s="263"/>
      <c r="I40" s="262"/>
      <c r="J40" s="263"/>
      <c r="K40" s="263"/>
      <c r="L40" s="263"/>
      <c r="M40" s="263"/>
      <c r="N40" s="263"/>
      <c r="O40" s="263"/>
      <c r="P40" s="261">
        <v>1.39</v>
      </c>
      <c r="Q40" s="260">
        <v>1</v>
      </c>
      <c r="R40" s="260" t="s">
        <v>20</v>
      </c>
      <c r="S40" s="260">
        <v>2008</v>
      </c>
      <c r="T40" s="260" t="s">
        <v>161</v>
      </c>
      <c r="U40" s="386">
        <v>42653</v>
      </c>
      <c r="V40" s="387"/>
      <c r="W40" s="354">
        <f>COUNT(RawMaterials[[#This Row],[Lab Quantity 1]:[Lab Quantity 4]])</f>
        <v>0</v>
      </c>
      <c r="X4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 s="392" t="e">
        <f>RawMaterials[[#This Row],[Lab Price 1]]/RawMaterials[[#This Row],[Lab Q Model Units 1]]</f>
        <v>#N/A</v>
      </c>
      <c r="AC40" s="392" t="e">
        <f>RawMaterials[[#This Row],[Lab Price 2]]/RawMaterials[[#This Row],[Lab Q Model Units 2]]</f>
        <v>#N/A</v>
      </c>
      <c r="AD40" s="392" t="e">
        <f>RawMaterials[[#This Row],[Lab Price 3]]/RawMaterials[[#This Row],[Lab Q Model Units 3]]</f>
        <v>#N/A</v>
      </c>
      <c r="AE40" s="392" t="e">
        <f>RawMaterials[[#This Row],[Lab Price 4]]/RawMaterials[[#This Row],[Lab Q Model Units 4]]</f>
        <v>#N/A</v>
      </c>
      <c r="AF40" s="392" t="str">
        <f ca="1">IF(RawMaterials[[#This Row],[Lab Quote Count]]&gt;1,SLOPE(LOG(INDIRECT("RawMaterials[@[Lab Unit P 1]:[Lab Unit P "&amp;RawMaterials[[#This Row],[Lab Quote Count]]&amp;"]]")),LOG(INDIRECT("RawMaterials[@[Lab Q Model Units 1]:[Lab Q Model Units "&amp;RawMaterials[[#This Row],[Lab Quote Count]]&amp;"]]"))),"")</f>
        <v/>
      </c>
      <c r="AG40" s="392" t="str">
        <f ca="1">IF(RawMaterials[[#This Row],[Lab Quote Count]]&gt;1,INTERCEPT(LOG(INDIRECT("RawMaterials[@[Lab Unit P 1]:[Lab Unit P "&amp;RawMaterials[[#This Row],[Lab Quote Count]]&amp;"]]")),LOG(INDIRECT("RawMaterials[@[Lab Q Model Units 1]:[Lab Q Model Units "&amp;RawMaterials[[#This Row],[Lab Quote Count]]&amp;"]]"))),"")</f>
        <v/>
      </c>
      <c r="AH40" s="393" t="str">
        <f>IF(RawMaterials[[#This Row],[Material Type]]="Metal Precursor","D13",IF(RawMaterials[[#This Row],[Material Type]]="Ligand","D13","D12"))</f>
        <v>D12</v>
      </c>
      <c r="AI40" s="394" t="str">
        <f ca="1">IF(RawMaterials[[#This Row],[Lab Quote Count]]&gt;1,10^RawMaterials[[#This Row],[Lab Log-Log Intercept]]*INDIRECT(RawMaterials[[#This Row],[Basis Cell]])^RawMaterials[[#This Row],[Lab Log-Log Slope]],"&gt;&gt;&gt; Enter 2 or more lab quotes &lt;&lt;&lt;")</f>
        <v>&gt;&gt;&gt; Enter 2 or more lab quotes &lt;&lt;&lt;</v>
      </c>
      <c r="AJ4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3.0644254443697978</v>
      </c>
      <c r="AL40" s="396">
        <f>IF(ISTEXT(RawMaterials[[#This Row],[Unit price in quote year]]),"Check calcs",RawMaterials[[#This Row],[Unit price in quote year]]/VLOOKUP(RawMaterials[[#This Row],[Quote Year]],ChemPPI[],14,FALSE)*VLOOKUP(BasisYear,ChemPPI[],14,FALSE))</f>
        <v>3.5866702334468052</v>
      </c>
      <c r="AM40" s="397" t="str">
        <f t="shared" si="0"/>
        <v>$/kg (2016)</v>
      </c>
    </row>
    <row r="41" spans="1:39">
      <c r="A41" s="259" t="s">
        <v>1138</v>
      </c>
      <c r="B41" s="260"/>
      <c r="C41" s="263"/>
      <c r="D41" s="263"/>
      <c r="E41" s="260">
        <v>100</v>
      </c>
      <c r="F41" s="260"/>
      <c r="G41" s="263"/>
      <c r="H41" s="263"/>
      <c r="I41" s="262"/>
      <c r="J41" s="263"/>
      <c r="K41" s="263"/>
      <c r="L41" s="263"/>
      <c r="M41" s="263"/>
      <c r="N41" s="263"/>
      <c r="O41" s="263"/>
      <c r="P41" s="261">
        <v>1.2749999999999999</v>
      </c>
      <c r="Q41" s="260">
        <v>1</v>
      </c>
      <c r="R41" s="260" t="s">
        <v>20</v>
      </c>
      <c r="S41" s="260">
        <v>2008</v>
      </c>
      <c r="T41" s="260" t="s">
        <v>161</v>
      </c>
      <c r="U41" s="386">
        <v>42653</v>
      </c>
      <c r="V41" s="387"/>
      <c r="W41" s="354">
        <f>COUNT(RawMaterials[[#This Row],[Lab Quantity 1]:[Lab Quantity 4]])</f>
        <v>0</v>
      </c>
      <c r="X4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 s="392" t="e">
        <f>RawMaterials[[#This Row],[Lab Price 1]]/RawMaterials[[#This Row],[Lab Q Model Units 1]]</f>
        <v>#N/A</v>
      </c>
      <c r="AC41" s="392" t="e">
        <f>RawMaterials[[#This Row],[Lab Price 2]]/RawMaterials[[#This Row],[Lab Q Model Units 2]]</f>
        <v>#N/A</v>
      </c>
      <c r="AD41" s="392" t="e">
        <f>RawMaterials[[#This Row],[Lab Price 3]]/RawMaterials[[#This Row],[Lab Q Model Units 3]]</f>
        <v>#N/A</v>
      </c>
      <c r="AE41" s="392" t="e">
        <f>RawMaterials[[#This Row],[Lab Price 4]]/RawMaterials[[#This Row],[Lab Q Model Units 4]]</f>
        <v>#N/A</v>
      </c>
      <c r="AF41" s="392" t="str">
        <f ca="1">IF(RawMaterials[[#This Row],[Lab Quote Count]]&gt;1,SLOPE(LOG(INDIRECT("RawMaterials[@[Lab Unit P 1]:[Lab Unit P "&amp;RawMaterials[[#This Row],[Lab Quote Count]]&amp;"]]")),LOG(INDIRECT("RawMaterials[@[Lab Q Model Units 1]:[Lab Q Model Units "&amp;RawMaterials[[#This Row],[Lab Quote Count]]&amp;"]]"))),"")</f>
        <v/>
      </c>
      <c r="AG41" s="392" t="str">
        <f ca="1">IF(RawMaterials[[#This Row],[Lab Quote Count]]&gt;1,INTERCEPT(LOG(INDIRECT("RawMaterials[@[Lab Unit P 1]:[Lab Unit P "&amp;RawMaterials[[#This Row],[Lab Quote Count]]&amp;"]]")),LOG(INDIRECT("RawMaterials[@[Lab Q Model Units 1]:[Lab Q Model Units "&amp;RawMaterials[[#This Row],[Lab Quote Count]]&amp;"]]"))),"")</f>
        <v/>
      </c>
      <c r="AH41" s="393" t="str">
        <f>IF(RawMaterials[[#This Row],[Material Type]]="Metal Precursor","D13",IF(RawMaterials[[#This Row],[Material Type]]="Ligand","D13","D12"))</f>
        <v>D12</v>
      </c>
      <c r="AI41" s="394" t="str">
        <f ca="1">IF(RawMaterials[[#This Row],[Lab Quote Count]]&gt;1,10^RawMaterials[[#This Row],[Lab Log-Log Intercept]]*INDIRECT(RawMaterials[[#This Row],[Basis Cell]])^RawMaterials[[#This Row],[Lab Log-Log Slope]],"&gt;&gt;&gt; Enter 2 or more lab quotes &lt;&lt;&lt;")</f>
        <v>&gt;&gt;&gt; Enter 2 or more lab quotes &lt;&lt;&lt;</v>
      </c>
      <c r="AJ4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2.810893842857189</v>
      </c>
      <c r="AL41" s="396">
        <f>IF(ISTEXT(RawMaterials[[#This Row],[Unit price in quote year]]),"Check calcs",RawMaterials[[#This Row],[Unit price in quote year]]/VLOOKUP(RawMaterials[[#This Row],[Quote Year]],ChemPPI[],14,FALSE)*VLOOKUP(BasisYear,ChemPPI[],14,FALSE))</f>
        <v>3.2899313292407748</v>
      </c>
      <c r="AM41" s="397" t="str">
        <f t="shared" si="0"/>
        <v>$/kg (2016)</v>
      </c>
    </row>
    <row r="42" spans="1:39">
      <c r="A42" s="259" t="s">
        <v>1139</v>
      </c>
      <c r="B42" s="260"/>
      <c r="C42" s="263"/>
      <c r="D42" s="263"/>
      <c r="E42" s="260">
        <v>100</v>
      </c>
      <c r="F42" s="260"/>
      <c r="G42" s="263"/>
      <c r="H42" s="263"/>
      <c r="I42" s="262"/>
      <c r="J42" s="263"/>
      <c r="K42" s="263"/>
      <c r="L42" s="263"/>
      <c r="M42" s="263"/>
      <c r="N42" s="263"/>
      <c r="O42" s="263"/>
      <c r="P42" s="261">
        <v>1.2849999999999999</v>
      </c>
      <c r="Q42" s="260">
        <v>1</v>
      </c>
      <c r="R42" s="260" t="s">
        <v>20</v>
      </c>
      <c r="S42" s="260">
        <v>2008</v>
      </c>
      <c r="T42" s="260" t="s">
        <v>161</v>
      </c>
      <c r="U42" s="386">
        <v>42653</v>
      </c>
      <c r="V42" s="387"/>
      <c r="W42" s="354">
        <f>COUNT(RawMaterials[[#This Row],[Lab Quantity 1]:[Lab Quantity 4]])</f>
        <v>0</v>
      </c>
      <c r="X4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 s="392" t="e">
        <f>RawMaterials[[#This Row],[Lab Price 1]]/RawMaterials[[#This Row],[Lab Q Model Units 1]]</f>
        <v>#N/A</v>
      </c>
      <c r="AC42" s="392" t="e">
        <f>RawMaterials[[#This Row],[Lab Price 2]]/RawMaterials[[#This Row],[Lab Q Model Units 2]]</f>
        <v>#N/A</v>
      </c>
      <c r="AD42" s="392" t="e">
        <f>RawMaterials[[#This Row],[Lab Price 3]]/RawMaterials[[#This Row],[Lab Q Model Units 3]]</f>
        <v>#N/A</v>
      </c>
      <c r="AE42" s="392" t="e">
        <f>RawMaterials[[#This Row],[Lab Price 4]]/RawMaterials[[#This Row],[Lab Q Model Units 4]]</f>
        <v>#N/A</v>
      </c>
      <c r="AF42" s="392" t="str">
        <f ca="1">IF(RawMaterials[[#This Row],[Lab Quote Count]]&gt;1,SLOPE(LOG(INDIRECT("RawMaterials[@[Lab Unit P 1]:[Lab Unit P "&amp;RawMaterials[[#This Row],[Lab Quote Count]]&amp;"]]")),LOG(INDIRECT("RawMaterials[@[Lab Q Model Units 1]:[Lab Q Model Units "&amp;RawMaterials[[#This Row],[Lab Quote Count]]&amp;"]]"))),"")</f>
        <v/>
      </c>
      <c r="AG42" s="392" t="str">
        <f ca="1">IF(RawMaterials[[#This Row],[Lab Quote Count]]&gt;1,INTERCEPT(LOG(INDIRECT("RawMaterials[@[Lab Unit P 1]:[Lab Unit P "&amp;RawMaterials[[#This Row],[Lab Quote Count]]&amp;"]]")),LOG(INDIRECT("RawMaterials[@[Lab Q Model Units 1]:[Lab Q Model Units "&amp;RawMaterials[[#This Row],[Lab Quote Count]]&amp;"]]"))),"")</f>
        <v/>
      </c>
      <c r="AH42" s="393" t="str">
        <f>IF(RawMaterials[[#This Row],[Material Type]]="Metal Precursor","D13",IF(RawMaterials[[#This Row],[Material Type]]="Ligand","D13","D12"))</f>
        <v>D12</v>
      </c>
      <c r="AI42" s="394" t="str">
        <f ca="1">IF(RawMaterials[[#This Row],[Lab Quote Count]]&gt;1,10^RawMaterials[[#This Row],[Lab Log-Log Intercept]]*INDIRECT(RawMaterials[[#This Row],[Basis Cell]])^RawMaterials[[#This Row],[Lab Log-Log Slope]],"&gt;&gt;&gt; Enter 2 or more lab quotes &lt;&lt;&lt;")</f>
        <v>&gt;&gt;&gt; Enter 2 or more lab quotes &lt;&lt;&lt;</v>
      </c>
      <c r="AJ4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2.8329400690756765</v>
      </c>
      <c r="AL42" s="396">
        <f>IF(ISTEXT(RawMaterials[[#This Row],[Unit price in quote year]]),"Check calcs",RawMaterials[[#This Row],[Unit price in quote year]]/VLOOKUP(RawMaterials[[#This Row],[Quote Year]],ChemPPI[],14,FALSE)*VLOOKUP(BasisYear,ChemPPI[],14,FALSE))</f>
        <v>3.3157347122152125</v>
      </c>
      <c r="AM42" s="397" t="str">
        <f t="shared" si="0"/>
        <v>$/kg (2016)</v>
      </c>
    </row>
    <row r="43" spans="1:39">
      <c r="A43" s="259" t="s">
        <v>1140</v>
      </c>
      <c r="B43" s="260"/>
      <c r="C43" s="263"/>
      <c r="D43" s="263"/>
      <c r="E43" s="260">
        <v>100</v>
      </c>
      <c r="F43" s="260"/>
      <c r="G43" s="263"/>
      <c r="H43" s="263"/>
      <c r="I43" s="262"/>
      <c r="J43" s="263"/>
      <c r="K43" s="263"/>
      <c r="L43" s="263"/>
      <c r="M43" s="263"/>
      <c r="N43" s="263"/>
      <c r="O43" s="263"/>
      <c r="P43" s="261">
        <v>1.385</v>
      </c>
      <c r="Q43" s="260">
        <v>1</v>
      </c>
      <c r="R43" s="260" t="s">
        <v>20</v>
      </c>
      <c r="S43" s="260">
        <v>2008</v>
      </c>
      <c r="T43" s="260" t="s">
        <v>161</v>
      </c>
      <c r="U43" s="386">
        <v>42653</v>
      </c>
      <c r="V43" s="387"/>
      <c r="W43" s="354">
        <f>COUNT(RawMaterials[[#This Row],[Lab Quantity 1]:[Lab Quantity 4]])</f>
        <v>0</v>
      </c>
      <c r="X4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 s="392" t="e">
        <f>RawMaterials[[#This Row],[Lab Price 1]]/RawMaterials[[#This Row],[Lab Q Model Units 1]]</f>
        <v>#N/A</v>
      </c>
      <c r="AC43" s="392" t="e">
        <f>RawMaterials[[#This Row],[Lab Price 2]]/RawMaterials[[#This Row],[Lab Q Model Units 2]]</f>
        <v>#N/A</v>
      </c>
      <c r="AD43" s="392" t="e">
        <f>RawMaterials[[#This Row],[Lab Price 3]]/RawMaterials[[#This Row],[Lab Q Model Units 3]]</f>
        <v>#N/A</v>
      </c>
      <c r="AE43" s="392" t="e">
        <f>RawMaterials[[#This Row],[Lab Price 4]]/RawMaterials[[#This Row],[Lab Q Model Units 4]]</f>
        <v>#N/A</v>
      </c>
      <c r="AF43" s="392" t="str">
        <f ca="1">IF(RawMaterials[[#This Row],[Lab Quote Count]]&gt;1,SLOPE(LOG(INDIRECT("RawMaterials[@[Lab Unit P 1]:[Lab Unit P "&amp;RawMaterials[[#This Row],[Lab Quote Count]]&amp;"]]")),LOG(INDIRECT("RawMaterials[@[Lab Q Model Units 1]:[Lab Q Model Units "&amp;RawMaterials[[#This Row],[Lab Quote Count]]&amp;"]]"))),"")</f>
        <v/>
      </c>
      <c r="AG43" s="392" t="str">
        <f ca="1">IF(RawMaterials[[#This Row],[Lab Quote Count]]&gt;1,INTERCEPT(LOG(INDIRECT("RawMaterials[@[Lab Unit P 1]:[Lab Unit P "&amp;RawMaterials[[#This Row],[Lab Quote Count]]&amp;"]]")),LOG(INDIRECT("RawMaterials[@[Lab Q Model Units 1]:[Lab Q Model Units "&amp;RawMaterials[[#This Row],[Lab Quote Count]]&amp;"]]"))),"")</f>
        <v/>
      </c>
      <c r="AH43" s="393" t="str">
        <f>IF(RawMaterials[[#This Row],[Material Type]]="Metal Precursor","D13",IF(RawMaterials[[#This Row],[Material Type]]="Ligand","D13","D12"))</f>
        <v>D12</v>
      </c>
      <c r="AI43" s="394" t="str">
        <f ca="1">IF(RawMaterials[[#This Row],[Lab Quote Count]]&gt;1,10^RawMaterials[[#This Row],[Lab Log-Log Intercept]]*INDIRECT(RawMaterials[[#This Row],[Basis Cell]])^RawMaterials[[#This Row],[Lab Log-Log Slope]],"&gt;&gt;&gt; Enter 2 or more lab quotes &lt;&lt;&lt;")</f>
        <v>&gt;&gt;&gt; Enter 2 or more lab quotes &lt;&lt;&lt;</v>
      </c>
      <c r="AJ4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3.0534023312605543</v>
      </c>
      <c r="AL43" s="396">
        <f>IF(ISTEXT(RawMaterials[[#This Row],[Unit price in quote year]]),"Check calcs",RawMaterials[[#This Row],[Unit price in quote year]]/VLOOKUP(RawMaterials[[#This Row],[Quote Year]],ChemPPI[],14,FALSE)*VLOOKUP(BasisYear,ChemPPI[],14,FALSE))</f>
        <v>3.5737685419595868</v>
      </c>
      <c r="AM43" s="397" t="str">
        <f t="shared" si="0"/>
        <v>$/kg (2016)</v>
      </c>
    </row>
    <row r="44" spans="1:39">
      <c r="A44" s="259" t="s">
        <v>1141</v>
      </c>
      <c r="B44" s="260"/>
      <c r="C44" s="263"/>
      <c r="D44" s="263"/>
      <c r="E44" s="260">
        <v>100</v>
      </c>
      <c r="F44" s="260"/>
      <c r="G44" s="263"/>
      <c r="H44" s="263"/>
      <c r="I44" s="262"/>
      <c r="J44" s="263"/>
      <c r="K44" s="263"/>
      <c r="L44" s="263"/>
      <c r="M44" s="263"/>
      <c r="N44" s="263"/>
      <c r="O44" s="263"/>
      <c r="P44" s="261">
        <v>1.375</v>
      </c>
      <c r="Q44" s="260">
        <v>1</v>
      </c>
      <c r="R44" s="260" t="s">
        <v>20</v>
      </c>
      <c r="S44" s="260">
        <v>2008</v>
      </c>
      <c r="T44" s="260" t="s">
        <v>161</v>
      </c>
      <c r="U44" s="386">
        <v>42653</v>
      </c>
      <c r="V44" s="387"/>
      <c r="W44" s="354">
        <f>COUNT(RawMaterials[[#This Row],[Lab Quantity 1]:[Lab Quantity 4]])</f>
        <v>0</v>
      </c>
      <c r="X4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 s="392" t="e">
        <f>RawMaterials[[#This Row],[Lab Price 1]]/RawMaterials[[#This Row],[Lab Q Model Units 1]]</f>
        <v>#N/A</v>
      </c>
      <c r="AC44" s="392" t="e">
        <f>RawMaterials[[#This Row],[Lab Price 2]]/RawMaterials[[#This Row],[Lab Q Model Units 2]]</f>
        <v>#N/A</v>
      </c>
      <c r="AD44" s="392" t="e">
        <f>RawMaterials[[#This Row],[Lab Price 3]]/RawMaterials[[#This Row],[Lab Q Model Units 3]]</f>
        <v>#N/A</v>
      </c>
      <c r="AE44" s="392" t="e">
        <f>RawMaterials[[#This Row],[Lab Price 4]]/RawMaterials[[#This Row],[Lab Q Model Units 4]]</f>
        <v>#N/A</v>
      </c>
      <c r="AF44" s="392" t="str">
        <f ca="1">IF(RawMaterials[[#This Row],[Lab Quote Count]]&gt;1,SLOPE(LOG(INDIRECT("RawMaterials[@[Lab Unit P 1]:[Lab Unit P "&amp;RawMaterials[[#This Row],[Lab Quote Count]]&amp;"]]")),LOG(INDIRECT("RawMaterials[@[Lab Q Model Units 1]:[Lab Q Model Units "&amp;RawMaterials[[#This Row],[Lab Quote Count]]&amp;"]]"))),"")</f>
        <v/>
      </c>
      <c r="AG44" s="392" t="str">
        <f ca="1">IF(RawMaterials[[#This Row],[Lab Quote Count]]&gt;1,INTERCEPT(LOG(INDIRECT("RawMaterials[@[Lab Unit P 1]:[Lab Unit P "&amp;RawMaterials[[#This Row],[Lab Quote Count]]&amp;"]]")),LOG(INDIRECT("RawMaterials[@[Lab Q Model Units 1]:[Lab Q Model Units "&amp;RawMaterials[[#This Row],[Lab Quote Count]]&amp;"]]"))),"")</f>
        <v/>
      </c>
      <c r="AH44" s="393" t="str">
        <f>IF(RawMaterials[[#This Row],[Material Type]]="Metal Precursor","D13",IF(RawMaterials[[#This Row],[Material Type]]="Ligand","D13","D12"))</f>
        <v>D12</v>
      </c>
      <c r="AI44" s="394" t="str">
        <f ca="1">IF(RawMaterials[[#This Row],[Lab Quote Count]]&gt;1,10^RawMaterials[[#This Row],[Lab Log-Log Intercept]]*INDIRECT(RawMaterials[[#This Row],[Basis Cell]])^RawMaterials[[#This Row],[Lab Log-Log Slope]],"&gt;&gt;&gt; Enter 2 or more lab quotes &lt;&lt;&lt;")</f>
        <v>&gt;&gt;&gt; Enter 2 or more lab quotes &lt;&lt;&lt;</v>
      </c>
      <c r="AJ4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3.0313561050420668</v>
      </c>
      <c r="AL44" s="396">
        <f>IF(ISTEXT(RawMaterials[[#This Row],[Unit price in quote year]]),"Check calcs",RawMaterials[[#This Row],[Unit price in quote year]]/VLOOKUP(RawMaterials[[#This Row],[Quote Year]],ChemPPI[],14,FALSE)*VLOOKUP(BasisYear,ChemPPI[],14,FALSE))</f>
        <v>3.54796515898515</v>
      </c>
      <c r="AM44" s="397" t="str">
        <f t="shared" si="0"/>
        <v>$/kg (2016)</v>
      </c>
    </row>
    <row r="45" spans="1:39">
      <c r="A45" s="259" t="s">
        <v>1142</v>
      </c>
      <c r="B45" s="260"/>
      <c r="C45" s="263"/>
      <c r="D45" s="263"/>
      <c r="E45" s="260">
        <v>100</v>
      </c>
      <c r="F45" s="260"/>
      <c r="G45" s="263"/>
      <c r="H45" s="263"/>
      <c r="I45" s="262"/>
      <c r="J45" s="263"/>
      <c r="K45" s="263"/>
      <c r="L45" s="263"/>
      <c r="M45" s="263"/>
      <c r="N45" s="263"/>
      <c r="O45" s="263"/>
      <c r="P45" s="261">
        <v>1.29</v>
      </c>
      <c r="Q45" s="260">
        <v>1</v>
      </c>
      <c r="R45" s="260" t="s">
        <v>20</v>
      </c>
      <c r="S45" s="260">
        <v>2008</v>
      </c>
      <c r="T45" s="260" t="s">
        <v>161</v>
      </c>
      <c r="U45" s="386">
        <v>42653</v>
      </c>
      <c r="V45" s="387"/>
      <c r="W45" s="354">
        <f>COUNT(RawMaterials[[#This Row],[Lab Quantity 1]:[Lab Quantity 4]])</f>
        <v>0</v>
      </c>
      <c r="X4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 s="392" t="e">
        <f>RawMaterials[[#This Row],[Lab Price 1]]/RawMaterials[[#This Row],[Lab Q Model Units 1]]</f>
        <v>#N/A</v>
      </c>
      <c r="AC45" s="392" t="e">
        <f>RawMaterials[[#This Row],[Lab Price 2]]/RawMaterials[[#This Row],[Lab Q Model Units 2]]</f>
        <v>#N/A</v>
      </c>
      <c r="AD45" s="392" t="e">
        <f>RawMaterials[[#This Row],[Lab Price 3]]/RawMaterials[[#This Row],[Lab Q Model Units 3]]</f>
        <v>#N/A</v>
      </c>
      <c r="AE45" s="392" t="e">
        <f>RawMaterials[[#This Row],[Lab Price 4]]/RawMaterials[[#This Row],[Lab Q Model Units 4]]</f>
        <v>#N/A</v>
      </c>
      <c r="AF45" s="392" t="str">
        <f ca="1">IF(RawMaterials[[#This Row],[Lab Quote Count]]&gt;1,SLOPE(LOG(INDIRECT("RawMaterials[@[Lab Unit P 1]:[Lab Unit P "&amp;RawMaterials[[#This Row],[Lab Quote Count]]&amp;"]]")),LOG(INDIRECT("RawMaterials[@[Lab Q Model Units 1]:[Lab Q Model Units "&amp;RawMaterials[[#This Row],[Lab Quote Count]]&amp;"]]"))),"")</f>
        <v/>
      </c>
      <c r="AG45" s="392" t="str">
        <f ca="1">IF(RawMaterials[[#This Row],[Lab Quote Count]]&gt;1,INTERCEPT(LOG(INDIRECT("RawMaterials[@[Lab Unit P 1]:[Lab Unit P "&amp;RawMaterials[[#This Row],[Lab Quote Count]]&amp;"]]")),LOG(INDIRECT("RawMaterials[@[Lab Q Model Units 1]:[Lab Q Model Units "&amp;RawMaterials[[#This Row],[Lab Quote Count]]&amp;"]]"))),"")</f>
        <v/>
      </c>
      <c r="AH45" s="393" t="str">
        <f>IF(RawMaterials[[#This Row],[Material Type]]="Metal Precursor","D13",IF(RawMaterials[[#This Row],[Material Type]]="Ligand","D13","D12"))</f>
        <v>D12</v>
      </c>
      <c r="AI45" s="394" t="str">
        <f ca="1">IF(RawMaterials[[#This Row],[Lab Quote Count]]&gt;1,10^RawMaterials[[#This Row],[Lab Log-Log Intercept]]*INDIRECT(RawMaterials[[#This Row],[Basis Cell]])^RawMaterials[[#This Row],[Lab Log-Log Slope]],"&gt;&gt;&gt; Enter 2 or more lab quotes &lt;&lt;&lt;")</f>
        <v>&gt;&gt;&gt; Enter 2 or more lab quotes &lt;&lt;&lt;</v>
      </c>
      <c r="AJ4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2.8439631821849209</v>
      </c>
      <c r="AL45" s="396">
        <f>IF(ISTEXT(RawMaterials[[#This Row],[Unit price in quote year]]),"Check calcs",RawMaterials[[#This Row],[Unit price in quote year]]/VLOOKUP(RawMaterials[[#This Row],[Quote Year]],ChemPPI[],14,FALSE)*VLOOKUP(BasisYear,ChemPPI[],14,FALSE))</f>
        <v>3.3286364037024314</v>
      </c>
      <c r="AM45" s="397" t="str">
        <f t="shared" si="0"/>
        <v>$/kg (2016)</v>
      </c>
    </row>
    <row r="46" spans="1:39">
      <c r="A46" s="259" t="s">
        <v>1143</v>
      </c>
      <c r="B46" s="260"/>
      <c r="C46" s="263"/>
      <c r="D46" s="263"/>
      <c r="E46" s="260">
        <v>100</v>
      </c>
      <c r="F46" s="260"/>
      <c r="G46" s="263"/>
      <c r="H46" s="263"/>
      <c r="I46" s="262"/>
      <c r="J46" s="263"/>
      <c r="K46" s="263"/>
      <c r="L46" s="263"/>
      <c r="M46" s="263"/>
      <c r="N46" s="263"/>
      <c r="O46" s="263"/>
      <c r="P46" s="261">
        <v>1.2450000000000001</v>
      </c>
      <c r="Q46" s="260">
        <v>1</v>
      </c>
      <c r="R46" s="260" t="s">
        <v>20</v>
      </c>
      <c r="S46" s="260">
        <v>2008</v>
      </c>
      <c r="T46" s="260" t="s">
        <v>161</v>
      </c>
      <c r="U46" s="386">
        <v>42653</v>
      </c>
      <c r="V46" s="387"/>
      <c r="W46" s="354">
        <f>COUNT(RawMaterials[[#This Row],[Lab Quantity 1]:[Lab Quantity 4]])</f>
        <v>0</v>
      </c>
      <c r="X4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 s="392" t="e">
        <f>RawMaterials[[#This Row],[Lab Price 1]]/RawMaterials[[#This Row],[Lab Q Model Units 1]]</f>
        <v>#N/A</v>
      </c>
      <c r="AC46" s="392" t="e">
        <f>RawMaterials[[#This Row],[Lab Price 2]]/RawMaterials[[#This Row],[Lab Q Model Units 2]]</f>
        <v>#N/A</v>
      </c>
      <c r="AD46" s="392" t="e">
        <f>RawMaterials[[#This Row],[Lab Price 3]]/RawMaterials[[#This Row],[Lab Q Model Units 3]]</f>
        <v>#N/A</v>
      </c>
      <c r="AE46" s="392" t="e">
        <f>RawMaterials[[#This Row],[Lab Price 4]]/RawMaterials[[#This Row],[Lab Q Model Units 4]]</f>
        <v>#N/A</v>
      </c>
      <c r="AF46" s="392" t="str">
        <f ca="1">IF(RawMaterials[[#This Row],[Lab Quote Count]]&gt;1,SLOPE(LOG(INDIRECT("RawMaterials[@[Lab Unit P 1]:[Lab Unit P "&amp;RawMaterials[[#This Row],[Lab Quote Count]]&amp;"]]")),LOG(INDIRECT("RawMaterials[@[Lab Q Model Units 1]:[Lab Q Model Units "&amp;RawMaterials[[#This Row],[Lab Quote Count]]&amp;"]]"))),"")</f>
        <v/>
      </c>
      <c r="AG46" s="392" t="str">
        <f ca="1">IF(RawMaterials[[#This Row],[Lab Quote Count]]&gt;1,INTERCEPT(LOG(INDIRECT("RawMaterials[@[Lab Unit P 1]:[Lab Unit P "&amp;RawMaterials[[#This Row],[Lab Quote Count]]&amp;"]]")),LOG(INDIRECT("RawMaterials[@[Lab Q Model Units 1]:[Lab Q Model Units "&amp;RawMaterials[[#This Row],[Lab Quote Count]]&amp;"]]"))),"")</f>
        <v/>
      </c>
      <c r="AH46" s="393" t="str">
        <f>IF(RawMaterials[[#This Row],[Material Type]]="Metal Precursor","D13",IF(RawMaterials[[#This Row],[Material Type]]="Ligand","D13","D12"))</f>
        <v>D12</v>
      </c>
      <c r="AI46" s="394" t="str">
        <f ca="1">IF(RawMaterials[[#This Row],[Lab Quote Count]]&gt;1,10^RawMaterials[[#This Row],[Lab Log-Log Intercept]]*INDIRECT(RawMaterials[[#This Row],[Basis Cell]])^RawMaterials[[#This Row],[Lab Log-Log Slope]],"&gt;&gt;&gt; Enter 2 or more lab quotes &lt;&lt;&lt;")</f>
        <v>&gt;&gt;&gt; Enter 2 or more lab quotes &lt;&lt;&lt;</v>
      </c>
      <c r="AJ4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2.744755164201726</v>
      </c>
      <c r="AL46" s="396">
        <f>IF(ISTEXT(RawMaterials[[#This Row],[Unit price in quote year]]),"Check calcs",RawMaterials[[#This Row],[Unit price in quote year]]/VLOOKUP(RawMaterials[[#This Row],[Quote Year]],ChemPPI[],14,FALSE)*VLOOKUP(BasisYear,ChemPPI[],14,FALSE))</f>
        <v>3.2125211803174629</v>
      </c>
      <c r="AM46" s="397" t="str">
        <f t="shared" si="0"/>
        <v>$/kg (2016)</v>
      </c>
    </row>
    <row r="47" spans="1:39">
      <c r="A47" s="259" t="s">
        <v>1144</v>
      </c>
      <c r="B47" s="260"/>
      <c r="C47" s="263"/>
      <c r="D47" s="263"/>
      <c r="E47" s="260">
        <v>100</v>
      </c>
      <c r="F47" s="260"/>
      <c r="G47" s="263"/>
      <c r="H47" s="263"/>
      <c r="I47" s="262"/>
      <c r="J47" s="263"/>
      <c r="K47" s="263"/>
      <c r="L47" s="263"/>
      <c r="M47" s="263"/>
      <c r="N47" s="263"/>
      <c r="O47" s="263"/>
      <c r="P47" s="261">
        <v>1.405</v>
      </c>
      <c r="Q47" s="260">
        <v>1</v>
      </c>
      <c r="R47" s="260" t="s">
        <v>20</v>
      </c>
      <c r="S47" s="260">
        <v>2008</v>
      </c>
      <c r="T47" s="260" t="s">
        <v>161</v>
      </c>
      <c r="U47" s="386">
        <v>42653</v>
      </c>
      <c r="V47" s="387"/>
      <c r="W47" s="354">
        <f>COUNT(RawMaterials[[#This Row],[Lab Quantity 1]:[Lab Quantity 4]])</f>
        <v>0</v>
      </c>
      <c r="X4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 s="392" t="e">
        <f>RawMaterials[[#This Row],[Lab Price 1]]/RawMaterials[[#This Row],[Lab Q Model Units 1]]</f>
        <v>#N/A</v>
      </c>
      <c r="AC47" s="392" t="e">
        <f>RawMaterials[[#This Row],[Lab Price 2]]/RawMaterials[[#This Row],[Lab Q Model Units 2]]</f>
        <v>#N/A</v>
      </c>
      <c r="AD47" s="392" t="e">
        <f>RawMaterials[[#This Row],[Lab Price 3]]/RawMaterials[[#This Row],[Lab Q Model Units 3]]</f>
        <v>#N/A</v>
      </c>
      <c r="AE47" s="392" t="e">
        <f>RawMaterials[[#This Row],[Lab Price 4]]/RawMaterials[[#This Row],[Lab Q Model Units 4]]</f>
        <v>#N/A</v>
      </c>
      <c r="AF47" s="392" t="str">
        <f ca="1">IF(RawMaterials[[#This Row],[Lab Quote Count]]&gt;1,SLOPE(LOG(INDIRECT("RawMaterials[@[Lab Unit P 1]:[Lab Unit P "&amp;RawMaterials[[#This Row],[Lab Quote Count]]&amp;"]]")),LOG(INDIRECT("RawMaterials[@[Lab Q Model Units 1]:[Lab Q Model Units "&amp;RawMaterials[[#This Row],[Lab Quote Count]]&amp;"]]"))),"")</f>
        <v/>
      </c>
      <c r="AG47" s="392" t="str">
        <f ca="1">IF(RawMaterials[[#This Row],[Lab Quote Count]]&gt;1,INTERCEPT(LOG(INDIRECT("RawMaterials[@[Lab Unit P 1]:[Lab Unit P "&amp;RawMaterials[[#This Row],[Lab Quote Count]]&amp;"]]")),LOG(INDIRECT("RawMaterials[@[Lab Q Model Units 1]:[Lab Q Model Units "&amp;RawMaterials[[#This Row],[Lab Quote Count]]&amp;"]]"))),"")</f>
        <v/>
      </c>
      <c r="AH47" s="393" t="str">
        <f>IF(RawMaterials[[#This Row],[Material Type]]="Metal Precursor","D13",IF(RawMaterials[[#This Row],[Material Type]]="Ligand","D13","D12"))</f>
        <v>D12</v>
      </c>
      <c r="AI47" s="394" t="str">
        <f ca="1">IF(RawMaterials[[#This Row],[Lab Quote Count]]&gt;1,10^RawMaterials[[#This Row],[Lab Log-Log Intercept]]*INDIRECT(RawMaterials[[#This Row],[Basis Cell]])^RawMaterials[[#This Row],[Lab Log-Log Slope]],"&gt;&gt;&gt; Enter 2 or more lab quotes &lt;&lt;&lt;")</f>
        <v>&gt;&gt;&gt; Enter 2 or more lab quotes &lt;&lt;&lt;</v>
      </c>
      <c r="AJ4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3.0974947836975297</v>
      </c>
      <c r="AL47" s="396">
        <f>IF(ISTEXT(RawMaterials[[#This Row],[Unit price in quote year]]),"Check calcs",RawMaterials[[#This Row],[Unit price in quote year]]/VLOOKUP(RawMaterials[[#This Row],[Quote Year]],ChemPPI[],14,FALSE)*VLOOKUP(BasisYear,ChemPPI[],14,FALSE))</f>
        <v>3.6253753079084619</v>
      </c>
      <c r="AM47" s="397" t="str">
        <f t="shared" si="0"/>
        <v>$/kg (2016)</v>
      </c>
    </row>
    <row r="48" spans="1:39">
      <c r="A48" s="259" t="s">
        <v>1145</v>
      </c>
      <c r="B48" s="260"/>
      <c r="C48" s="263"/>
      <c r="D48" s="263"/>
      <c r="E48" s="260">
        <v>100</v>
      </c>
      <c r="F48" s="260"/>
      <c r="G48" s="263"/>
      <c r="H48" s="263"/>
      <c r="I48" s="262"/>
      <c r="J48" s="263"/>
      <c r="K48" s="263"/>
      <c r="L48" s="263"/>
      <c r="M48" s="263"/>
      <c r="N48" s="263"/>
      <c r="O48" s="263"/>
      <c r="P48" s="261">
        <v>0.95499999999999996</v>
      </c>
      <c r="Q48" s="260">
        <v>1</v>
      </c>
      <c r="R48" s="260" t="s">
        <v>20</v>
      </c>
      <c r="S48" s="260">
        <v>2008</v>
      </c>
      <c r="T48" s="260" t="s">
        <v>161</v>
      </c>
      <c r="U48" s="386">
        <v>42653</v>
      </c>
      <c r="V48" s="387"/>
      <c r="W48" s="354">
        <f>COUNT(RawMaterials[[#This Row],[Lab Quantity 1]:[Lab Quantity 4]])</f>
        <v>0</v>
      </c>
      <c r="X4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 s="392" t="e">
        <f>RawMaterials[[#This Row],[Lab Price 1]]/RawMaterials[[#This Row],[Lab Q Model Units 1]]</f>
        <v>#N/A</v>
      </c>
      <c r="AC48" s="392" t="e">
        <f>RawMaterials[[#This Row],[Lab Price 2]]/RawMaterials[[#This Row],[Lab Q Model Units 2]]</f>
        <v>#N/A</v>
      </c>
      <c r="AD48" s="392" t="e">
        <f>RawMaterials[[#This Row],[Lab Price 3]]/RawMaterials[[#This Row],[Lab Q Model Units 3]]</f>
        <v>#N/A</v>
      </c>
      <c r="AE48" s="392" t="e">
        <f>RawMaterials[[#This Row],[Lab Price 4]]/RawMaterials[[#This Row],[Lab Q Model Units 4]]</f>
        <v>#N/A</v>
      </c>
      <c r="AF48" s="392" t="str">
        <f ca="1">IF(RawMaterials[[#This Row],[Lab Quote Count]]&gt;1,SLOPE(LOG(INDIRECT("RawMaterials[@[Lab Unit P 1]:[Lab Unit P "&amp;RawMaterials[[#This Row],[Lab Quote Count]]&amp;"]]")),LOG(INDIRECT("RawMaterials[@[Lab Q Model Units 1]:[Lab Q Model Units "&amp;RawMaterials[[#This Row],[Lab Quote Count]]&amp;"]]"))),"")</f>
        <v/>
      </c>
      <c r="AG48" s="392" t="str">
        <f ca="1">IF(RawMaterials[[#This Row],[Lab Quote Count]]&gt;1,INTERCEPT(LOG(INDIRECT("RawMaterials[@[Lab Unit P 1]:[Lab Unit P "&amp;RawMaterials[[#This Row],[Lab Quote Count]]&amp;"]]")),LOG(INDIRECT("RawMaterials[@[Lab Q Model Units 1]:[Lab Q Model Units "&amp;RawMaterials[[#This Row],[Lab Quote Count]]&amp;"]]"))),"")</f>
        <v/>
      </c>
      <c r="AH48" s="393" t="str">
        <f>IF(RawMaterials[[#This Row],[Material Type]]="Metal Precursor","D13",IF(RawMaterials[[#This Row],[Material Type]]="Ligand","D13","D12"))</f>
        <v>D12</v>
      </c>
      <c r="AI48" s="394" t="str">
        <f ca="1">IF(RawMaterials[[#This Row],[Lab Quote Count]]&gt;1,10^RawMaterials[[#This Row],[Lab Log-Log Intercept]]*INDIRECT(RawMaterials[[#This Row],[Basis Cell]])^RawMaterials[[#This Row],[Lab Log-Log Slope]],"&gt;&gt;&gt; Enter 2 or more lab quotes &lt;&lt;&lt;")</f>
        <v>&gt;&gt;&gt; Enter 2 or more lab quotes &lt;&lt;&lt;</v>
      </c>
      <c r="AJ4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2.1054146038655808</v>
      </c>
      <c r="AL48" s="396">
        <f>IF(ISTEXT(RawMaterials[[#This Row],[Unit price in quote year]]),"Check calcs",RawMaterials[[#This Row],[Unit price in quote year]]/VLOOKUP(RawMaterials[[#This Row],[Quote Year]],ChemPPI[],14,FALSE)*VLOOKUP(BasisYear,ChemPPI[],14,FALSE))</f>
        <v>2.4642230740587765</v>
      </c>
      <c r="AM48" s="397" t="str">
        <f t="shared" si="0"/>
        <v>$/kg (2016)</v>
      </c>
    </row>
    <row r="49" spans="1:39">
      <c r="A49" s="259" t="s">
        <v>1146</v>
      </c>
      <c r="B49" s="260"/>
      <c r="C49" s="263"/>
      <c r="D49" s="263"/>
      <c r="E49" s="260">
        <v>100</v>
      </c>
      <c r="F49" s="260"/>
      <c r="G49" s="263"/>
      <c r="H49" s="263"/>
      <c r="I49" s="262"/>
      <c r="J49" s="263"/>
      <c r="K49" s="263"/>
      <c r="L49" s="263"/>
      <c r="M49" s="263"/>
      <c r="N49" s="263"/>
      <c r="O49" s="263"/>
      <c r="P49" s="261">
        <v>1.365</v>
      </c>
      <c r="Q49" s="260">
        <v>1</v>
      </c>
      <c r="R49" s="260" t="s">
        <v>20</v>
      </c>
      <c r="S49" s="260">
        <v>2008</v>
      </c>
      <c r="T49" s="260" t="s">
        <v>161</v>
      </c>
      <c r="U49" s="386">
        <v>42653</v>
      </c>
      <c r="V49" s="387"/>
      <c r="W49" s="354">
        <f>COUNT(RawMaterials[[#This Row],[Lab Quantity 1]:[Lab Quantity 4]])</f>
        <v>0</v>
      </c>
      <c r="X4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 s="392" t="e">
        <f>RawMaterials[[#This Row],[Lab Price 1]]/RawMaterials[[#This Row],[Lab Q Model Units 1]]</f>
        <v>#N/A</v>
      </c>
      <c r="AC49" s="392" t="e">
        <f>RawMaterials[[#This Row],[Lab Price 2]]/RawMaterials[[#This Row],[Lab Q Model Units 2]]</f>
        <v>#N/A</v>
      </c>
      <c r="AD49" s="392" t="e">
        <f>RawMaterials[[#This Row],[Lab Price 3]]/RawMaterials[[#This Row],[Lab Q Model Units 3]]</f>
        <v>#N/A</v>
      </c>
      <c r="AE49" s="392" t="e">
        <f>RawMaterials[[#This Row],[Lab Price 4]]/RawMaterials[[#This Row],[Lab Q Model Units 4]]</f>
        <v>#N/A</v>
      </c>
      <c r="AF49" s="392" t="str">
        <f ca="1">IF(RawMaterials[[#This Row],[Lab Quote Count]]&gt;1,SLOPE(LOG(INDIRECT("RawMaterials[@[Lab Unit P 1]:[Lab Unit P "&amp;RawMaterials[[#This Row],[Lab Quote Count]]&amp;"]]")),LOG(INDIRECT("RawMaterials[@[Lab Q Model Units 1]:[Lab Q Model Units "&amp;RawMaterials[[#This Row],[Lab Quote Count]]&amp;"]]"))),"")</f>
        <v/>
      </c>
      <c r="AG49" s="392" t="str">
        <f ca="1">IF(RawMaterials[[#This Row],[Lab Quote Count]]&gt;1,INTERCEPT(LOG(INDIRECT("RawMaterials[@[Lab Unit P 1]:[Lab Unit P "&amp;RawMaterials[[#This Row],[Lab Quote Count]]&amp;"]]")),LOG(INDIRECT("RawMaterials[@[Lab Q Model Units 1]:[Lab Q Model Units "&amp;RawMaterials[[#This Row],[Lab Quote Count]]&amp;"]]"))),"")</f>
        <v/>
      </c>
      <c r="AH49" s="393" t="str">
        <f>IF(RawMaterials[[#This Row],[Material Type]]="Metal Precursor","D13",IF(RawMaterials[[#This Row],[Material Type]]="Ligand","D13","D12"))</f>
        <v>D12</v>
      </c>
      <c r="AI49" s="394" t="str">
        <f ca="1">IF(RawMaterials[[#This Row],[Lab Quote Count]]&gt;1,10^RawMaterials[[#This Row],[Lab Log-Log Intercept]]*INDIRECT(RawMaterials[[#This Row],[Basis Cell]])^RawMaterials[[#This Row],[Lab Log-Log Slope]],"&gt;&gt;&gt; Enter 2 or more lab quotes &lt;&lt;&lt;")</f>
        <v>&gt;&gt;&gt; Enter 2 or more lab quotes &lt;&lt;&lt;</v>
      </c>
      <c r="AJ4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3.0093098788235788</v>
      </c>
      <c r="AL49" s="396">
        <f>IF(ISTEXT(RawMaterials[[#This Row],[Unit price in quote year]]),"Check calcs",RawMaterials[[#This Row],[Unit price in quote year]]/VLOOKUP(RawMaterials[[#This Row],[Quote Year]],ChemPPI[],14,FALSE)*VLOOKUP(BasisYear,ChemPPI[],14,FALSE))</f>
        <v>3.5221617760107122</v>
      </c>
      <c r="AM49" s="397" t="str">
        <f t="shared" si="0"/>
        <v>$/kg (2016)</v>
      </c>
    </row>
    <row r="50" spans="1:39">
      <c r="A50" s="259" t="s">
        <v>1147</v>
      </c>
      <c r="B50" s="260"/>
      <c r="C50" s="263"/>
      <c r="D50" s="263"/>
      <c r="E50" s="260">
        <v>100</v>
      </c>
      <c r="F50" s="260"/>
      <c r="G50" s="263"/>
      <c r="H50" s="263"/>
      <c r="I50" s="262"/>
      <c r="J50" s="263"/>
      <c r="K50" s="263"/>
      <c r="L50" s="263"/>
      <c r="M50" s="263"/>
      <c r="N50" s="263"/>
      <c r="O50" s="263"/>
      <c r="P50" s="261">
        <v>1.31</v>
      </c>
      <c r="Q50" s="260">
        <v>1</v>
      </c>
      <c r="R50" s="260" t="s">
        <v>20</v>
      </c>
      <c r="S50" s="260">
        <v>2008</v>
      </c>
      <c r="T50" s="260" t="s">
        <v>161</v>
      </c>
      <c r="U50" s="386">
        <v>42653</v>
      </c>
      <c r="V50" s="387"/>
      <c r="W50" s="354">
        <f>COUNT(RawMaterials[[#This Row],[Lab Quantity 1]:[Lab Quantity 4]])</f>
        <v>0</v>
      </c>
      <c r="X5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 s="392" t="e">
        <f>RawMaterials[[#This Row],[Lab Price 1]]/RawMaterials[[#This Row],[Lab Q Model Units 1]]</f>
        <v>#N/A</v>
      </c>
      <c r="AC50" s="392" t="e">
        <f>RawMaterials[[#This Row],[Lab Price 2]]/RawMaterials[[#This Row],[Lab Q Model Units 2]]</f>
        <v>#N/A</v>
      </c>
      <c r="AD50" s="392" t="e">
        <f>RawMaterials[[#This Row],[Lab Price 3]]/RawMaterials[[#This Row],[Lab Q Model Units 3]]</f>
        <v>#N/A</v>
      </c>
      <c r="AE50" s="392" t="e">
        <f>RawMaterials[[#This Row],[Lab Price 4]]/RawMaterials[[#This Row],[Lab Q Model Units 4]]</f>
        <v>#N/A</v>
      </c>
      <c r="AF50" s="392" t="str">
        <f ca="1">IF(RawMaterials[[#This Row],[Lab Quote Count]]&gt;1,SLOPE(LOG(INDIRECT("RawMaterials[@[Lab Unit P 1]:[Lab Unit P "&amp;RawMaterials[[#This Row],[Lab Quote Count]]&amp;"]]")),LOG(INDIRECT("RawMaterials[@[Lab Q Model Units 1]:[Lab Q Model Units "&amp;RawMaterials[[#This Row],[Lab Quote Count]]&amp;"]]"))),"")</f>
        <v/>
      </c>
      <c r="AG50" s="392" t="str">
        <f ca="1">IF(RawMaterials[[#This Row],[Lab Quote Count]]&gt;1,INTERCEPT(LOG(INDIRECT("RawMaterials[@[Lab Unit P 1]:[Lab Unit P "&amp;RawMaterials[[#This Row],[Lab Quote Count]]&amp;"]]")),LOG(INDIRECT("RawMaterials[@[Lab Q Model Units 1]:[Lab Q Model Units "&amp;RawMaterials[[#This Row],[Lab Quote Count]]&amp;"]]"))),"")</f>
        <v/>
      </c>
      <c r="AH50" s="393" t="str">
        <f>IF(RawMaterials[[#This Row],[Material Type]]="Metal Precursor","D13",IF(RawMaterials[[#This Row],[Material Type]]="Ligand","D13","D12"))</f>
        <v>D12</v>
      </c>
      <c r="AI50" s="394" t="str">
        <f ca="1">IF(RawMaterials[[#This Row],[Lab Quote Count]]&gt;1,10^RawMaterials[[#This Row],[Lab Log-Log Intercept]]*INDIRECT(RawMaterials[[#This Row],[Basis Cell]])^RawMaterials[[#This Row],[Lab Log-Log Slope]],"&gt;&gt;&gt; Enter 2 or more lab quotes &lt;&lt;&lt;")</f>
        <v>&gt;&gt;&gt; Enter 2 or more lab quotes &lt;&lt;&lt;</v>
      </c>
      <c r="AJ5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2.8880556346218964</v>
      </c>
      <c r="AL50" s="396">
        <f>IF(ISTEXT(RawMaterials[[#This Row],[Unit price in quote year]]),"Check calcs",RawMaterials[[#This Row],[Unit price in quote year]]/VLOOKUP(RawMaterials[[#This Row],[Quote Year]],ChemPPI[],14,FALSE)*VLOOKUP(BasisYear,ChemPPI[],14,FALSE))</f>
        <v>3.3802431696513069</v>
      </c>
      <c r="AM50" s="397" t="str">
        <f t="shared" si="0"/>
        <v>$/kg (2016)</v>
      </c>
    </row>
    <row r="51" spans="1:39">
      <c r="A51" s="259" t="s">
        <v>1148</v>
      </c>
      <c r="B51" s="260"/>
      <c r="C51" s="263"/>
      <c r="D51" s="263"/>
      <c r="E51" s="260">
        <v>100</v>
      </c>
      <c r="F51" s="260"/>
      <c r="G51" s="263"/>
      <c r="H51" s="263"/>
      <c r="I51" s="262"/>
      <c r="J51" s="263"/>
      <c r="K51" s="263"/>
      <c r="L51" s="263"/>
      <c r="M51" s="263"/>
      <c r="N51" s="263"/>
      <c r="O51" s="263"/>
      <c r="P51" s="261">
        <v>0.67500000000000004</v>
      </c>
      <c r="Q51" s="260">
        <v>1</v>
      </c>
      <c r="R51" s="260" t="s">
        <v>1112</v>
      </c>
      <c r="S51" s="260">
        <v>2006</v>
      </c>
      <c r="T51" s="260" t="s">
        <v>161</v>
      </c>
      <c r="U51" s="386">
        <v>42653</v>
      </c>
      <c r="V51" s="387"/>
      <c r="W51" s="354">
        <f>COUNT(RawMaterials[[#This Row],[Lab Quantity 1]:[Lab Quantity 4]])</f>
        <v>0</v>
      </c>
      <c r="X5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 s="392" t="e">
        <f>RawMaterials[[#This Row],[Lab Price 1]]/RawMaterials[[#This Row],[Lab Q Model Units 1]]</f>
        <v>#N/A</v>
      </c>
      <c r="AC51" s="392" t="e">
        <f>RawMaterials[[#This Row],[Lab Price 2]]/RawMaterials[[#This Row],[Lab Q Model Units 2]]</f>
        <v>#N/A</v>
      </c>
      <c r="AD51" s="392" t="e">
        <f>RawMaterials[[#This Row],[Lab Price 3]]/RawMaterials[[#This Row],[Lab Q Model Units 3]]</f>
        <v>#N/A</v>
      </c>
      <c r="AE51" s="392" t="e">
        <f>RawMaterials[[#This Row],[Lab Price 4]]/RawMaterials[[#This Row],[Lab Q Model Units 4]]</f>
        <v>#N/A</v>
      </c>
      <c r="AF51" s="392" t="str">
        <f ca="1">IF(RawMaterials[[#This Row],[Lab Quote Count]]&gt;1,SLOPE(LOG(INDIRECT("RawMaterials[@[Lab Unit P 1]:[Lab Unit P "&amp;RawMaterials[[#This Row],[Lab Quote Count]]&amp;"]]")),LOG(INDIRECT("RawMaterials[@[Lab Q Model Units 1]:[Lab Q Model Units "&amp;RawMaterials[[#This Row],[Lab Quote Count]]&amp;"]]"))),"")</f>
        <v/>
      </c>
      <c r="AG51" s="392" t="str">
        <f ca="1">IF(RawMaterials[[#This Row],[Lab Quote Count]]&gt;1,INTERCEPT(LOG(INDIRECT("RawMaterials[@[Lab Unit P 1]:[Lab Unit P "&amp;RawMaterials[[#This Row],[Lab Quote Count]]&amp;"]]")),LOG(INDIRECT("RawMaterials[@[Lab Q Model Units 1]:[Lab Q Model Units "&amp;RawMaterials[[#This Row],[Lab Quote Count]]&amp;"]]"))),"")</f>
        <v/>
      </c>
      <c r="AH51" s="393" t="str">
        <f>IF(RawMaterials[[#This Row],[Material Type]]="Metal Precursor","D13",IF(RawMaterials[[#This Row],[Material Type]]="Ligand","D13","D12"))</f>
        <v>D12</v>
      </c>
      <c r="AI51" s="394" t="str">
        <f ca="1">IF(RawMaterials[[#This Row],[Lab Quote Count]]&gt;1,10^RawMaterials[[#This Row],[Lab Log-Log Intercept]]*INDIRECT(RawMaterials[[#This Row],[Basis Cell]])^RawMaterials[[#This Row],[Lab Log-Log Slope]],"&gt;&gt;&gt; Enter 2 or more lab quotes &lt;&lt;&lt;")</f>
        <v>&gt;&gt;&gt; Enter 2 or more lab quotes &lt;&lt;&lt;</v>
      </c>
      <c r="AJ5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6.7500000000000004E-4</v>
      </c>
      <c r="AL51" s="396">
        <f>IF(ISTEXT(RawMaterials[[#This Row],[Unit price in quote year]]),"Check calcs",RawMaterials[[#This Row],[Unit price in quote year]]/VLOOKUP(RawMaterials[[#This Row],[Quote Year]],ChemPPI[],14,FALSE)*VLOOKUP(BasisYear,ChemPPI[],14,FALSE))</f>
        <v>9.1612042682926852E-4</v>
      </c>
      <c r="AM51" s="397" t="str">
        <f t="shared" si="0"/>
        <v>$/kg (2016)</v>
      </c>
    </row>
    <row r="52" spans="1:39">
      <c r="A52" s="259" t="s">
        <v>1149</v>
      </c>
      <c r="B52" s="260"/>
      <c r="C52" s="263"/>
      <c r="D52" s="263"/>
      <c r="E52" s="260">
        <v>100</v>
      </c>
      <c r="F52" s="260"/>
      <c r="G52" s="263"/>
      <c r="H52" s="263"/>
      <c r="I52" s="262"/>
      <c r="J52" s="263"/>
      <c r="K52" s="263"/>
      <c r="L52" s="263"/>
      <c r="M52" s="263"/>
      <c r="N52" s="263"/>
      <c r="O52" s="263"/>
      <c r="P52" s="261">
        <v>1.3149999999999999</v>
      </c>
      <c r="Q52" s="260">
        <v>1</v>
      </c>
      <c r="R52" s="260" t="s">
        <v>20</v>
      </c>
      <c r="S52" s="260">
        <v>2006</v>
      </c>
      <c r="T52" s="260" t="s">
        <v>161</v>
      </c>
      <c r="U52" s="386">
        <v>42653</v>
      </c>
      <c r="V52" s="387"/>
      <c r="W52" s="354">
        <f>COUNT(RawMaterials[[#This Row],[Lab Quantity 1]:[Lab Quantity 4]])</f>
        <v>0</v>
      </c>
      <c r="X5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 s="392" t="e">
        <f>RawMaterials[[#This Row],[Lab Price 1]]/RawMaterials[[#This Row],[Lab Q Model Units 1]]</f>
        <v>#N/A</v>
      </c>
      <c r="AC52" s="392" t="e">
        <f>RawMaterials[[#This Row],[Lab Price 2]]/RawMaterials[[#This Row],[Lab Q Model Units 2]]</f>
        <v>#N/A</v>
      </c>
      <c r="AD52" s="392" t="e">
        <f>RawMaterials[[#This Row],[Lab Price 3]]/RawMaterials[[#This Row],[Lab Q Model Units 3]]</f>
        <v>#N/A</v>
      </c>
      <c r="AE52" s="392" t="e">
        <f>RawMaterials[[#This Row],[Lab Price 4]]/RawMaterials[[#This Row],[Lab Q Model Units 4]]</f>
        <v>#N/A</v>
      </c>
      <c r="AF52" s="392" t="str">
        <f ca="1">IF(RawMaterials[[#This Row],[Lab Quote Count]]&gt;1,SLOPE(LOG(INDIRECT("RawMaterials[@[Lab Unit P 1]:[Lab Unit P "&amp;RawMaterials[[#This Row],[Lab Quote Count]]&amp;"]]")),LOG(INDIRECT("RawMaterials[@[Lab Q Model Units 1]:[Lab Q Model Units "&amp;RawMaterials[[#This Row],[Lab Quote Count]]&amp;"]]"))),"")</f>
        <v/>
      </c>
      <c r="AG52" s="392" t="str">
        <f ca="1">IF(RawMaterials[[#This Row],[Lab Quote Count]]&gt;1,INTERCEPT(LOG(INDIRECT("RawMaterials[@[Lab Unit P 1]:[Lab Unit P "&amp;RawMaterials[[#This Row],[Lab Quote Count]]&amp;"]]")),LOG(INDIRECT("RawMaterials[@[Lab Q Model Units 1]:[Lab Q Model Units "&amp;RawMaterials[[#This Row],[Lab Quote Count]]&amp;"]]"))),"")</f>
        <v/>
      </c>
      <c r="AH52" s="393" t="str">
        <f>IF(RawMaterials[[#This Row],[Material Type]]="Metal Precursor","D13",IF(RawMaterials[[#This Row],[Material Type]]="Ligand","D13","D12"))</f>
        <v>D12</v>
      </c>
      <c r="AI52" s="394" t="str">
        <f ca="1">IF(RawMaterials[[#This Row],[Lab Quote Count]]&gt;1,10^RawMaterials[[#This Row],[Lab Log-Log Intercept]]*INDIRECT(RawMaterials[[#This Row],[Basis Cell]])^RawMaterials[[#This Row],[Lab Log-Log Slope]],"&gt;&gt;&gt; Enter 2 or more lab quotes &lt;&lt;&lt;")</f>
        <v>&gt;&gt;&gt; Enter 2 or more lab quotes &lt;&lt;&lt;</v>
      </c>
      <c r="AJ5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2.8990787477311399</v>
      </c>
      <c r="AL52" s="396">
        <f>IF(ISTEXT(RawMaterials[[#This Row],[Unit price in quote year]]),"Check calcs",RawMaterials[[#This Row],[Unit price in quote year]]/VLOOKUP(RawMaterials[[#This Row],[Quote Year]],ChemPPI[],14,FALSE)*VLOOKUP(BasisYear,ChemPPI[],14,FALSE))</f>
        <v>3.9346744589379452</v>
      </c>
      <c r="AM52" s="397" t="str">
        <f t="shared" si="0"/>
        <v>$/kg (2016)</v>
      </c>
    </row>
    <row r="53" spans="1:39">
      <c r="A53" s="259" t="s">
        <v>1150</v>
      </c>
      <c r="B53" s="260"/>
      <c r="C53" s="263"/>
      <c r="D53" s="263"/>
      <c r="E53" s="260">
        <v>100</v>
      </c>
      <c r="F53" s="260"/>
      <c r="G53" s="263"/>
      <c r="H53" s="263"/>
      <c r="I53" s="262"/>
      <c r="J53" s="263"/>
      <c r="K53" s="263"/>
      <c r="L53" s="263"/>
      <c r="M53" s="263"/>
      <c r="N53" s="263"/>
      <c r="O53" s="263"/>
      <c r="P53" s="261">
        <v>0.875</v>
      </c>
      <c r="Q53" s="260">
        <v>1</v>
      </c>
      <c r="R53" s="260" t="s">
        <v>401</v>
      </c>
      <c r="S53" s="260">
        <v>2006</v>
      </c>
      <c r="T53" s="260" t="s">
        <v>161</v>
      </c>
      <c r="U53" s="386">
        <v>42653</v>
      </c>
      <c r="V53" s="387"/>
      <c r="W53" s="354">
        <f>COUNT(RawMaterials[[#This Row],[Lab Quantity 1]:[Lab Quantity 4]])</f>
        <v>0</v>
      </c>
      <c r="X5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 s="392" t="e">
        <f>RawMaterials[[#This Row],[Lab Price 1]]/RawMaterials[[#This Row],[Lab Q Model Units 1]]</f>
        <v>#N/A</v>
      </c>
      <c r="AC53" s="392" t="e">
        <f>RawMaterials[[#This Row],[Lab Price 2]]/RawMaterials[[#This Row],[Lab Q Model Units 2]]</f>
        <v>#N/A</v>
      </c>
      <c r="AD53" s="392" t="e">
        <f>RawMaterials[[#This Row],[Lab Price 3]]/RawMaterials[[#This Row],[Lab Q Model Units 3]]</f>
        <v>#N/A</v>
      </c>
      <c r="AE53" s="392" t="e">
        <f>RawMaterials[[#This Row],[Lab Price 4]]/RawMaterials[[#This Row],[Lab Q Model Units 4]]</f>
        <v>#N/A</v>
      </c>
      <c r="AF53" s="392" t="str">
        <f ca="1">IF(RawMaterials[[#This Row],[Lab Quote Count]]&gt;1,SLOPE(LOG(INDIRECT("RawMaterials[@[Lab Unit P 1]:[Lab Unit P "&amp;RawMaterials[[#This Row],[Lab Quote Count]]&amp;"]]")),LOG(INDIRECT("RawMaterials[@[Lab Q Model Units 1]:[Lab Q Model Units "&amp;RawMaterials[[#This Row],[Lab Quote Count]]&amp;"]]"))),"")</f>
        <v/>
      </c>
      <c r="AG53" s="392" t="str">
        <f ca="1">IF(RawMaterials[[#This Row],[Lab Quote Count]]&gt;1,INTERCEPT(LOG(INDIRECT("RawMaterials[@[Lab Unit P 1]:[Lab Unit P "&amp;RawMaterials[[#This Row],[Lab Quote Count]]&amp;"]]")),LOG(INDIRECT("RawMaterials[@[Lab Q Model Units 1]:[Lab Q Model Units "&amp;RawMaterials[[#This Row],[Lab Quote Count]]&amp;"]]"))),"")</f>
        <v/>
      </c>
      <c r="AH53" s="393" t="str">
        <f>IF(RawMaterials[[#This Row],[Material Type]]="Metal Precursor","D13",IF(RawMaterials[[#This Row],[Material Type]]="Ligand","D13","D12"))</f>
        <v>D12</v>
      </c>
      <c r="AI53" s="394" t="str">
        <f ca="1">IF(RawMaterials[[#This Row],[Lab Quote Count]]&gt;1,10^RawMaterials[[#This Row],[Lab Log-Log Intercept]]*INDIRECT(RawMaterials[[#This Row],[Basis Cell]])^RawMaterials[[#This Row],[Lab Log-Log Slope]],"&gt;&gt;&gt; Enter 2 or more lab quotes &lt;&lt;&lt;")</f>
        <v>&gt;&gt;&gt; Enter 2 or more lab quotes &lt;&lt;&lt;</v>
      </c>
      <c r="AJ5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9.6452239705883936E-4</v>
      </c>
      <c r="AL53" s="396">
        <f>IF(ISTEXT(RawMaterials[[#This Row],[Unit price in quote year]]),"Check calcs",RawMaterials[[#This Row],[Unit price in quote year]]/VLOOKUP(RawMaterials[[#This Row],[Quote Year]],ChemPPI[],14,FALSE)*VLOOKUP(BasisYear,ChemPPI[],14,FALSE))</f>
        <v>1.3090646964147156E-3</v>
      </c>
      <c r="AM53" s="397" t="str">
        <f t="shared" si="0"/>
        <v>$/kg (2016)</v>
      </c>
    </row>
    <row r="54" spans="1:39">
      <c r="A54" s="259" t="s">
        <v>1151</v>
      </c>
      <c r="B54" s="260"/>
      <c r="C54" s="351"/>
      <c r="D54" s="351"/>
      <c r="E54" s="260">
        <v>100</v>
      </c>
      <c r="F54" s="260"/>
      <c r="G54" s="351"/>
      <c r="H54" s="351"/>
      <c r="I54" s="262"/>
      <c r="J54" s="351"/>
      <c r="K54" s="351"/>
      <c r="L54" s="351"/>
      <c r="M54" s="351"/>
      <c r="N54" s="351"/>
      <c r="O54" s="351"/>
      <c r="P54" s="261">
        <v>0.77500000000000002</v>
      </c>
      <c r="Q54" s="260">
        <v>1</v>
      </c>
      <c r="R54" s="260" t="s">
        <v>20</v>
      </c>
      <c r="S54" s="260">
        <v>2006</v>
      </c>
      <c r="T54" s="260" t="s">
        <v>161</v>
      </c>
      <c r="U54" s="386">
        <v>42653</v>
      </c>
      <c r="V54" s="387"/>
      <c r="W54" s="354">
        <f>COUNT(RawMaterials[[#This Row],[Lab Quantity 1]:[Lab Quantity 4]])</f>
        <v>0</v>
      </c>
      <c r="X5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 s="392" t="e">
        <f>RawMaterials[[#This Row],[Lab Price 1]]/RawMaterials[[#This Row],[Lab Q Model Units 1]]</f>
        <v>#N/A</v>
      </c>
      <c r="AC54" s="392" t="e">
        <f>RawMaterials[[#This Row],[Lab Price 2]]/RawMaterials[[#This Row],[Lab Q Model Units 2]]</f>
        <v>#N/A</v>
      </c>
      <c r="AD54" s="392" t="e">
        <f>RawMaterials[[#This Row],[Lab Price 3]]/RawMaterials[[#This Row],[Lab Q Model Units 3]]</f>
        <v>#N/A</v>
      </c>
      <c r="AE54" s="392" t="e">
        <f>RawMaterials[[#This Row],[Lab Price 4]]/RawMaterials[[#This Row],[Lab Q Model Units 4]]</f>
        <v>#N/A</v>
      </c>
      <c r="AF54" s="392" t="str">
        <f ca="1">IF(RawMaterials[[#This Row],[Lab Quote Count]]&gt;1,SLOPE(LOG(INDIRECT("RawMaterials[@[Lab Unit P 1]:[Lab Unit P "&amp;RawMaterials[[#This Row],[Lab Quote Count]]&amp;"]]")),LOG(INDIRECT("RawMaterials[@[Lab Q Model Units 1]:[Lab Q Model Units "&amp;RawMaterials[[#This Row],[Lab Quote Count]]&amp;"]]"))),"")</f>
        <v/>
      </c>
      <c r="AG54" s="392" t="str">
        <f ca="1">IF(RawMaterials[[#This Row],[Lab Quote Count]]&gt;1,INTERCEPT(LOG(INDIRECT("RawMaterials[@[Lab Unit P 1]:[Lab Unit P "&amp;RawMaterials[[#This Row],[Lab Quote Count]]&amp;"]]")),LOG(INDIRECT("RawMaterials[@[Lab Q Model Units 1]:[Lab Q Model Units "&amp;RawMaterials[[#This Row],[Lab Quote Count]]&amp;"]]"))),"")</f>
        <v/>
      </c>
      <c r="AH54" s="393" t="str">
        <f>IF(RawMaterials[[#This Row],[Material Type]]="Metal Precursor","D13",IF(RawMaterials[[#This Row],[Material Type]]="Ligand","D13","D12"))</f>
        <v>D12</v>
      </c>
      <c r="AI54" s="394" t="str">
        <f ca="1">IF(RawMaterials[[#This Row],[Lab Quote Count]]&gt;1,10^RawMaterials[[#This Row],[Lab Log-Log Intercept]]*INDIRECT(RawMaterials[[#This Row],[Basis Cell]])^RawMaterials[[#This Row],[Lab Log-Log Slope]],"&gt;&gt;&gt; Enter 2 or more lab quotes &lt;&lt;&lt;")</f>
        <v>&gt;&gt;&gt; Enter 2 or more lab quotes &lt;&lt;&lt;</v>
      </c>
      <c r="AJ5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1.7085825319328012</v>
      </c>
      <c r="AL54" s="396">
        <f>IF(ISTEXT(RawMaterials[[#This Row],[Unit price in quote year]]),"Check calcs",RawMaterials[[#This Row],[Unit price in quote year]]/VLOOKUP(RawMaterials[[#This Row],[Quote Year]],ChemPPI[],14,FALSE)*VLOOKUP(BasisYear,ChemPPI[],14,FALSE))</f>
        <v>2.3189146050774965</v>
      </c>
      <c r="AM54" s="397" t="str">
        <f t="shared" si="0"/>
        <v>$/kg (2016)</v>
      </c>
    </row>
    <row r="55" spans="1:39">
      <c r="A55" s="352" t="s">
        <v>179</v>
      </c>
      <c r="B55" s="354"/>
      <c r="C55" s="353"/>
      <c r="D55" s="353"/>
      <c r="E55" s="354">
        <v>100</v>
      </c>
      <c r="F55" s="354"/>
      <c r="G55" s="353"/>
      <c r="H55" s="353"/>
      <c r="I55" s="355"/>
      <c r="J55" s="353"/>
      <c r="K55" s="353"/>
      <c r="L55" s="353"/>
      <c r="M55" s="353"/>
      <c r="N55" s="353"/>
      <c r="O55" s="353"/>
      <c r="P55" s="356">
        <v>0.96</v>
      </c>
      <c r="Q55" s="260">
        <v>1</v>
      </c>
      <c r="R55" s="354" t="s">
        <v>20</v>
      </c>
      <c r="S55" s="354">
        <v>2018</v>
      </c>
      <c r="T55" s="354" t="s">
        <v>1094</v>
      </c>
      <c r="U55" s="400">
        <v>43339</v>
      </c>
      <c r="V55" s="387" t="s">
        <v>1705</v>
      </c>
      <c r="W55" s="354">
        <f>COUNT(RawMaterials[[#This Row],[Lab Quantity 1]:[Lab Quantity 4]])</f>
        <v>0</v>
      </c>
      <c r="X5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 s="392" t="e">
        <f>RawMaterials[[#This Row],[Lab Price 1]]/RawMaterials[[#This Row],[Lab Q Model Units 1]]</f>
        <v>#N/A</v>
      </c>
      <c r="AC55" s="392" t="e">
        <f>RawMaterials[[#This Row],[Lab Price 2]]/RawMaterials[[#This Row],[Lab Q Model Units 2]]</f>
        <v>#N/A</v>
      </c>
      <c r="AD55" s="392" t="e">
        <f>RawMaterials[[#This Row],[Lab Price 3]]/RawMaterials[[#This Row],[Lab Q Model Units 3]]</f>
        <v>#N/A</v>
      </c>
      <c r="AE55" s="392" t="e">
        <f>RawMaterials[[#This Row],[Lab Price 4]]/RawMaterials[[#This Row],[Lab Q Model Units 4]]</f>
        <v>#N/A</v>
      </c>
      <c r="AF55" s="392" t="str">
        <f ca="1">IF(RawMaterials[[#This Row],[Lab Quote Count]]&gt;1,SLOPE(LOG(INDIRECT("RawMaterials[@[Lab Unit P 1]:[Lab Unit P "&amp;RawMaterials[[#This Row],[Lab Quote Count]]&amp;"]]")),LOG(INDIRECT("RawMaterials[@[Lab Q Model Units 1]:[Lab Q Model Units "&amp;RawMaterials[[#This Row],[Lab Quote Count]]&amp;"]]"))),"")</f>
        <v/>
      </c>
      <c r="AG55" s="392" t="str">
        <f ca="1">IF(RawMaterials[[#This Row],[Lab Quote Count]]&gt;1,INTERCEPT(LOG(INDIRECT("RawMaterials[@[Lab Unit P 1]:[Lab Unit P "&amp;RawMaterials[[#This Row],[Lab Quote Count]]&amp;"]]")),LOG(INDIRECT("RawMaterials[@[Lab Q Model Units 1]:[Lab Q Model Units "&amp;RawMaterials[[#This Row],[Lab Quote Count]]&amp;"]]"))),"")</f>
        <v/>
      </c>
      <c r="AH55" s="393" t="str">
        <f>IF(RawMaterials[[#This Row],[Material Type]]="Metal Precursor","D13",IF(RawMaterials[[#This Row],[Material Type]]="Ligand","D13","D12"))</f>
        <v>D12</v>
      </c>
      <c r="AI55" s="394" t="str">
        <f ca="1">IF(RawMaterials[[#This Row],[Lab Quote Count]]&gt;1,10^RawMaterials[[#This Row],[Lab Log-Log Intercept]]*INDIRECT(RawMaterials[[#This Row],[Basis Cell]])^RawMaterials[[#This Row],[Lab Log-Log Slope]],"&gt;&gt;&gt; Enter 2 or more lab quotes &lt;&lt;&lt;")</f>
        <v>&gt;&gt;&gt; Enter 2 or more lab quotes &lt;&lt;&lt;</v>
      </c>
      <c r="AJ5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2.1164377169748247</v>
      </c>
      <c r="AL55" s="396">
        <f>IF(ISTEXT(RawMaterials[[#This Row],[Unit price in quote year]]),"Check calcs",RawMaterials[[#This Row],[Unit price in quote year]]/VLOOKUP(RawMaterials[[#This Row],[Quote Year]],ChemPPI[],14,FALSE)*VLOOKUP(BasisYear,ChemPPI[],14,FALSE))</f>
        <v>1.948248419095238</v>
      </c>
      <c r="AM55" s="397" t="str">
        <f t="shared" si="0"/>
        <v>$/kg (2016)</v>
      </c>
    </row>
    <row r="56" spans="1:39">
      <c r="A56" s="259" t="s">
        <v>1152</v>
      </c>
      <c r="B56" s="260"/>
      <c r="C56" s="351"/>
      <c r="D56" s="351"/>
      <c r="E56" s="260">
        <v>100</v>
      </c>
      <c r="F56" s="260"/>
      <c r="G56" s="351"/>
      <c r="H56" s="351"/>
      <c r="I56" s="262"/>
      <c r="J56" s="351"/>
      <c r="K56" s="351"/>
      <c r="L56" s="351"/>
      <c r="M56" s="351"/>
      <c r="N56" s="351"/>
      <c r="O56" s="351"/>
      <c r="P56" s="261">
        <v>447.5</v>
      </c>
      <c r="Q56" s="260">
        <v>1</v>
      </c>
      <c r="R56" s="260" t="s">
        <v>401</v>
      </c>
      <c r="S56" s="260">
        <v>2006</v>
      </c>
      <c r="T56" s="260" t="s">
        <v>161</v>
      </c>
      <c r="U56" s="386">
        <v>42653</v>
      </c>
      <c r="V56" s="387"/>
      <c r="W56" s="354">
        <f>COUNT(RawMaterials[[#This Row],[Lab Quantity 1]:[Lab Quantity 4]])</f>
        <v>0</v>
      </c>
      <c r="X5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 s="392" t="e">
        <f>RawMaterials[[#This Row],[Lab Price 1]]/RawMaterials[[#This Row],[Lab Q Model Units 1]]</f>
        <v>#N/A</v>
      </c>
      <c r="AC56" s="392" t="e">
        <f>RawMaterials[[#This Row],[Lab Price 2]]/RawMaterials[[#This Row],[Lab Q Model Units 2]]</f>
        <v>#N/A</v>
      </c>
      <c r="AD56" s="392" t="e">
        <f>RawMaterials[[#This Row],[Lab Price 3]]/RawMaterials[[#This Row],[Lab Q Model Units 3]]</f>
        <v>#N/A</v>
      </c>
      <c r="AE56" s="392" t="e">
        <f>RawMaterials[[#This Row],[Lab Price 4]]/RawMaterials[[#This Row],[Lab Q Model Units 4]]</f>
        <v>#N/A</v>
      </c>
      <c r="AF56" s="392" t="str">
        <f ca="1">IF(RawMaterials[[#This Row],[Lab Quote Count]]&gt;1,SLOPE(LOG(INDIRECT("RawMaterials[@[Lab Unit P 1]:[Lab Unit P "&amp;RawMaterials[[#This Row],[Lab Quote Count]]&amp;"]]")),LOG(INDIRECT("RawMaterials[@[Lab Q Model Units 1]:[Lab Q Model Units "&amp;RawMaterials[[#This Row],[Lab Quote Count]]&amp;"]]"))),"")</f>
        <v/>
      </c>
      <c r="AG56" s="392" t="str">
        <f ca="1">IF(RawMaterials[[#This Row],[Lab Quote Count]]&gt;1,INTERCEPT(LOG(INDIRECT("RawMaterials[@[Lab Unit P 1]:[Lab Unit P "&amp;RawMaterials[[#This Row],[Lab Quote Count]]&amp;"]]")),LOG(INDIRECT("RawMaterials[@[Lab Q Model Units 1]:[Lab Q Model Units "&amp;RawMaterials[[#This Row],[Lab Quote Count]]&amp;"]]"))),"")</f>
        <v/>
      </c>
      <c r="AH56" s="393" t="str">
        <f>IF(RawMaterials[[#This Row],[Material Type]]="Metal Precursor","D13",IF(RawMaterials[[#This Row],[Material Type]]="Ligand","D13","D12"))</f>
        <v>D12</v>
      </c>
      <c r="AI56" s="394" t="str">
        <f ca="1">IF(RawMaterials[[#This Row],[Lab Quote Count]]&gt;1,10^RawMaterials[[#This Row],[Lab Log-Log Intercept]]*INDIRECT(RawMaterials[[#This Row],[Basis Cell]])^RawMaterials[[#This Row],[Lab Log-Log Slope]],"&gt;&gt;&gt; Enter 2 or more lab quotes &lt;&lt;&lt;")</f>
        <v>&gt;&gt;&gt; Enter 2 or more lab quotes &lt;&lt;&lt;</v>
      </c>
      <c r="AJ5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0.49328431163866354</v>
      </c>
      <c r="AL56" s="396">
        <f>IF(ISTEXT(RawMaterials[[#This Row],[Unit price in quote year]]),"Check calcs",RawMaterials[[#This Row],[Unit price in quote year]]/VLOOKUP(RawMaterials[[#This Row],[Quote Year]],ChemPPI[],14,FALSE)*VLOOKUP(BasisYear,ChemPPI[],14,FALSE))</f>
        <v>0.66949308759495452</v>
      </c>
      <c r="AM56" s="397" t="str">
        <f t="shared" si="0"/>
        <v>$/kg (2016)</v>
      </c>
    </row>
    <row r="57" spans="1:39">
      <c r="A57" s="259" t="s">
        <v>1153</v>
      </c>
      <c r="B57" s="260"/>
      <c r="C57" s="351"/>
      <c r="D57" s="351"/>
      <c r="E57" s="260">
        <v>100</v>
      </c>
      <c r="F57" s="260"/>
      <c r="G57" s="351"/>
      <c r="H57" s="351"/>
      <c r="I57" s="262"/>
      <c r="J57" s="351"/>
      <c r="K57" s="351"/>
      <c r="L57" s="351"/>
      <c r="M57" s="351"/>
      <c r="N57" s="351"/>
      <c r="O57" s="351"/>
      <c r="P57" s="261">
        <v>335</v>
      </c>
      <c r="Q57" s="260">
        <v>1</v>
      </c>
      <c r="R57" s="260" t="s">
        <v>401</v>
      </c>
      <c r="S57" s="260">
        <v>2006</v>
      </c>
      <c r="T57" s="260" t="s">
        <v>161</v>
      </c>
      <c r="U57" s="386">
        <v>42653</v>
      </c>
      <c r="V57" s="387"/>
      <c r="W57" s="354">
        <f>COUNT(RawMaterials[[#This Row],[Lab Quantity 1]:[Lab Quantity 4]])</f>
        <v>0</v>
      </c>
      <c r="X5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 s="392" t="e">
        <f>RawMaterials[[#This Row],[Lab Price 1]]/RawMaterials[[#This Row],[Lab Q Model Units 1]]</f>
        <v>#N/A</v>
      </c>
      <c r="AC57" s="392" t="e">
        <f>RawMaterials[[#This Row],[Lab Price 2]]/RawMaterials[[#This Row],[Lab Q Model Units 2]]</f>
        <v>#N/A</v>
      </c>
      <c r="AD57" s="392" t="e">
        <f>RawMaterials[[#This Row],[Lab Price 3]]/RawMaterials[[#This Row],[Lab Q Model Units 3]]</f>
        <v>#N/A</v>
      </c>
      <c r="AE57" s="392" t="e">
        <f>RawMaterials[[#This Row],[Lab Price 4]]/RawMaterials[[#This Row],[Lab Q Model Units 4]]</f>
        <v>#N/A</v>
      </c>
      <c r="AF57" s="392" t="str">
        <f ca="1">IF(RawMaterials[[#This Row],[Lab Quote Count]]&gt;1,SLOPE(LOG(INDIRECT("RawMaterials[@[Lab Unit P 1]:[Lab Unit P "&amp;RawMaterials[[#This Row],[Lab Quote Count]]&amp;"]]")),LOG(INDIRECT("RawMaterials[@[Lab Q Model Units 1]:[Lab Q Model Units "&amp;RawMaterials[[#This Row],[Lab Quote Count]]&amp;"]]"))),"")</f>
        <v/>
      </c>
      <c r="AG57" s="392" t="str">
        <f ca="1">IF(RawMaterials[[#This Row],[Lab Quote Count]]&gt;1,INTERCEPT(LOG(INDIRECT("RawMaterials[@[Lab Unit P 1]:[Lab Unit P "&amp;RawMaterials[[#This Row],[Lab Quote Count]]&amp;"]]")),LOG(INDIRECT("RawMaterials[@[Lab Q Model Units 1]:[Lab Q Model Units "&amp;RawMaterials[[#This Row],[Lab Quote Count]]&amp;"]]"))),"")</f>
        <v/>
      </c>
      <c r="AH57" s="393" t="str">
        <f>IF(RawMaterials[[#This Row],[Material Type]]="Metal Precursor","D13",IF(RawMaterials[[#This Row],[Material Type]]="Ligand","D13","D12"))</f>
        <v>D12</v>
      </c>
      <c r="AI57" s="394" t="str">
        <f ca="1">IF(RawMaterials[[#This Row],[Lab Quote Count]]&gt;1,10^RawMaterials[[#This Row],[Lab Log-Log Intercept]]*INDIRECT(RawMaterials[[#This Row],[Basis Cell]])^RawMaterials[[#This Row],[Lab Log-Log Slope]],"&gt;&gt;&gt; Enter 2 or more lab quotes &lt;&lt;&lt;")</f>
        <v>&gt;&gt;&gt; Enter 2 or more lab quotes &lt;&lt;&lt;</v>
      </c>
      <c r="AJ5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0.36927428915966992</v>
      </c>
      <c r="AL57" s="396">
        <f>IF(ISTEXT(RawMaterials[[#This Row],[Unit price in quote year]]),"Check calcs",RawMaterials[[#This Row],[Unit price in quote year]]/VLOOKUP(RawMaterials[[#This Row],[Quote Year]],ChemPPI[],14,FALSE)*VLOOKUP(BasisYear,ChemPPI[],14,FALSE))</f>
        <v>0.50118476948449109</v>
      </c>
      <c r="AM57" s="397" t="str">
        <f t="shared" si="0"/>
        <v>$/kg (2016)</v>
      </c>
    </row>
    <row r="58" spans="1:39">
      <c r="A58" s="259" t="s">
        <v>1154</v>
      </c>
      <c r="B58" s="260"/>
      <c r="C58" s="351"/>
      <c r="D58" s="351"/>
      <c r="E58" s="260">
        <v>100</v>
      </c>
      <c r="F58" s="260"/>
      <c r="G58" s="351"/>
      <c r="H58" s="351"/>
      <c r="I58" s="262"/>
      <c r="J58" s="351"/>
      <c r="K58" s="351"/>
      <c r="L58" s="351"/>
      <c r="M58" s="351"/>
      <c r="N58" s="351"/>
      <c r="O58" s="351"/>
      <c r="P58" s="261">
        <v>425</v>
      </c>
      <c r="Q58" s="260">
        <v>1</v>
      </c>
      <c r="R58" s="260" t="s">
        <v>401</v>
      </c>
      <c r="S58" s="260">
        <v>2006</v>
      </c>
      <c r="T58" s="260" t="s">
        <v>161</v>
      </c>
      <c r="U58" s="386">
        <v>42653</v>
      </c>
      <c r="V58" s="387"/>
      <c r="W58" s="354">
        <f>COUNT(RawMaterials[[#This Row],[Lab Quantity 1]:[Lab Quantity 4]])</f>
        <v>0</v>
      </c>
      <c r="X5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 s="392" t="e">
        <f>RawMaterials[[#This Row],[Lab Price 1]]/RawMaterials[[#This Row],[Lab Q Model Units 1]]</f>
        <v>#N/A</v>
      </c>
      <c r="AC58" s="392" t="e">
        <f>RawMaterials[[#This Row],[Lab Price 2]]/RawMaterials[[#This Row],[Lab Q Model Units 2]]</f>
        <v>#N/A</v>
      </c>
      <c r="AD58" s="392" t="e">
        <f>RawMaterials[[#This Row],[Lab Price 3]]/RawMaterials[[#This Row],[Lab Q Model Units 3]]</f>
        <v>#N/A</v>
      </c>
      <c r="AE58" s="392" t="e">
        <f>RawMaterials[[#This Row],[Lab Price 4]]/RawMaterials[[#This Row],[Lab Q Model Units 4]]</f>
        <v>#N/A</v>
      </c>
      <c r="AF58" s="392" t="str">
        <f ca="1">IF(RawMaterials[[#This Row],[Lab Quote Count]]&gt;1,SLOPE(LOG(INDIRECT("RawMaterials[@[Lab Unit P 1]:[Lab Unit P "&amp;RawMaterials[[#This Row],[Lab Quote Count]]&amp;"]]")),LOG(INDIRECT("RawMaterials[@[Lab Q Model Units 1]:[Lab Q Model Units "&amp;RawMaterials[[#This Row],[Lab Quote Count]]&amp;"]]"))),"")</f>
        <v/>
      </c>
      <c r="AG58" s="392" t="str">
        <f ca="1">IF(RawMaterials[[#This Row],[Lab Quote Count]]&gt;1,INTERCEPT(LOG(INDIRECT("RawMaterials[@[Lab Unit P 1]:[Lab Unit P "&amp;RawMaterials[[#This Row],[Lab Quote Count]]&amp;"]]")),LOG(INDIRECT("RawMaterials[@[Lab Q Model Units 1]:[Lab Q Model Units "&amp;RawMaterials[[#This Row],[Lab Quote Count]]&amp;"]]"))),"")</f>
        <v/>
      </c>
      <c r="AH58" s="393" t="str">
        <f>IF(RawMaterials[[#This Row],[Material Type]]="Metal Precursor","D13",IF(RawMaterials[[#This Row],[Material Type]]="Ligand","D13","D12"))</f>
        <v>D12</v>
      </c>
      <c r="AI58" s="394" t="str">
        <f ca="1">IF(RawMaterials[[#This Row],[Lab Quote Count]]&gt;1,10^RawMaterials[[#This Row],[Lab Log-Log Intercept]]*INDIRECT(RawMaterials[[#This Row],[Basis Cell]])^RawMaterials[[#This Row],[Lab Log-Log Slope]],"&gt;&gt;&gt; Enter 2 or more lab quotes &lt;&lt;&lt;")</f>
        <v>&gt;&gt;&gt; Enter 2 or more lab quotes &lt;&lt;&lt;</v>
      </c>
      <c r="AJ5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0.46848230714286482</v>
      </c>
      <c r="AL58" s="396">
        <f>IF(ISTEXT(RawMaterials[[#This Row],[Unit price in quote year]]),"Check calcs",RawMaterials[[#This Row],[Unit price in quote year]]/VLOOKUP(RawMaterials[[#This Row],[Quote Year]],ChemPPI[],14,FALSE)*VLOOKUP(BasisYear,ChemPPI[],14,FALSE))</f>
        <v>0.63583142397286196</v>
      </c>
      <c r="AM58" s="397" t="str">
        <f t="shared" si="0"/>
        <v>$/kg (2016)</v>
      </c>
    </row>
    <row r="59" spans="1:39">
      <c r="A59" s="259" t="s">
        <v>1155</v>
      </c>
      <c r="B59" s="260"/>
      <c r="C59" s="351"/>
      <c r="D59" s="351"/>
      <c r="E59" s="260">
        <v>100</v>
      </c>
      <c r="F59" s="260"/>
      <c r="G59" s="351"/>
      <c r="H59" s="351"/>
      <c r="I59" s="262"/>
      <c r="J59" s="351"/>
      <c r="K59" s="351"/>
      <c r="L59" s="351"/>
      <c r="M59" s="351"/>
      <c r="N59" s="351"/>
      <c r="O59" s="351"/>
      <c r="P59" s="261">
        <v>331</v>
      </c>
      <c r="Q59" s="260">
        <v>1</v>
      </c>
      <c r="R59" s="260" t="s">
        <v>20</v>
      </c>
      <c r="S59" s="260">
        <v>2006</v>
      </c>
      <c r="T59" s="260" t="s">
        <v>161</v>
      </c>
      <c r="U59" s="386">
        <v>42653</v>
      </c>
      <c r="V59" s="387"/>
      <c r="W59" s="354">
        <f>COUNT(RawMaterials[[#This Row],[Lab Quantity 1]:[Lab Quantity 4]])</f>
        <v>0</v>
      </c>
      <c r="X5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 s="392" t="e">
        <f>RawMaterials[[#This Row],[Lab Price 1]]/RawMaterials[[#This Row],[Lab Q Model Units 1]]</f>
        <v>#N/A</v>
      </c>
      <c r="AC59" s="392" t="e">
        <f>RawMaterials[[#This Row],[Lab Price 2]]/RawMaterials[[#This Row],[Lab Q Model Units 2]]</f>
        <v>#N/A</v>
      </c>
      <c r="AD59" s="392" t="e">
        <f>RawMaterials[[#This Row],[Lab Price 3]]/RawMaterials[[#This Row],[Lab Q Model Units 3]]</f>
        <v>#N/A</v>
      </c>
      <c r="AE59" s="392" t="e">
        <f>RawMaterials[[#This Row],[Lab Price 4]]/RawMaterials[[#This Row],[Lab Q Model Units 4]]</f>
        <v>#N/A</v>
      </c>
      <c r="AF59" s="392" t="str">
        <f ca="1">IF(RawMaterials[[#This Row],[Lab Quote Count]]&gt;1,SLOPE(LOG(INDIRECT("RawMaterials[@[Lab Unit P 1]:[Lab Unit P "&amp;RawMaterials[[#This Row],[Lab Quote Count]]&amp;"]]")),LOG(INDIRECT("RawMaterials[@[Lab Q Model Units 1]:[Lab Q Model Units "&amp;RawMaterials[[#This Row],[Lab Quote Count]]&amp;"]]"))),"")</f>
        <v/>
      </c>
      <c r="AG59" s="392" t="str">
        <f ca="1">IF(RawMaterials[[#This Row],[Lab Quote Count]]&gt;1,INTERCEPT(LOG(INDIRECT("RawMaterials[@[Lab Unit P 1]:[Lab Unit P "&amp;RawMaterials[[#This Row],[Lab Quote Count]]&amp;"]]")),LOG(INDIRECT("RawMaterials[@[Lab Q Model Units 1]:[Lab Q Model Units "&amp;RawMaterials[[#This Row],[Lab Quote Count]]&amp;"]]"))),"")</f>
        <v/>
      </c>
      <c r="AH59" s="393" t="str">
        <f>IF(RawMaterials[[#This Row],[Material Type]]="Metal Precursor","D13",IF(RawMaterials[[#This Row],[Material Type]]="Ligand","D13","D12"))</f>
        <v>D12</v>
      </c>
      <c r="AI59" s="394" t="str">
        <f ca="1">IF(RawMaterials[[#This Row],[Lab Quote Count]]&gt;1,10^RawMaterials[[#This Row],[Lab Log-Log Intercept]]*INDIRECT(RawMaterials[[#This Row],[Basis Cell]])^RawMaterials[[#This Row],[Lab Log-Log Slope]],"&gt;&gt;&gt; Enter 2 or more lab quotes &lt;&lt;&lt;")</f>
        <v>&gt;&gt;&gt; Enter 2 or more lab quotes &lt;&lt;&lt;</v>
      </c>
      <c r="AJ5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729.73008783194473</v>
      </c>
      <c r="AL59" s="396">
        <f>IF(ISTEXT(RawMaterials[[#This Row],[Unit price in quote year]]),"Check calcs",RawMaterials[[#This Row],[Unit price in quote year]]/VLOOKUP(RawMaterials[[#This Row],[Quote Year]],ChemPPI[],14,FALSE)*VLOOKUP(BasisYear,ChemPPI[],14,FALSE))</f>
        <v>990.40094745890485</v>
      </c>
      <c r="AM59" s="397" t="str">
        <f t="shared" si="0"/>
        <v>$/kg (2016)</v>
      </c>
    </row>
    <row r="60" spans="1:39">
      <c r="A60" s="259" t="s">
        <v>1156</v>
      </c>
      <c r="B60" s="260"/>
      <c r="C60" s="351"/>
      <c r="D60" s="351"/>
      <c r="E60" s="260">
        <v>100</v>
      </c>
      <c r="F60" s="260"/>
      <c r="G60" s="351"/>
      <c r="H60" s="351"/>
      <c r="I60" s="262"/>
      <c r="J60" s="351"/>
      <c r="K60" s="351"/>
      <c r="L60" s="351"/>
      <c r="M60" s="351"/>
      <c r="N60" s="351"/>
      <c r="O60" s="351"/>
      <c r="P60" s="261">
        <v>370</v>
      </c>
      <c r="Q60" s="260">
        <v>1</v>
      </c>
      <c r="R60" s="260" t="s">
        <v>401</v>
      </c>
      <c r="S60" s="260">
        <v>2006</v>
      </c>
      <c r="T60" s="260" t="s">
        <v>161</v>
      </c>
      <c r="U60" s="386">
        <v>42653</v>
      </c>
      <c r="V60" s="387"/>
      <c r="W60" s="354">
        <f>COUNT(RawMaterials[[#This Row],[Lab Quantity 1]:[Lab Quantity 4]])</f>
        <v>0</v>
      </c>
      <c r="X6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 s="392" t="e">
        <f>RawMaterials[[#This Row],[Lab Price 1]]/RawMaterials[[#This Row],[Lab Q Model Units 1]]</f>
        <v>#N/A</v>
      </c>
      <c r="AC60" s="392" t="e">
        <f>RawMaterials[[#This Row],[Lab Price 2]]/RawMaterials[[#This Row],[Lab Q Model Units 2]]</f>
        <v>#N/A</v>
      </c>
      <c r="AD60" s="392" t="e">
        <f>RawMaterials[[#This Row],[Lab Price 3]]/RawMaterials[[#This Row],[Lab Q Model Units 3]]</f>
        <v>#N/A</v>
      </c>
      <c r="AE60" s="392" t="e">
        <f>RawMaterials[[#This Row],[Lab Price 4]]/RawMaterials[[#This Row],[Lab Q Model Units 4]]</f>
        <v>#N/A</v>
      </c>
      <c r="AF60" s="392" t="str">
        <f ca="1">IF(RawMaterials[[#This Row],[Lab Quote Count]]&gt;1,SLOPE(LOG(INDIRECT("RawMaterials[@[Lab Unit P 1]:[Lab Unit P "&amp;RawMaterials[[#This Row],[Lab Quote Count]]&amp;"]]")),LOG(INDIRECT("RawMaterials[@[Lab Q Model Units 1]:[Lab Q Model Units "&amp;RawMaterials[[#This Row],[Lab Quote Count]]&amp;"]]"))),"")</f>
        <v/>
      </c>
      <c r="AG60" s="392" t="str">
        <f ca="1">IF(RawMaterials[[#This Row],[Lab Quote Count]]&gt;1,INTERCEPT(LOG(INDIRECT("RawMaterials[@[Lab Unit P 1]:[Lab Unit P "&amp;RawMaterials[[#This Row],[Lab Quote Count]]&amp;"]]")),LOG(INDIRECT("RawMaterials[@[Lab Q Model Units 1]:[Lab Q Model Units "&amp;RawMaterials[[#This Row],[Lab Quote Count]]&amp;"]]"))),"")</f>
        <v/>
      </c>
      <c r="AH60" s="393" t="str">
        <f>IF(RawMaterials[[#This Row],[Material Type]]="Metal Precursor","D13",IF(RawMaterials[[#This Row],[Material Type]]="Ligand","D13","D12"))</f>
        <v>D12</v>
      </c>
      <c r="AI60" s="394" t="str">
        <f ca="1">IF(RawMaterials[[#This Row],[Lab Quote Count]]&gt;1,10^RawMaterials[[#This Row],[Lab Log-Log Intercept]]*INDIRECT(RawMaterials[[#This Row],[Basis Cell]])^RawMaterials[[#This Row],[Lab Log-Log Slope]],"&gt;&gt;&gt; Enter 2 or more lab quotes &lt;&lt;&lt;")</f>
        <v>&gt;&gt;&gt; Enter 2 or more lab quotes &lt;&lt;&lt;</v>
      </c>
      <c r="AJ6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0.4078551850420235</v>
      </c>
      <c r="AL60" s="396">
        <f>IF(ISTEXT(RawMaterials[[#This Row],[Unit price in quote year]]),"Check calcs",RawMaterials[[#This Row],[Unit price in quote year]]/VLOOKUP(RawMaterials[[#This Row],[Quote Year]],ChemPPI[],14,FALSE)*VLOOKUP(BasisYear,ChemPPI[],14,FALSE))</f>
        <v>0.55354735734107974</v>
      </c>
      <c r="AM60" s="397" t="str">
        <f t="shared" si="0"/>
        <v>$/kg (2016)</v>
      </c>
    </row>
    <row r="61" spans="1:39">
      <c r="A61" s="259" t="s">
        <v>1157</v>
      </c>
      <c r="B61" s="260"/>
      <c r="C61" s="351"/>
      <c r="D61" s="351"/>
      <c r="E61" s="260">
        <v>100</v>
      </c>
      <c r="F61" s="260"/>
      <c r="G61" s="351"/>
      <c r="H61" s="351"/>
      <c r="I61" s="262"/>
      <c r="J61" s="351"/>
      <c r="K61" s="351"/>
      <c r="L61" s="351"/>
      <c r="M61" s="351"/>
      <c r="N61" s="351"/>
      <c r="O61" s="351"/>
      <c r="P61" s="261">
        <v>2.73</v>
      </c>
      <c r="Q61" s="260">
        <v>1</v>
      </c>
      <c r="R61" s="260" t="s">
        <v>71</v>
      </c>
      <c r="S61" s="260">
        <v>2006</v>
      </c>
      <c r="T61" s="260" t="s">
        <v>161</v>
      </c>
      <c r="U61" s="386">
        <v>42653</v>
      </c>
      <c r="V61" s="387"/>
      <c r="W61" s="354">
        <f>COUNT(RawMaterials[[#This Row],[Lab Quantity 1]:[Lab Quantity 4]])</f>
        <v>0</v>
      </c>
      <c r="X6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 s="392" t="e">
        <f>RawMaterials[[#This Row],[Lab Price 1]]/RawMaterials[[#This Row],[Lab Q Model Units 1]]</f>
        <v>#N/A</v>
      </c>
      <c r="AC61" s="392" t="e">
        <f>RawMaterials[[#This Row],[Lab Price 2]]/RawMaterials[[#This Row],[Lab Q Model Units 2]]</f>
        <v>#N/A</v>
      </c>
      <c r="AD61" s="392" t="e">
        <f>RawMaterials[[#This Row],[Lab Price 3]]/RawMaterials[[#This Row],[Lab Q Model Units 3]]</f>
        <v>#N/A</v>
      </c>
      <c r="AE61" s="392" t="e">
        <f>RawMaterials[[#This Row],[Lab Price 4]]/RawMaterials[[#This Row],[Lab Q Model Units 4]]</f>
        <v>#N/A</v>
      </c>
      <c r="AF61" s="392" t="str">
        <f ca="1">IF(RawMaterials[[#This Row],[Lab Quote Count]]&gt;1,SLOPE(LOG(INDIRECT("RawMaterials[@[Lab Unit P 1]:[Lab Unit P "&amp;RawMaterials[[#This Row],[Lab Quote Count]]&amp;"]]")),LOG(INDIRECT("RawMaterials[@[Lab Q Model Units 1]:[Lab Q Model Units "&amp;RawMaterials[[#This Row],[Lab Quote Count]]&amp;"]]"))),"")</f>
        <v/>
      </c>
      <c r="AG61" s="392" t="str">
        <f ca="1">IF(RawMaterials[[#This Row],[Lab Quote Count]]&gt;1,INTERCEPT(LOG(INDIRECT("RawMaterials[@[Lab Unit P 1]:[Lab Unit P "&amp;RawMaterials[[#This Row],[Lab Quote Count]]&amp;"]]")),LOG(INDIRECT("RawMaterials[@[Lab Q Model Units 1]:[Lab Q Model Units "&amp;RawMaterials[[#This Row],[Lab Quote Count]]&amp;"]]"))),"")</f>
        <v/>
      </c>
      <c r="AH61" s="393" t="str">
        <f>IF(RawMaterials[[#This Row],[Material Type]]="Metal Precursor","D13",IF(RawMaterials[[#This Row],[Material Type]]="Ligand","D13","D12"))</f>
        <v>D12</v>
      </c>
      <c r="AI61" s="394" t="str">
        <f ca="1">IF(RawMaterials[[#This Row],[Lab Quote Count]]&gt;1,10^RawMaterials[[#This Row],[Lab Log-Log Intercept]]*INDIRECT(RawMaterials[[#This Row],[Basis Cell]])^RawMaterials[[#This Row],[Lab Log-Log Slope]],"&gt;&gt;&gt; Enter 2 or more lab quotes &lt;&lt;&lt;")</f>
        <v>&gt;&gt;&gt; Enter 2 or more lab quotes &lt;&lt;&lt;</v>
      </c>
      <c r="AJ6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2.73</v>
      </c>
      <c r="AL61" s="396">
        <f>IF(ISTEXT(RawMaterials[[#This Row],[Unit price in quote year]]),"Check calcs",RawMaterials[[#This Row],[Unit price in quote year]]/VLOOKUP(RawMaterials[[#This Row],[Quote Year]],ChemPPI[],14,FALSE)*VLOOKUP(BasisYear,ChemPPI[],14,FALSE))</f>
        <v>3.7051981707317081</v>
      </c>
      <c r="AM61" s="397" t="str">
        <f t="shared" si="0"/>
        <v>$/kg (2016)</v>
      </c>
    </row>
    <row r="62" spans="1:39">
      <c r="A62" s="259" t="s">
        <v>1158</v>
      </c>
      <c r="B62" s="260"/>
      <c r="C62" s="351"/>
      <c r="D62" s="351"/>
      <c r="E62" s="260">
        <v>100</v>
      </c>
      <c r="F62" s="260"/>
      <c r="G62" s="351"/>
      <c r="H62" s="351"/>
      <c r="I62" s="262"/>
      <c r="J62" s="351"/>
      <c r="K62" s="351"/>
      <c r="L62" s="351"/>
      <c r="M62" s="351"/>
      <c r="N62" s="351"/>
      <c r="O62" s="351"/>
      <c r="P62" s="261">
        <v>126.48</v>
      </c>
      <c r="Q62" s="260">
        <v>1</v>
      </c>
      <c r="R62" s="260" t="s">
        <v>1112</v>
      </c>
      <c r="S62" s="260">
        <v>2006</v>
      </c>
      <c r="T62" s="260" t="s">
        <v>161</v>
      </c>
      <c r="U62" s="386">
        <v>42653</v>
      </c>
      <c r="V62" s="387"/>
      <c r="W62" s="354">
        <f>COUNT(RawMaterials[[#This Row],[Lab Quantity 1]:[Lab Quantity 4]])</f>
        <v>0</v>
      </c>
      <c r="X6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 s="392" t="e">
        <f>RawMaterials[[#This Row],[Lab Price 1]]/RawMaterials[[#This Row],[Lab Q Model Units 1]]</f>
        <v>#N/A</v>
      </c>
      <c r="AC62" s="392" t="e">
        <f>RawMaterials[[#This Row],[Lab Price 2]]/RawMaterials[[#This Row],[Lab Q Model Units 2]]</f>
        <v>#N/A</v>
      </c>
      <c r="AD62" s="392" t="e">
        <f>RawMaterials[[#This Row],[Lab Price 3]]/RawMaterials[[#This Row],[Lab Q Model Units 3]]</f>
        <v>#N/A</v>
      </c>
      <c r="AE62" s="392" t="e">
        <f>RawMaterials[[#This Row],[Lab Price 4]]/RawMaterials[[#This Row],[Lab Q Model Units 4]]</f>
        <v>#N/A</v>
      </c>
      <c r="AF62" s="392" t="str">
        <f ca="1">IF(RawMaterials[[#This Row],[Lab Quote Count]]&gt;1,SLOPE(LOG(INDIRECT("RawMaterials[@[Lab Unit P 1]:[Lab Unit P "&amp;RawMaterials[[#This Row],[Lab Quote Count]]&amp;"]]")),LOG(INDIRECT("RawMaterials[@[Lab Q Model Units 1]:[Lab Q Model Units "&amp;RawMaterials[[#This Row],[Lab Quote Count]]&amp;"]]"))),"")</f>
        <v/>
      </c>
      <c r="AG62" s="392" t="str">
        <f ca="1">IF(RawMaterials[[#This Row],[Lab Quote Count]]&gt;1,INTERCEPT(LOG(INDIRECT("RawMaterials[@[Lab Unit P 1]:[Lab Unit P "&amp;RawMaterials[[#This Row],[Lab Quote Count]]&amp;"]]")),LOG(INDIRECT("RawMaterials[@[Lab Q Model Units 1]:[Lab Q Model Units "&amp;RawMaterials[[#This Row],[Lab Quote Count]]&amp;"]]"))),"")</f>
        <v/>
      </c>
      <c r="AH62" s="393" t="str">
        <f>IF(RawMaterials[[#This Row],[Material Type]]="Metal Precursor","D13",IF(RawMaterials[[#This Row],[Material Type]]="Ligand","D13","D12"))</f>
        <v>D12</v>
      </c>
      <c r="AI62" s="394" t="str">
        <f ca="1">IF(RawMaterials[[#This Row],[Lab Quote Count]]&gt;1,10^RawMaterials[[#This Row],[Lab Log-Log Intercept]]*INDIRECT(RawMaterials[[#This Row],[Basis Cell]])^RawMaterials[[#This Row],[Lab Log-Log Slope]],"&gt;&gt;&gt; Enter 2 or more lab quotes &lt;&lt;&lt;")</f>
        <v>&gt;&gt;&gt; Enter 2 or more lab quotes &lt;&lt;&lt;</v>
      </c>
      <c r="AJ6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0.12648000000000001</v>
      </c>
      <c r="AL62" s="396">
        <f>IF(ISTEXT(RawMaterials[[#This Row],[Unit price in quote year]]),"Check calcs",RawMaterials[[#This Row],[Unit price in quote year]]/VLOOKUP(RawMaterials[[#This Row],[Quote Year]],ChemPPI[],14,FALSE)*VLOOKUP(BasisYear,ChemPPI[],14,FALSE))</f>
        <v>0.17166060975609759</v>
      </c>
      <c r="AM62" s="397" t="str">
        <f t="shared" si="0"/>
        <v>$/kg (2016)</v>
      </c>
    </row>
    <row r="63" spans="1:39">
      <c r="A63" s="259" t="s">
        <v>1159</v>
      </c>
      <c r="B63" s="260"/>
      <c r="C63" s="351"/>
      <c r="D63" s="351"/>
      <c r="E63" s="260">
        <v>100</v>
      </c>
      <c r="F63" s="260"/>
      <c r="G63" s="351"/>
      <c r="H63" s="351"/>
      <c r="I63" s="262"/>
      <c r="J63" s="351"/>
      <c r="K63" s="351"/>
      <c r="L63" s="351"/>
      <c r="M63" s="351"/>
      <c r="N63" s="351"/>
      <c r="O63" s="351"/>
      <c r="P63" s="261">
        <v>602.5</v>
      </c>
      <c r="Q63" s="260">
        <v>1</v>
      </c>
      <c r="R63" s="260" t="s">
        <v>1112</v>
      </c>
      <c r="S63" s="260">
        <v>2008</v>
      </c>
      <c r="T63" s="260" t="s">
        <v>161</v>
      </c>
      <c r="U63" s="386">
        <v>42653</v>
      </c>
      <c r="V63" s="387"/>
      <c r="W63" s="354">
        <f>COUNT(RawMaterials[[#This Row],[Lab Quantity 1]:[Lab Quantity 4]])</f>
        <v>0</v>
      </c>
      <c r="X6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 s="392" t="e">
        <f>RawMaterials[[#This Row],[Lab Price 1]]/RawMaterials[[#This Row],[Lab Q Model Units 1]]</f>
        <v>#N/A</v>
      </c>
      <c r="AC63" s="392" t="e">
        <f>RawMaterials[[#This Row],[Lab Price 2]]/RawMaterials[[#This Row],[Lab Q Model Units 2]]</f>
        <v>#N/A</v>
      </c>
      <c r="AD63" s="392" t="e">
        <f>RawMaterials[[#This Row],[Lab Price 3]]/RawMaterials[[#This Row],[Lab Q Model Units 3]]</f>
        <v>#N/A</v>
      </c>
      <c r="AE63" s="392" t="e">
        <f>RawMaterials[[#This Row],[Lab Price 4]]/RawMaterials[[#This Row],[Lab Q Model Units 4]]</f>
        <v>#N/A</v>
      </c>
      <c r="AF63" s="392" t="str">
        <f ca="1">IF(RawMaterials[[#This Row],[Lab Quote Count]]&gt;1,SLOPE(LOG(INDIRECT("RawMaterials[@[Lab Unit P 1]:[Lab Unit P "&amp;RawMaterials[[#This Row],[Lab Quote Count]]&amp;"]]")),LOG(INDIRECT("RawMaterials[@[Lab Q Model Units 1]:[Lab Q Model Units "&amp;RawMaterials[[#This Row],[Lab Quote Count]]&amp;"]]"))),"")</f>
        <v/>
      </c>
      <c r="AG63" s="392" t="str">
        <f ca="1">IF(RawMaterials[[#This Row],[Lab Quote Count]]&gt;1,INTERCEPT(LOG(INDIRECT("RawMaterials[@[Lab Unit P 1]:[Lab Unit P "&amp;RawMaterials[[#This Row],[Lab Quote Count]]&amp;"]]")),LOG(INDIRECT("RawMaterials[@[Lab Q Model Units 1]:[Lab Q Model Units "&amp;RawMaterials[[#This Row],[Lab Quote Count]]&amp;"]]"))),"")</f>
        <v/>
      </c>
      <c r="AH63" s="393" t="str">
        <f>IF(RawMaterials[[#This Row],[Material Type]]="Metal Precursor","D13",IF(RawMaterials[[#This Row],[Material Type]]="Ligand","D13","D12"))</f>
        <v>D12</v>
      </c>
      <c r="AI63" s="394" t="str">
        <f ca="1">IF(RawMaterials[[#This Row],[Lab Quote Count]]&gt;1,10^RawMaterials[[#This Row],[Lab Log-Log Intercept]]*INDIRECT(RawMaterials[[#This Row],[Basis Cell]])^RawMaterials[[#This Row],[Lab Log-Log Slope]],"&gt;&gt;&gt; Enter 2 or more lab quotes &lt;&lt;&lt;")</f>
        <v>&gt;&gt;&gt; Enter 2 or more lab quotes &lt;&lt;&lt;</v>
      </c>
      <c r="AJ6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0.60250000000000004</v>
      </c>
      <c r="AL63" s="396">
        <f>IF(ISTEXT(RawMaterials[[#This Row],[Unit price in quote year]]),"Check calcs",RawMaterials[[#This Row],[Unit price in quote year]]/VLOOKUP(RawMaterials[[#This Row],[Quote Year]],ChemPPI[],14,FALSE)*VLOOKUP(BasisYear,ChemPPI[],14,FALSE))</f>
        <v>0.70517911265291222</v>
      </c>
      <c r="AM63" s="397" t="str">
        <f t="shared" si="0"/>
        <v>$/kg (2016)</v>
      </c>
    </row>
    <row r="64" spans="1:39">
      <c r="A64" s="259" t="s">
        <v>1160</v>
      </c>
      <c r="B64" s="260"/>
      <c r="C64" s="351"/>
      <c r="D64" s="351"/>
      <c r="E64" s="260">
        <v>100</v>
      </c>
      <c r="F64" s="260"/>
      <c r="G64" s="351"/>
      <c r="H64" s="351"/>
      <c r="I64" s="262"/>
      <c r="J64" s="351"/>
      <c r="K64" s="351"/>
      <c r="L64" s="351"/>
      <c r="M64" s="351"/>
      <c r="N64" s="351"/>
      <c r="O64" s="351"/>
      <c r="P64" s="261">
        <v>578.71500000000003</v>
      </c>
      <c r="Q64" s="260">
        <v>1</v>
      </c>
      <c r="R64" s="260" t="s">
        <v>401</v>
      </c>
      <c r="S64" s="260">
        <v>2008</v>
      </c>
      <c r="T64" s="260" t="s">
        <v>161</v>
      </c>
      <c r="U64" s="386">
        <v>42653</v>
      </c>
      <c r="V64" s="387"/>
      <c r="W64" s="354">
        <f>COUNT(RawMaterials[[#This Row],[Lab Quantity 1]:[Lab Quantity 4]])</f>
        <v>0</v>
      </c>
      <c r="X6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4" s="392" t="e">
        <f>RawMaterials[[#This Row],[Lab Price 1]]/RawMaterials[[#This Row],[Lab Q Model Units 1]]</f>
        <v>#N/A</v>
      </c>
      <c r="AC64" s="392" t="e">
        <f>RawMaterials[[#This Row],[Lab Price 2]]/RawMaterials[[#This Row],[Lab Q Model Units 2]]</f>
        <v>#N/A</v>
      </c>
      <c r="AD64" s="392" t="e">
        <f>RawMaterials[[#This Row],[Lab Price 3]]/RawMaterials[[#This Row],[Lab Q Model Units 3]]</f>
        <v>#N/A</v>
      </c>
      <c r="AE64" s="392" t="e">
        <f>RawMaterials[[#This Row],[Lab Price 4]]/RawMaterials[[#This Row],[Lab Q Model Units 4]]</f>
        <v>#N/A</v>
      </c>
      <c r="AF64" s="392" t="str">
        <f ca="1">IF(RawMaterials[[#This Row],[Lab Quote Count]]&gt;1,SLOPE(LOG(INDIRECT("RawMaterials[@[Lab Unit P 1]:[Lab Unit P "&amp;RawMaterials[[#This Row],[Lab Quote Count]]&amp;"]]")),LOG(INDIRECT("RawMaterials[@[Lab Q Model Units 1]:[Lab Q Model Units "&amp;RawMaterials[[#This Row],[Lab Quote Count]]&amp;"]]"))),"")</f>
        <v/>
      </c>
      <c r="AG64" s="392" t="str">
        <f ca="1">IF(RawMaterials[[#This Row],[Lab Quote Count]]&gt;1,INTERCEPT(LOG(INDIRECT("RawMaterials[@[Lab Unit P 1]:[Lab Unit P "&amp;RawMaterials[[#This Row],[Lab Quote Count]]&amp;"]]")),LOG(INDIRECT("RawMaterials[@[Lab Q Model Units 1]:[Lab Q Model Units "&amp;RawMaterials[[#This Row],[Lab Quote Count]]&amp;"]]"))),"")</f>
        <v/>
      </c>
      <c r="AH64" s="393" t="str">
        <f>IF(RawMaterials[[#This Row],[Material Type]]="Metal Precursor","D13",IF(RawMaterials[[#This Row],[Material Type]]="Ligand","D13","D12"))</f>
        <v>D12</v>
      </c>
      <c r="AI64" s="394" t="str">
        <f ca="1">IF(RawMaterials[[#This Row],[Lab Quote Count]]&gt;1,10^RawMaterials[[#This Row],[Lab Log-Log Intercept]]*INDIRECT(RawMaterials[[#This Row],[Basis Cell]])^RawMaterials[[#This Row],[Lab Log-Log Slope]],"&gt;&gt;&gt; Enter 2 or more lab quotes &lt;&lt;&lt;")</f>
        <v>&gt;&gt;&gt; Enter 2 or more lab quotes &lt;&lt;&lt;</v>
      </c>
      <c r="AJ6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0.63792409030160713</v>
      </c>
      <c r="AL64" s="396">
        <f>IF(ISTEXT(RawMaterials[[#This Row],[Unit price in quote year]]),"Check calcs",RawMaterials[[#This Row],[Unit price in quote year]]/VLOOKUP(RawMaterials[[#This Row],[Quote Year]],ChemPPI[],14,FALSE)*VLOOKUP(BasisYear,ChemPPI[],14,FALSE))</f>
        <v>0.74664023890257847</v>
      </c>
      <c r="AM64" s="397" t="str">
        <f t="shared" si="0"/>
        <v>$/kg (2016)</v>
      </c>
    </row>
    <row r="65" spans="1:39">
      <c r="A65" s="259" t="s">
        <v>1161</v>
      </c>
      <c r="B65" s="260"/>
      <c r="C65" s="351"/>
      <c r="D65" s="351"/>
      <c r="E65" s="260">
        <v>100</v>
      </c>
      <c r="F65" s="260"/>
      <c r="G65" s="351"/>
      <c r="H65" s="351"/>
      <c r="I65" s="262"/>
      <c r="J65" s="351"/>
      <c r="K65" s="351"/>
      <c r="L65" s="351"/>
      <c r="M65" s="351"/>
      <c r="N65" s="351"/>
      <c r="O65" s="351"/>
      <c r="P65" s="261">
        <v>172</v>
      </c>
      <c r="Q65" s="260">
        <v>1</v>
      </c>
      <c r="R65" s="260" t="s">
        <v>401</v>
      </c>
      <c r="S65" s="260">
        <v>2006</v>
      </c>
      <c r="T65" s="260" t="s">
        <v>161</v>
      </c>
      <c r="U65" s="386">
        <v>42653</v>
      </c>
      <c r="V65" s="387"/>
      <c r="W65" s="354">
        <f>COUNT(RawMaterials[[#This Row],[Lab Quantity 1]:[Lab Quantity 4]])</f>
        <v>0</v>
      </c>
      <c r="X6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5" s="392" t="e">
        <f>RawMaterials[[#This Row],[Lab Price 1]]/RawMaterials[[#This Row],[Lab Q Model Units 1]]</f>
        <v>#N/A</v>
      </c>
      <c r="AC65" s="392" t="e">
        <f>RawMaterials[[#This Row],[Lab Price 2]]/RawMaterials[[#This Row],[Lab Q Model Units 2]]</f>
        <v>#N/A</v>
      </c>
      <c r="AD65" s="392" t="e">
        <f>RawMaterials[[#This Row],[Lab Price 3]]/RawMaterials[[#This Row],[Lab Q Model Units 3]]</f>
        <v>#N/A</v>
      </c>
      <c r="AE65" s="392" t="e">
        <f>RawMaterials[[#This Row],[Lab Price 4]]/RawMaterials[[#This Row],[Lab Q Model Units 4]]</f>
        <v>#N/A</v>
      </c>
      <c r="AF65" s="392" t="str">
        <f ca="1">IF(RawMaterials[[#This Row],[Lab Quote Count]]&gt;1,SLOPE(LOG(INDIRECT("RawMaterials[@[Lab Unit P 1]:[Lab Unit P "&amp;RawMaterials[[#This Row],[Lab Quote Count]]&amp;"]]")),LOG(INDIRECT("RawMaterials[@[Lab Q Model Units 1]:[Lab Q Model Units "&amp;RawMaterials[[#This Row],[Lab Quote Count]]&amp;"]]"))),"")</f>
        <v/>
      </c>
      <c r="AG65" s="392" t="str">
        <f ca="1">IF(RawMaterials[[#This Row],[Lab Quote Count]]&gt;1,INTERCEPT(LOG(INDIRECT("RawMaterials[@[Lab Unit P 1]:[Lab Unit P "&amp;RawMaterials[[#This Row],[Lab Quote Count]]&amp;"]]")),LOG(INDIRECT("RawMaterials[@[Lab Q Model Units 1]:[Lab Q Model Units "&amp;RawMaterials[[#This Row],[Lab Quote Count]]&amp;"]]"))),"")</f>
        <v/>
      </c>
      <c r="AH65" s="393" t="str">
        <f>IF(RawMaterials[[#This Row],[Material Type]]="Metal Precursor","D13",IF(RawMaterials[[#This Row],[Material Type]]="Ligand","D13","D12"))</f>
        <v>D12</v>
      </c>
      <c r="AI65" s="394" t="str">
        <f ca="1">IF(RawMaterials[[#This Row],[Lab Quote Count]]&gt;1,10^RawMaterials[[#This Row],[Lab Log-Log Intercept]]*INDIRECT(RawMaterials[[#This Row],[Basis Cell]])^RawMaterials[[#This Row],[Lab Log-Log Slope]],"&gt;&gt;&gt; Enter 2 or more lab quotes &lt;&lt;&lt;")</f>
        <v>&gt;&gt;&gt; Enter 2 or more lab quotes &lt;&lt;&lt;</v>
      </c>
      <c r="AJ6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0.18959754547899471</v>
      </c>
      <c r="AL65" s="396">
        <f>IF(ISTEXT(RawMaterials[[#This Row],[Unit price in quote year]]),"Check calcs",RawMaterials[[#This Row],[Unit price in quote year]]/VLOOKUP(RawMaterials[[#This Row],[Quote Year]],ChemPPI[],14,FALSE)*VLOOKUP(BasisYear,ChemPPI[],14,FALSE))</f>
        <v>0.25732471746666408</v>
      </c>
      <c r="AM65" s="397" t="str">
        <f t="shared" si="0"/>
        <v>$/kg (2016)</v>
      </c>
    </row>
    <row r="66" spans="1:39">
      <c r="A66" s="259" t="s">
        <v>1162</v>
      </c>
      <c r="B66" s="260"/>
      <c r="C66" s="351"/>
      <c r="D66" s="351"/>
      <c r="E66" s="260">
        <v>100</v>
      </c>
      <c r="F66" s="260"/>
      <c r="G66" s="351"/>
      <c r="H66" s="351"/>
      <c r="I66" s="262"/>
      <c r="J66" s="351"/>
      <c r="K66" s="351"/>
      <c r="L66" s="351"/>
      <c r="M66" s="351"/>
      <c r="N66" s="351"/>
      <c r="O66" s="351"/>
      <c r="P66" s="261">
        <v>227.5</v>
      </c>
      <c r="Q66" s="260">
        <v>1</v>
      </c>
      <c r="R66" s="260" t="s">
        <v>1112</v>
      </c>
      <c r="S66" s="260">
        <v>2006</v>
      </c>
      <c r="T66" s="260" t="s">
        <v>161</v>
      </c>
      <c r="U66" s="386">
        <v>42653</v>
      </c>
      <c r="V66" s="387"/>
      <c r="W66" s="354">
        <f>COUNT(RawMaterials[[#This Row],[Lab Quantity 1]:[Lab Quantity 4]])</f>
        <v>0</v>
      </c>
      <c r="X6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6" s="392" t="e">
        <f>RawMaterials[[#This Row],[Lab Price 1]]/RawMaterials[[#This Row],[Lab Q Model Units 1]]</f>
        <v>#N/A</v>
      </c>
      <c r="AC66" s="392" t="e">
        <f>RawMaterials[[#This Row],[Lab Price 2]]/RawMaterials[[#This Row],[Lab Q Model Units 2]]</f>
        <v>#N/A</v>
      </c>
      <c r="AD66" s="392" t="e">
        <f>RawMaterials[[#This Row],[Lab Price 3]]/RawMaterials[[#This Row],[Lab Q Model Units 3]]</f>
        <v>#N/A</v>
      </c>
      <c r="AE66" s="392" t="e">
        <f>RawMaterials[[#This Row],[Lab Price 4]]/RawMaterials[[#This Row],[Lab Q Model Units 4]]</f>
        <v>#N/A</v>
      </c>
      <c r="AF66" s="392" t="str">
        <f ca="1">IF(RawMaterials[[#This Row],[Lab Quote Count]]&gt;1,SLOPE(LOG(INDIRECT("RawMaterials[@[Lab Unit P 1]:[Lab Unit P "&amp;RawMaterials[[#This Row],[Lab Quote Count]]&amp;"]]")),LOG(INDIRECT("RawMaterials[@[Lab Q Model Units 1]:[Lab Q Model Units "&amp;RawMaterials[[#This Row],[Lab Quote Count]]&amp;"]]"))),"")</f>
        <v/>
      </c>
      <c r="AG66" s="392" t="str">
        <f ca="1">IF(RawMaterials[[#This Row],[Lab Quote Count]]&gt;1,INTERCEPT(LOG(INDIRECT("RawMaterials[@[Lab Unit P 1]:[Lab Unit P "&amp;RawMaterials[[#This Row],[Lab Quote Count]]&amp;"]]")),LOG(INDIRECT("RawMaterials[@[Lab Q Model Units 1]:[Lab Q Model Units "&amp;RawMaterials[[#This Row],[Lab Quote Count]]&amp;"]]"))),"")</f>
        <v/>
      </c>
      <c r="AH66" s="393" t="str">
        <f>IF(RawMaterials[[#This Row],[Material Type]]="Metal Precursor","D13",IF(RawMaterials[[#This Row],[Material Type]]="Ligand","D13","D12"))</f>
        <v>D12</v>
      </c>
      <c r="AI66" s="394" t="str">
        <f ca="1">IF(RawMaterials[[#This Row],[Lab Quote Count]]&gt;1,10^RawMaterials[[#This Row],[Lab Log-Log Intercept]]*INDIRECT(RawMaterials[[#This Row],[Basis Cell]])^RawMaterials[[#This Row],[Lab Log-Log Slope]],"&gt;&gt;&gt; Enter 2 or more lab quotes &lt;&lt;&lt;")</f>
        <v>&gt;&gt;&gt; Enter 2 or more lab quotes &lt;&lt;&lt;</v>
      </c>
      <c r="AJ6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0.22750000000000001</v>
      </c>
      <c r="AL66" s="396">
        <f>IF(ISTEXT(RawMaterials[[#This Row],[Unit price in quote year]]),"Check calcs",RawMaterials[[#This Row],[Unit price in quote year]]/VLOOKUP(RawMaterials[[#This Row],[Quote Year]],ChemPPI[],14,FALSE)*VLOOKUP(BasisYear,ChemPPI[],14,FALSE))</f>
        <v>0.30876651422764234</v>
      </c>
      <c r="AM66" s="397" t="str">
        <f t="shared" si="0"/>
        <v>$/kg (2016)</v>
      </c>
    </row>
    <row r="67" spans="1:39">
      <c r="A67" s="259" t="s">
        <v>1163</v>
      </c>
      <c r="B67" s="260"/>
      <c r="C67" s="351"/>
      <c r="D67" s="351"/>
      <c r="E67" s="260">
        <v>100</v>
      </c>
      <c r="F67" s="260"/>
      <c r="G67" s="351"/>
      <c r="H67" s="351"/>
      <c r="I67" s="262"/>
      <c r="J67" s="351"/>
      <c r="K67" s="351"/>
      <c r="L67" s="351"/>
      <c r="M67" s="351"/>
      <c r="N67" s="351"/>
      <c r="O67" s="351"/>
      <c r="P67" s="261">
        <v>235</v>
      </c>
      <c r="Q67" s="260">
        <v>1</v>
      </c>
      <c r="R67" s="260" t="s">
        <v>401</v>
      </c>
      <c r="S67" s="260">
        <v>2006</v>
      </c>
      <c r="T67" s="260" t="s">
        <v>161</v>
      </c>
      <c r="U67" s="386">
        <v>42653</v>
      </c>
      <c r="V67" s="387"/>
      <c r="W67" s="354">
        <f>COUNT(RawMaterials[[#This Row],[Lab Quantity 1]:[Lab Quantity 4]])</f>
        <v>0</v>
      </c>
      <c r="X6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7" s="392" t="e">
        <f>RawMaterials[[#This Row],[Lab Price 1]]/RawMaterials[[#This Row],[Lab Q Model Units 1]]</f>
        <v>#N/A</v>
      </c>
      <c r="AC67" s="392" t="e">
        <f>RawMaterials[[#This Row],[Lab Price 2]]/RawMaterials[[#This Row],[Lab Q Model Units 2]]</f>
        <v>#N/A</v>
      </c>
      <c r="AD67" s="392" t="e">
        <f>RawMaterials[[#This Row],[Lab Price 3]]/RawMaterials[[#This Row],[Lab Q Model Units 3]]</f>
        <v>#N/A</v>
      </c>
      <c r="AE67" s="392" t="e">
        <f>RawMaterials[[#This Row],[Lab Price 4]]/RawMaterials[[#This Row],[Lab Q Model Units 4]]</f>
        <v>#N/A</v>
      </c>
      <c r="AF67" s="392" t="str">
        <f ca="1">IF(RawMaterials[[#This Row],[Lab Quote Count]]&gt;1,SLOPE(LOG(INDIRECT("RawMaterials[@[Lab Unit P 1]:[Lab Unit P "&amp;RawMaterials[[#This Row],[Lab Quote Count]]&amp;"]]")),LOG(INDIRECT("RawMaterials[@[Lab Q Model Units 1]:[Lab Q Model Units "&amp;RawMaterials[[#This Row],[Lab Quote Count]]&amp;"]]"))),"")</f>
        <v/>
      </c>
      <c r="AG67" s="392" t="str">
        <f ca="1">IF(RawMaterials[[#This Row],[Lab Quote Count]]&gt;1,INTERCEPT(LOG(INDIRECT("RawMaterials[@[Lab Unit P 1]:[Lab Unit P "&amp;RawMaterials[[#This Row],[Lab Quote Count]]&amp;"]]")),LOG(INDIRECT("RawMaterials[@[Lab Q Model Units 1]:[Lab Q Model Units "&amp;RawMaterials[[#This Row],[Lab Quote Count]]&amp;"]]"))),"")</f>
        <v/>
      </c>
      <c r="AH67" s="393" t="str">
        <f>IF(RawMaterials[[#This Row],[Material Type]]="Metal Precursor","D13",IF(RawMaterials[[#This Row],[Material Type]]="Ligand","D13","D12"))</f>
        <v>D12</v>
      </c>
      <c r="AI67" s="394" t="str">
        <f ca="1">IF(RawMaterials[[#This Row],[Lab Quote Count]]&gt;1,10^RawMaterials[[#This Row],[Lab Log-Log Intercept]]*INDIRECT(RawMaterials[[#This Row],[Basis Cell]])^RawMaterials[[#This Row],[Lab Log-Log Slope]],"&gt;&gt;&gt; Enter 2 or more lab quotes &lt;&lt;&lt;")</f>
        <v>&gt;&gt;&gt; Enter 2 or more lab quotes &lt;&lt;&lt;</v>
      </c>
      <c r="AJ6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0.25904315806723116</v>
      </c>
      <c r="AL67" s="396">
        <f>IF(ISTEXT(RawMaterials[[#This Row],[Unit price in quote year]]),"Check calcs",RawMaterials[[#This Row],[Unit price in quote year]]/VLOOKUP(RawMaterials[[#This Row],[Quote Year]],ChemPPI[],14,FALSE)*VLOOKUP(BasisYear,ChemPPI[],14,FALSE))</f>
        <v>0.3515773756085237</v>
      </c>
      <c r="AM67" s="397" t="str">
        <f t="shared" si="0"/>
        <v>$/kg (2016)</v>
      </c>
    </row>
    <row r="68" spans="1:39">
      <c r="A68" s="259" t="s">
        <v>1164</v>
      </c>
      <c r="B68" s="260"/>
      <c r="C68" s="351"/>
      <c r="D68" s="351"/>
      <c r="E68" s="260">
        <v>100</v>
      </c>
      <c r="F68" s="260"/>
      <c r="G68" s="351"/>
      <c r="H68" s="351"/>
      <c r="I68" s="262"/>
      <c r="J68" s="351"/>
      <c r="K68" s="351"/>
      <c r="L68" s="351"/>
      <c r="M68" s="351"/>
      <c r="N68" s="351"/>
      <c r="O68" s="351"/>
      <c r="P68" s="261">
        <v>139.5</v>
      </c>
      <c r="Q68" s="260">
        <v>1</v>
      </c>
      <c r="R68" s="260" t="s">
        <v>401</v>
      </c>
      <c r="S68" s="260">
        <v>2006</v>
      </c>
      <c r="T68" s="260" t="s">
        <v>161</v>
      </c>
      <c r="U68" s="386">
        <v>42653</v>
      </c>
      <c r="V68" s="387"/>
      <c r="W68" s="354">
        <f>COUNT(RawMaterials[[#This Row],[Lab Quantity 1]:[Lab Quantity 4]])</f>
        <v>0</v>
      </c>
      <c r="X6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8" s="392" t="e">
        <f>RawMaterials[[#This Row],[Lab Price 1]]/RawMaterials[[#This Row],[Lab Q Model Units 1]]</f>
        <v>#N/A</v>
      </c>
      <c r="AC68" s="392" t="e">
        <f>RawMaterials[[#This Row],[Lab Price 2]]/RawMaterials[[#This Row],[Lab Q Model Units 2]]</f>
        <v>#N/A</v>
      </c>
      <c r="AD68" s="392" t="e">
        <f>RawMaterials[[#This Row],[Lab Price 3]]/RawMaterials[[#This Row],[Lab Q Model Units 3]]</f>
        <v>#N/A</v>
      </c>
      <c r="AE68" s="392" t="e">
        <f>RawMaterials[[#This Row],[Lab Price 4]]/RawMaterials[[#This Row],[Lab Q Model Units 4]]</f>
        <v>#N/A</v>
      </c>
      <c r="AF68" s="392" t="str">
        <f ca="1">IF(RawMaterials[[#This Row],[Lab Quote Count]]&gt;1,SLOPE(LOG(INDIRECT("RawMaterials[@[Lab Unit P 1]:[Lab Unit P "&amp;RawMaterials[[#This Row],[Lab Quote Count]]&amp;"]]")),LOG(INDIRECT("RawMaterials[@[Lab Q Model Units 1]:[Lab Q Model Units "&amp;RawMaterials[[#This Row],[Lab Quote Count]]&amp;"]]"))),"")</f>
        <v/>
      </c>
      <c r="AG68" s="392" t="str">
        <f ca="1">IF(RawMaterials[[#This Row],[Lab Quote Count]]&gt;1,INTERCEPT(LOG(INDIRECT("RawMaterials[@[Lab Unit P 1]:[Lab Unit P "&amp;RawMaterials[[#This Row],[Lab Quote Count]]&amp;"]]")),LOG(INDIRECT("RawMaterials[@[Lab Q Model Units 1]:[Lab Q Model Units "&amp;RawMaterials[[#This Row],[Lab Quote Count]]&amp;"]]"))),"")</f>
        <v/>
      </c>
      <c r="AH68" s="393" t="str">
        <f>IF(RawMaterials[[#This Row],[Material Type]]="Metal Precursor","D13",IF(RawMaterials[[#This Row],[Material Type]]="Ligand","D13","D12"))</f>
        <v>D12</v>
      </c>
      <c r="AI68" s="394" t="str">
        <f ca="1">IF(RawMaterials[[#This Row],[Lab Quote Count]]&gt;1,10^RawMaterials[[#This Row],[Lab Log-Log Intercept]]*INDIRECT(RawMaterials[[#This Row],[Basis Cell]])^RawMaterials[[#This Row],[Lab Log-Log Slope]],"&gt;&gt;&gt; Enter 2 or more lab quotes &lt;&lt;&lt;")</f>
        <v>&gt;&gt;&gt; Enter 2 or more lab quotes &lt;&lt;&lt;</v>
      </c>
      <c r="AJ6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0.15377242787395209</v>
      </c>
      <c r="AL68" s="396">
        <f>IF(ISTEXT(RawMaterials[[#This Row],[Unit price in quote year]]),"Check calcs",RawMaterials[[#This Row],[Unit price in quote year]]/VLOOKUP(RawMaterials[[#This Row],[Quote Year]],ChemPPI[],14,FALSE)*VLOOKUP(BasisYear,ChemPPI[],14,FALSE))</f>
        <v>0.20870231445697465</v>
      </c>
      <c r="AM68" s="397" t="str">
        <f t="shared" si="0"/>
        <v>$/kg (2016)</v>
      </c>
    </row>
    <row r="69" spans="1:39">
      <c r="A69" s="259" t="s">
        <v>1165</v>
      </c>
      <c r="B69" s="260"/>
      <c r="C69" s="351"/>
      <c r="D69" s="351"/>
      <c r="E69" s="260">
        <v>100</v>
      </c>
      <c r="F69" s="260"/>
      <c r="G69" s="351"/>
      <c r="H69" s="351"/>
      <c r="I69" s="262"/>
      <c r="J69" s="351"/>
      <c r="K69" s="351"/>
      <c r="L69" s="351"/>
      <c r="M69" s="351"/>
      <c r="N69" s="351"/>
      <c r="O69" s="351"/>
      <c r="P69" s="261">
        <v>146</v>
      </c>
      <c r="Q69" s="260">
        <v>1</v>
      </c>
      <c r="R69" s="260" t="s">
        <v>401</v>
      </c>
      <c r="S69" s="260">
        <v>2006</v>
      </c>
      <c r="T69" s="260" t="s">
        <v>161</v>
      </c>
      <c r="U69" s="386">
        <v>42653</v>
      </c>
      <c r="V69" s="387"/>
      <c r="W69" s="354">
        <f>COUNT(RawMaterials[[#This Row],[Lab Quantity 1]:[Lab Quantity 4]])</f>
        <v>0</v>
      </c>
      <c r="X6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9" s="392" t="e">
        <f>RawMaterials[[#This Row],[Lab Price 1]]/RawMaterials[[#This Row],[Lab Q Model Units 1]]</f>
        <v>#N/A</v>
      </c>
      <c r="AC69" s="392" t="e">
        <f>RawMaterials[[#This Row],[Lab Price 2]]/RawMaterials[[#This Row],[Lab Q Model Units 2]]</f>
        <v>#N/A</v>
      </c>
      <c r="AD69" s="392" t="e">
        <f>RawMaterials[[#This Row],[Lab Price 3]]/RawMaterials[[#This Row],[Lab Q Model Units 3]]</f>
        <v>#N/A</v>
      </c>
      <c r="AE69" s="392" t="e">
        <f>RawMaterials[[#This Row],[Lab Price 4]]/RawMaterials[[#This Row],[Lab Q Model Units 4]]</f>
        <v>#N/A</v>
      </c>
      <c r="AF69" s="392" t="str">
        <f ca="1">IF(RawMaterials[[#This Row],[Lab Quote Count]]&gt;1,SLOPE(LOG(INDIRECT("RawMaterials[@[Lab Unit P 1]:[Lab Unit P "&amp;RawMaterials[[#This Row],[Lab Quote Count]]&amp;"]]")),LOG(INDIRECT("RawMaterials[@[Lab Q Model Units 1]:[Lab Q Model Units "&amp;RawMaterials[[#This Row],[Lab Quote Count]]&amp;"]]"))),"")</f>
        <v/>
      </c>
      <c r="AG69" s="392" t="str">
        <f ca="1">IF(RawMaterials[[#This Row],[Lab Quote Count]]&gt;1,INTERCEPT(LOG(INDIRECT("RawMaterials[@[Lab Unit P 1]:[Lab Unit P "&amp;RawMaterials[[#This Row],[Lab Quote Count]]&amp;"]]")),LOG(INDIRECT("RawMaterials[@[Lab Q Model Units 1]:[Lab Q Model Units "&amp;RawMaterials[[#This Row],[Lab Quote Count]]&amp;"]]"))),"")</f>
        <v/>
      </c>
      <c r="AH69" s="393" t="str">
        <f>IF(RawMaterials[[#This Row],[Material Type]]="Metal Precursor","D13",IF(RawMaterials[[#This Row],[Material Type]]="Ligand","D13","D12"))</f>
        <v>D12</v>
      </c>
      <c r="AI69" s="394" t="str">
        <f ca="1">IF(RawMaterials[[#This Row],[Lab Quote Count]]&gt;1,10^RawMaterials[[#This Row],[Lab Log-Log Intercept]]*INDIRECT(RawMaterials[[#This Row],[Basis Cell]])^RawMaterials[[#This Row],[Lab Log-Log Slope]],"&gt;&gt;&gt; Enter 2 or more lab quotes &lt;&lt;&lt;")</f>
        <v>&gt;&gt;&gt; Enter 2 or more lab quotes &lt;&lt;&lt;</v>
      </c>
      <c r="AJ6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0.16093745139496063</v>
      </c>
      <c r="AL69" s="396">
        <f>IF(ISTEXT(RawMaterials[[#This Row],[Unit price in quote year]]),"Check calcs",RawMaterials[[#This Row],[Unit price in quote year]]/VLOOKUP(RawMaterials[[#This Row],[Quote Year]],ChemPPI[],14,FALSE)*VLOOKUP(BasisYear,ChemPPI[],14,FALSE))</f>
        <v>0.21842679505891255</v>
      </c>
      <c r="AM69" s="397" t="str">
        <f t="shared" si="0"/>
        <v>$/kg (2016)</v>
      </c>
    </row>
    <row r="70" spans="1:39">
      <c r="A70" s="259" t="s">
        <v>1166</v>
      </c>
      <c r="B70" s="260"/>
      <c r="C70" s="351"/>
      <c r="D70" s="351"/>
      <c r="E70" s="260">
        <v>100</v>
      </c>
      <c r="F70" s="260"/>
      <c r="G70" s="351"/>
      <c r="H70" s="351"/>
      <c r="I70" s="262"/>
      <c r="J70" s="351"/>
      <c r="K70" s="351"/>
      <c r="L70" s="351"/>
      <c r="M70" s="351"/>
      <c r="N70" s="351"/>
      <c r="O70" s="351"/>
      <c r="P70" s="261">
        <v>0.38</v>
      </c>
      <c r="Q70" s="260">
        <v>1</v>
      </c>
      <c r="R70" s="260" t="s">
        <v>20</v>
      </c>
      <c r="S70" s="260">
        <v>2006</v>
      </c>
      <c r="T70" s="260" t="s">
        <v>161</v>
      </c>
      <c r="U70" s="386">
        <v>42653</v>
      </c>
      <c r="V70" s="387"/>
      <c r="W70" s="354">
        <f>COUNT(RawMaterials[[#This Row],[Lab Quantity 1]:[Lab Quantity 4]])</f>
        <v>0</v>
      </c>
      <c r="X7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0" s="392" t="e">
        <f>RawMaterials[[#This Row],[Lab Price 1]]/RawMaterials[[#This Row],[Lab Q Model Units 1]]</f>
        <v>#N/A</v>
      </c>
      <c r="AC70" s="392" t="e">
        <f>RawMaterials[[#This Row],[Lab Price 2]]/RawMaterials[[#This Row],[Lab Q Model Units 2]]</f>
        <v>#N/A</v>
      </c>
      <c r="AD70" s="392" t="e">
        <f>RawMaterials[[#This Row],[Lab Price 3]]/RawMaterials[[#This Row],[Lab Q Model Units 3]]</f>
        <v>#N/A</v>
      </c>
      <c r="AE70" s="392" t="e">
        <f>RawMaterials[[#This Row],[Lab Price 4]]/RawMaterials[[#This Row],[Lab Q Model Units 4]]</f>
        <v>#N/A</v>
      </c>
      <c r="AF70" s="392" t="str">
        <f ca="1">IF(RawMaterials[[#This Row],[Lab Quote Count]]&gt;1,SLOPE(LOG(INDIRECT("RawMaterials[@[Lab Unit P 1]:[Lab Unit P "&amp;RawMaterials[[#This Row],[Lab Quote Count]]&amp;"]]")),LOG(INDIRECT("RawMaterials[@[Lab Q Model Units 1]:[Lab Q Model Units "&amp;RawMaterials[[#This Row],[Lab Quote Count]]&amp;"]]"))),"")</f>
        <v/>
      </c>
      <c r="AG70" s="392" t="str">
        <f ca="1">IF(RawMaterials[[#This Row],[Lab Quote Count]]&gt;1,INTERCEPT(LOG(INDIRECT("RawMaterials[@[Lab Unit P 1]:[Lab Unit P "&amp;RawMaterials[[#This Row],[Lab Quote Count]]&amp;"]]")),LOG(INDIRECT("RawMaterials[@[Lab Q Model Units 1]:[Lab Q Model Units "&amp;RawMaterials[[#This Row],[Lab Quote Count]]&amp;"]]"))),"")</f>
        <v/>
      </c>
      <c r="AH70" s="393" t="str">
        <f>IF(RawMaterials[[#This Row],[Material Type]]="Metal Precursor","D13",IF(RawMaterials[[#This Row],[Material Type]]="Ligand","D13","D12"))</f>
        <v>D12</v>
      </c>
      <c r="AI70" s="394" t="str">
        <f ca="1">IF(RawMaterials[[#This Row],[Lab Quote Count]]&gt;1,10^RawMaterials[[#This Row],[Lab Log-Log Intercept]]*INDIRECT(RawMaterials[[#This Row],[Basis Cell]])^RawMaterials[[#This Row],[Lab Log-Log Slope]],"&gt;&gt;&gt; Enter 2 or more lab quotes &lt;&lt;&lt;")</f>
        <v>&gt;&gt;&gt; Enter 2 or more lab quotes &lt;&lt;&lt;</v>
      </c>
      <c r="AJ7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0.83775659630253474</v>
      </c>
      <c r="AL70" s="396">
        <f>IF(ISTEXT(RawMaterials[[#This Row],[Unit price in quote year]]),"Check calcs",RawMaterials[[#This Row],[Unit price in quote year]]/VLOOKUP(RawMaterials[[#This Row],[Quote Year]],ChemPPI[],14,FALSE)*VLOOKUP(BasisYear,ChemPPI[],14,FALSE))</f>
        <v>1.1370161934573528</v>
      </c>
      <c r="AM70" s="397" t="str">
        <f t="shared" si="0"/>
        <v>$/kg (2016)</v>
      </c>
    </row>
    <row r="71" spans="1:39">
      <c r="A71" s="259" t="s">
        <v>1167</v>
      </c>
      <c r="B71" s="260"/>
      <c r="C71" s="351"/>
      <c r="D71" s="351"/>
      <c r="E71" s="260">
        <v>100</v>
      </c>
      <c r="F71" s="260"/>
      <c r="G71" s="351"/>
      <c r="H71" s="351"/>
      <c r="I71" s="262"/>
      <c r="J71" s="351"/>
      <c r="K71" s="351"/>
      <c r="L71" s="351"/>
      <c r="M71" s="351"/>
      <c r="N71" s="351"/>
      <c r="O71" s="351"/>
      <c r="P71" s="261">
        <v>1.95</v>
      </c>
      <c r="Q71" s="260">
        <v>1</v>
      </c>
      <c r="R71" s="260" t="s">
        <v>20</v>
      </c>
      <c r="S71" s="260">
        <v>2006</v>
      </c>
      <c r="T71" s="260" t="s">
        <v>161</v>
      </c>
      <c r="U71" s="386">
        <v>42653</v>
      </c>
      <c r="V71" s="387"/>
      <c r="W71" s="354">
        <f>COUNT(RawMaterials[[#This Row],[Lab Quantity 1]:[Lab Quantity 4]])</f>
        <v>0</v>
      </c>
      <c r="X7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1" s="392" t="e">
        <f>RawMaterials[[#This Row],[Lab Price 1]]/RawMaterials[[#This Row],[Lab Q Model Units 1]]</f>
        <v>#N/A</v>
      </c>
      <c r="AC71" s="392" t="e">
        <f>RawMaterials[[#This Row],[Lab Price 2]]/RawMaterials[[#This Row],[Lab Q Model Units 2]]</f>
        <v>#N/A</v>
      </c>
      <c r="AD71" s="392" t="e">
        <f>RawMaterials[[#This Row],[Lab Price 3]]/RawMaterials[[#This Row],[Lab Q Model Units 3]]</f>
        <v>#N/A</v>
      </c>
      <c r="AE71" s="392" t="e">
        <f>RawMaterials[[#This Row],[Lab Price 4]]/RawMaterials[[#This Row],[Lab Q Model Units 4]]</f>
        <v>#N/A</v>
      </c>
      <c r="AF71" s="392" t="str">
        <f ca="1">IF(RawMaterials[[#This Row],[Lab Quote Count]]&gt;1,SLOPE(LOG(INDIRECT("RawMaterials[@[Lab Unit P 1]:[Lab Unit P "&amp;RawMaterials[[#This Row],[Lab Quote Count]]&amp;"]]")),LOG(INDIRECT("RawMaterials[@[Lab Q Model Units 1]:[Lab Q Model Units "&amp;RawMaterials[[#This Row],[Lab Quote Count]]&amp;"]]"))),"")</f>
        <v/>
      </c>
      <c r="AG71" s="392" t="str">
        <f ca="1">IF(RawMaterials[[#This Row],[Lab Quote Count]]&gt;1,INTERCEPT(LOG(INDIRECT("RawMaterials[@[Lab Unit P 1]:[Lab Unit P "&amp;RawMaterials[[#This Row],[Lab Quote Count]]&amp;"]]")),LOG(INDIRECT("RawMaterials[@[Lab Q Model Units 1]:[Lab Q Model Units "&amp;RawMaterials[[#This Row],[Lab Quote Count]]&amp;"]]"))),"")</f>
        <v/>
      </c>
      <c r="AH71" s="393" t="str">
        <f>IF(RawMaterials[[#This Row],[Material Type]]="Metal Precursor","D13",IF(RawMaterials[[#This Row],[Material Type]]="Ligand","D13","D12"))</f>
        <v>D12</v>
      </c>
      <c r="AI71" s="394" t="str">
        <f ca="1">IF(RawMaterials[[#This Row],[Lab Quote Count]]&gt;1,10^RawMaterials[[#This Row],[Lab Log-Log Intercept]]*INDIRECT(RawMaterials[[#This Row],[Basis Cell]])^RawMaterials[[#This Row],[Lab Log-Log Slope]],"&gt;&gt;&gt; Enter 2 or more lab quotes &lt;&lt;&lt;")</f>
        <v>&gt;&gt;&gt; Enter 2 or more lab quotes &lt;&lt;&lt;</v>
      </c>
      <c r="AJ7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4.2990141126051125</v>
      </c>
      <c r="AL71" s="396">
        <f>IF(ISTEXT(RawMaterials[[#This Row],[Unit price in quote year]]),"Check calcs",RawMaterials[[#This Row],[Unit price in quote year]]/VLOOKUP(RawMaterials[[#This Row],[Quote Year]],ChemPPI[],14,FALSE)*VLOOKUP(BasisYear,ChemPPI[],14,FALSE))</f>
        <v>5.8346883611627325</v>
      </c>
      <c r="AM71" s="397" t="str">
        <f t="shared" si="0"/>
        <v>$/kg (2016)</v>
      </c>
    </row>
    <row r="72" spans="1:39">
      <c r="A72" s="259" t="s">
        <v>1168</v>
      </c>
      <c r="B72" s="260"/>
      <c r="C72" s="351"/>
      <c r="D72" s="351"/>
      <c r="E72" s="260">
        <v>100</v>
      </c>
      <c r="F72" s="260"/>
      <c r="G72" s="351"/>
      <c r="H72" s="351"/>
      <c r="I72" s="262"/>
      <c r="J72" s="351"/>
      <c r="K72" s="351"/>
      <c r="L72" s="351"/>
      <c r="M72" s="351"/>
      <c r="N72" s="351"/>
      <c r="O72" s="351"/>
      <c r="P72" s="261">
        <v>1.875</v>
      </c>
      <c r="Q72" s="260">
        <v>1</v>
      </c>
      <c r="R72" s="260" t="s">
        <v>20</v>
      </c>
      <c r="S72" s="260">
        <v>2006</v>
      </c>
      <c r="T72" s="260" t="s">
        <v>161</v>
      </c>
      <c r="U72" s="386">
        <v>42653</v>
      </c>
      <c r="V72" s="387"/>
      <c r="W72" s="354">
        <f>COUNT(RawMaterials[[#This Row],[Lab Quantity 1]:[Lab Quantity 4]])</f>
        <v>0</v>
      </c>
      <c r="X7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2" s="392" t="e">
        <f>RawMaterials[[#This Row],[Lab Price 1]]/RawMaterials[[#This Row],[Lab Q Model Units 1]]</f>
        <v>#N/A</v>
      </c>
      <c r="AC72" s="392" t="e">
        <f>RawMaterials[[#This Row],[Lab Price 2]]/RawMaterials[[#This Row],[Lab Q Model Units 2]]</f>
        <v>#N/A</v>
      </c>
      <c r="AD72" s="392" t="e">
        <f>RawMaterials[[#This Row],[Lab Price 3]]/RawMaterials[[#This Row],[Lab Q Model Units 3]]</f>
        <v>#N/A</v>
      </c>
      <c r="AE72" s="392" t="e">
        <f>RawMaterials[[#This Row],[Lab Price 4]]/RawMaterials[[#This Row],[Lab Q Model Units 4]]</f>
        <v>#N/A</v>
      </c>
      <c r="AF72" s="392" t="str">
        <f ca="1">IF(RawMaterials[[#This Row],[Lab Quote Count]]&gt;1,SLOPE(LOG(INDIRECT("RawMaterials[@[Lab Unit P 1]:[Lab Unit P "&amp;RawMaterials[[#This Row],[Lab Quote Count]]&amp;"]]")),LOG(INDIRECT("RawMaterials[@[Lab Q Model Units 1]:[Lab Q Model Units "&amp;RawMaterials[[#This Row],[Lab Quote Count]]&amp;"]]"))),"")</f>
        <v/>
      </c>
      <c r="AG72" s="392" t="str">
        <f ca="1">IF(RawMaterials[[#This Row],[Lab Quote Count]]&gt;1,INTERCEPT(LOG(INDIRECT("RawMaterials[@[Lab Unit P 1]:[Lab Unit P "&amp;RawMaterials[[#This Row],[Lab Quote Count]]&amp;"]]")),LOG(INDIRECT("RawMaterials[@[Lab Q Model Units 1]:[Lab Q Model Units "&amp;RawMaterials[[#This Row],[Lab Quote Count]]&amp;"]]"))),"")</f>
        <v/>
      </c>
      <c r="AH72" s="393" t="str">
        <f>IF(RawMaterials[[#This Row],[Material Type]]="Metal Precursor","D13",IF(RawMaterials[[#This Row],[Material Type]]="Ligand","D13","D12"))</f>
        <v>D12</v>
      </c>
      <c r="AI72" s="394" t="str">
        <f ca="1">IF(RawMaterials[[#This Row],[Lab Quote Count]]&gt;1,10^RawMaterials[[#This Row],[Lab Log-Log Intercept]]*INDIRECT(RawMaterials[[#This Row],[Basis Cell]])^RawMaterials[[#This Row],[Lab Log-Log Slope]],"&gt;&gt;&gt; Enter 2 or more lab quotes &lt;&lt;&lt;")</f>
        <v>&gt;&gt;&gt; Enter 2 or more lab quotes &lt;&lt;&lt;</v>
      </c>
      <c r="AJ7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4.1336674159664542</v>
      </c>
      <c r="AL72" s="396">
        <f>IF(ISTEXT(RawMaterials[[#This Row],[Unit price in quote year]]),"Check calcs",RawMaterials[[#This Row],[Unit price in quote year]]/VLOOKUP(RawMaterials[[#This Row],[Quote Year]],ChemPPI[],14,FALSE)*VLOOKUP(BasisYear,ChemPPI[],14,FALSE))</f>
        <v>5.6102772703487807</v>
      </c>
      <c r="AM72" s="397" t="str">
        <f t="shared" si="0"/>
        <v>$/kg (2016)</v>
      </c>
    </row>
    <row r="73" spans="1:39">
      <c r="A73" s="259" t="s">
        <v>1169</v>
      </c>
      <c r="B73" s="260"/>
      <c r="C73" s="351"/>
      <c r="D73" s="351"/>
      <c r="E73" s="260">
        <v>100</v>
      </c>
      <c r="F73" s="260"/>
      <c r="G73" s="351"/>
      <c r="H73" s="351"/>
      <c r="I73" s="262"/>
      <c r="J73" s="351"/>
      <c r="K73" s="351"/>
      <c r="L73" s="351"/>
      <c r="M73" s="351"/>
      <c r="N73" s="351"/>
      <c r="O73" s="351"/>
      <c r="P73" s="261">
        <v>1.875</v>
      </c>
      <c r="Q73" s="260">
        <v>1</v>
      </c>
      <c r="R73" s="260" t="s">
        <v>20</v>
      </c>
      <c r="S73" s="260">
        <v>2006</v>
      </c>
      <c r="T73" s="260" t="s">
        <v>161</v>
      </c>
      <c r="U73" s="386">
        <v>42653</v>
      </c>
      <c r="V73" s="387"/>
      <c r="W73" s="354">
        <f>COUNT(RawMaterials[[#This Row],[Lab Quantity 1]:[Lab Quantity 4]])</f>
        <v>0</v>
      </c>
      <c r="X7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3" s="392" t="e">
        <f>RawMaterials[[#This Row],[Lab Price 1]]/RawMaterials[[#This Row],[Lab Q Model Units 1]]</f>
        <v>#N/A</v>
      </c>
      <c r="AC73" s="392" t="e">
        <f>RawMaterials[[#This Row],[Lab Price 2]]/RawMaterials[[#This Row],[Lab Q Model Units 2]]</f>
        <v>#N/A</v>
      </c>
      <c r="AD73" s="392" t="e">
        <f>RawMaterials[[#This Row],[Lab Price 3]]/RawMaterials[[#This Row],[Lab Q Model Units 3]]</f>
        <v>#N/A</v>
      </c>
      <c r="AE73" s="392" t="e">
        <f>RawMaterials[[#This Row],[Lab Price 4]]/RawMaterials[[#This Row],[Lab Q Model Units 4]]</f>
        <v>#N/A</v>
      </c>
      <c r="AF73" s="392" t="str">
        <f ca="1">IF(RawMaterials[[#This Row],[Lab Quote Count]]&gt;1,SLOPE(LOG(INDIRECT("RawMaterials[@[Lab Unit P 1]:[Lab Unit P "&amp;RawMaterials[[#This Row],[Lab Quote Count]]&amp;"]]")),LOG(INDIRECT("RawMaterials[@[Lab Q Model Units 1]:[Lab Q Model Units "&amp;RawMaterials[[#This Row],[Lab Quote Count]]&amp;"]]"))),"")</f>
        <v/>
      </c>
      <c r="AG73" s="392" t="str">
        <f ca="1">IF(RawMaterials[[#This Row],[Lab Quote Count]]&gt;1,INTERCEPT(LOG(INDIRECT("RawMaterials[@[Lab Unit P 1]:[Lab Unit P "&amp;RawMaterials[[#This Row],[Lab Quote Count]]&amp;"]]")),LOG(INDIRECT("RawMaterials[@[Lab Q Model Units 1]:[Lab Q Model Units "&amp;RawMaterials[[#This Row],[Lab Quote Count]]&amp;"]]"))),"")</f>
        <v/>
      </c>
      <c r="AH73" s="393" t="str">
        <f>IF(RawMaterials[[#This Row],[Material Type]]="Metal Precursor","D13",IF(RawMaterials[[#This Row],[Material Type]]="Ligand","D13","D12"))</f>
        <v>D12</v>
      </c>
      <c r="AI73" s="394" t="str">
        <f ca="1">IF(RawMaterials[[#This Row],[Lab Quote Count]]&gt;1,10^RawMaterials[[#This Row],[Lab Log-Log Intercept]]*INDIRECT(RawMaterials[[#This Row],[Basis Cell]])^RawMaterials[[#This Row],[Lab Log-Log Slope]],"&gt;&gt;&gt; Enter 2 or more lab quotes &lt;&lt;&lt;")</f>
        <v>&gt;&gt;&gt; Enter 2 or more lab quotes &lt;&lt;&lt;</v>
      </c>
      <c r="AJ7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4.1336674159664542</v>
      </c>
      <c r="AL73" s="396">
        <f>IF(ISTEXT(RawMaterials[[#This Row],[Unit price in quote year]]),"Check calcs",RawMaterials[[#This Row],[Unit price in quote year]]/VLOOKUP(RawMaterials[[#This Row],[Quote Year]],ChemPPI[],14,FALSE)*VLOOKUP(BasisYear,ChemPPI[],14,FALSE))</f>
        <v>5.6102772703487807</v>
      </c>
      <c r="AM73" s="397" t="str">
        <f t="shared" si="0"/>
        <v>$/kg (2016)</v>
      </c>
    </row>
    <row r="74" spans="1:39">
      <c r="A74" s="259" t="s">
        <v>1170</v>
      </c>
      <c r="B74" s="260"/>
      <c r="C74" s="351"/>
      <c r="D74" s="351">
        <v>0.876</v>
      </c>
      <c r="E74" s="260">
        <v>100</v>
      </c>
      <c r="F74" s="260"/>
      <c r="G74" s="351"/>
      <c r="H74" s="351"/>
      <c r="I74" s="262"/>
      <c r="J74" s="351"/>
      <c r="K74" s="351"/>
      <c r="L74" s="351"/>
      <c r="M74" s="351"/>
      <c r="N74" s="351"/>
      <c r="O74" s="351"/>
      <c r="P74" s="261">
        <v>3.95</v>
      </c>
      <c r="Q74" s="260">
        <v>1</v>
      </c>
      <c r="R74" s="260" t="s">
        <v>85</v>
      </c>
      <c r="S74" s="260">
        <v>2008</v>
      </c>
      <c r="T74" s="260" t="s">
        <v>161</v>
      </c>
      <c r="U74" s="386">
        <v>42653</v>
      </c>
      <c r="V74" s="387"/>
      <c r="W74" s="354">
        <f>COUNT(RawMaterials[[#This Row],[Lab Quantity 1]:[Lab Quantity 4]])</f>
        <v>0</v>
      </c>
      <c r="X7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4" s="392" t="e">
        <f>RawMaterials[[#This Row],[Lab Price 1]]/RawMaterials[[#This Row],[Lab Q Model Units 1]]</f>
        <v>#N/A</v>
      </c>
      <c r="AC74" s="392" t="e">
        <f>RawMaterials[[#This Row],[Lab Price 2]]/RawMaterials[[#This Row],[Lab Q Model Units 2]]</f>
        <v>#N/A</v>
      </c>
      <c r="AD74" s="392" t="e">
        <f>RawMaterials[[#This Row],[Lab Price 3]]/RawMaterials[[#This Row],[Lab Q Model Units 3]]</f>
        <v>#N/A</v>
      </c>
      <c r="AE74" s="392" t="e">
        <f>RawMaterials[[#This Row],[Lab Price 4]]/RawMaterials[[#This Row],[Lab Q Model Units 4]]</f>
        <v>#N/A</v>
      </c>
      <c r="AF74" s="392" t="str">
        <f ca="1">IF(RawMaterials[[#This Row],[Lab Quote Count]]&gt;1,SLOPE(LOG(INDIRECT("RawMaterials[@[Lab Unit P 1]:[Lab Unit P "&amp;RawMaterials[[#This Row],[Lab Quote Count]]&amp;"]]")),LOG(INDIRECT("RawMaterials[@[Lab Q Model Units 1]:[Lab Q Model Units "&amp;RawMaterials[[#This Row],[Lab Quote Count]]&amp;"]]"))),"")</f>
        <v/>
      </c>
      <c r="AG74" s="392" t="str">
        <f ca="1">IF(RawMaterials[[#This Row],[Lab Quote Count]]&gt;1,INTERCEPT(LOG(INDIRECT("RawMaterials[@[Lab Unit P 1]:[Lab Unit P "&amp;RawMaterials[[#This Row],[Lab Quote Count]]&amp;"]]")),LOG(INDIRECT("RawMaterials[@[Lab Q Model Units 1]:[Lab Q Model Units "&amp;RawMaterials[[#This Row],[Lab Quote Count]]&amp;"]]"))),"")</f>
        <v/>
      </c>
      <c r="AH74" s="393" t="str">
        <f>IF(RawMaterials[[#This Row],[Material Type]]="Metal Precursor","D13",IF(RawMaterials[[#This Row],[Material Type]]="Ligand","D13","D12"))</f>
        <v>D12</v>
      </c>
      <c r="AI74" s="394" t="str">
        <f ca="1">IF(RawMaterials[[#This Row],[Lab Quote Count]]&gt;1,10^RawMaterials[[#This Row],[Lab Log-Log Intercept]]*INDIRECT(RawMaterials[[#This Row],[Basis Cell]])^RawMaterials[[#This Row],[Lab Log-Log Slope]],"&gt;&gt;&gt; Enter 2 or more lab quotes &lt;&lt;&lt;")</f>
        <v>&gt;&gt;&gt; Enter 2 or more lab quotes &lt;&lt;&lt;</v>
      </c>
      <c r="AJ7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3.3160207227839997</v>
      </c>
      <c r="AK7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1.19118676577019</v>
      </c>
      <c r="AL74" s="396">
        <f>IF(ISTEXT(RawMaterials[[#This Row],[Unit price in quote year]]),"Check calcs",RawMaterials[[#This Row],[Unit price in quote year]]/VLOOKUP(RawMaterials[[#This Row],[Quote Year]],ChemPPI[],14,FALSE)*VLOOKUP(BasisYear,ChemPPI[],14,FALSE))</f>
        <v>1.3941909153356267</v>
      </c>
      <c r="AM74" s="397" t="str">
        <f t="shared" si="0"/>
        <v>$/kg (2016)</v>
      </c>
    </row>
    <row r="75" spans="1:39">
      <c r="A75" s="259" t="s">
        <v>1171</v>
      </c>
      <c r="B75" s="260"/>
      <c r="C75" s="351"/>
      <c r="D75" s="351">
        <v>0.876</v>
      </c>
      <c r="E75" s="260">
        <v>100</v>
      </c>
      <c r="F75" s="260"/>
      <c r="G75" s="351"/>
      <c r="H75" s="351"/>
      <c r="I75" s="262"/>
      <c r="J75" s="351"/>
      <c r="K75" s="351"/>
      <c r="L75" s="351"/>
      <c r="M75" s="351"/>
      <c r="N75" s="351"/>
      <c r="O75" s="351"/>
      <c r="P75" s="261">
        <v>3.9849999999999999</v>
      </c>
      <c r="Q75" s="260">
        <v>1</v>
      </c>
      <c r="R75" s="260" t="s">
        <v>85</v>
      </c>
      <c r="S75" s="260">
        <v>2008</v>
      </c>
      <c r="T75" s="260" t="s">
        <v>161</v>
      </c>
      <c r="U75" s="386">
        <v>42653</v>
      </c>
      <c r="V75" s="387"/>
      <c r="W75" s="354">
        <f>COUNT(RawMaterials[[#This Row],[Lab Quantity 1]:[Lab Quantity 4]])</f>
        <v>0</v>
      </c>
      <c r="X7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5" s="392" t="e">
        <f>RawMaterials[[#This Row],[Lab Price 1]]/RawMaterials[[#This Row],[Lab Q Model Units 1]]</f>
        <v>#N/A</v>
      </c>
      <c r="AC75" s="392" t="e">
        <f>RawMaterials[[#This Row],[Lab Price 2]]/RawMaterials[[#This Row],[Lab Q Model Units 2]]</f>
        <v>#N/A</v>
      </c>
      <c r="AD75" s="392" t="e">
        <f>RawMaterials[[#This Row],[Lab Price 3]]/RawMaterials[[#This Row],[Lab Q Model Units 3]]</f>
        <v>#N/A</v>
      </c>
      <c r="AE75" s="392" t="e">
        <f>RawMaterials[[#This Row],[Lab Price 4]]/RawMaterials[[#This Row],[Lab Q Model Units 4]]</f>
        <v>#N/A</v>
      </c>
      <c r="AF75" s="392" t="str">
        <f ca="1">IF(RawMaterials[[#This Row],[Lab Quote Count]]&gt;1,SLOPE(LOG(INDIRECT("RawMaterials[@[Lab Unit P 1]:[Lab Unit P "&amp;RawMaterials[[#This Row],[Lab Quote Count]]&amp;"]]")),LOG(INDIRECT("RawMaterials[@[Lab Q Model Units 1]:[Lab Q Model Units "&amp;RawMaterials[[#This Row],[Lab Quote Count]]&amp;"]]"))),"")</f>
        <v/>
      </c>
      <c r="AG75" s="392" t="str">
        <f ca="1">IF(RawMaterials[[#This Row],[Lab Quote Count]]&gt;1,INTERCEPT(LOG(INDIRECT("RawMaterials[@[Lab Unit P 1]:[Lab Unit P "&amp;RawMaterials[[#This Row],[Lab Quote Count]]&amp;"]]")),LOG(INDIRECT("RawMaterials[@[Lab Q Model Units 1]:[Lab Q Model Units "&amp;RawMaterials[[#This Row],[Lab Quote Count]]&amp;"]]"))),"")</f>
        <v/>
      </c>
      <c r="AH75" s="393" t="str">
        <f>IF(RawMaterials[[#This Row],[Material Type]]="Metal Precursor","D13",IF(RawMaterials[[#This Row],[Material Type]]="Ligand","D13","D12"))</f>
        <v>D12</v>
      </c>
      <c r="AI75" s="394" t="str">
        <f ca="1">IF(RawMaterials[[#This Row],[Lab Quote Count]]&gt;1,10^RawMaterials[[#This Row],[Lab Log-Log Intercept]]*INDIRECT(RawMaterials[[#This Row],[Basis Cell]])^RawMaterials[[#This Row],[Lab Log-Log Slope]],"&gt;&gt;&gt; Enter 2 or more lab quotes &lt;&lt;&lt;")</f>
        <v>&gt;&gt;&gt; Enter 2 or more lab quotes &lt;&lt;&lt;</v>
      </c>
      <c r="AJ7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3.3160207227839997</v>
      </c>
      <c r="AK7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1.2017415852137232</v>
      </c>
      <c r="AL75" s="396">
        <f>IF(ISTEXT(RawMaterials[[#This Row],[Unit price in quote year]]),"Check calcs",RawMaterials[[#This Row],[Unit price in quote year]]/VLOOKUP(RawMaterials[[#This Row],[Quote Year]],ChemPPI[],14,FALSE)*VLOOKUP(BasisYear,ChemPPI[],14,FALSE))</f>
        <v>1.4065445057246762</v>
      </c>
      <c r="AM75" s="397" t="str">
        <f t="shared" si="0"/>
        <v>$/kg (2016)</v>
      </c>
    </row>
    <row r="76" spans="1:39">
      <c r="A76" s="259" t="s">
        <v>1172</v>
      </c>
      <c r="B76" s="260"/>
      <c r="C76" s="351"/>
      <c r="D76" s="351">
        <v>0.88</v>
      </c>
      <c r="E76" s="260">
        <v>100</v>
      </c>
      <c r="F76" s="260"/>
      <c r="G76" s="351"/>
      <c r="H76" s="351"/>
      <c r="I76" s="262"/>
      <c r="J76" s="351"/>
      <c r="K76" s="351"/>
      <c r="L76" s="351"/>
      <c r="M76" s="351"/>
      <c r="N76" s="351"/>
      <c r="O76" s="351"/>
      <c r="P76" s="261">
        <v>4.835</v>
      </c>
      <c r="Q76" s="260">
        <v>1</v>
      </c>
      <c r="R76" s="260" t="s">
        <v>85</v>
      </c>
      <c r="S76" s="260">
        <v>2008</v>
      </c>
      <c r="T76" s="260" t="s">
        <v>161</v>
      </c>
      <c r="U76" s="386">
        <v>42653</v>
      </c>
      <c r="V76" s="387"/>
      <c r="W76" s="354">
        <f>COUNT(RawMaterials[[#This Row],[Lab Quantity 1]:[Lab Quantity 4]])</f>
        <v>0</v>
      </c>
      <c r="X7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6" s="392" t="e">
        <f>RawMaterials[[#This Row],[Lab Price 1]]/RawMaterials[[#This Row],[Lab Q Model Units 1]]</f>
        <v>#N/A</v>
      </c>
      <c r="AC76" s="392" t="e">
        <f>RawMaterials[[#This Row],[Lab Price 2]]/RawMaterials[[#This Row],[Lab Q Model Units 2]]</f>
        <v>#N/A</v>
      </c>
      <c r="AD76" s="392" t="e">
        <f>RawMaterials[[#This Row],[Lab Price 3]]/RawMaterials[[#This Row],[Lab Q Model Units 3]]</f>
        <v>#N/A</v>
      </c>
      <c r="AE76" s="392" t="e">
        <f>RawMaterials[[#This Row],[Lab Price 4]]/RawMaterials[[#This Row],[Lab Q Model Units 4]]</f>
        <v>#N/A</v>
      </c>
      <c r="AF76" s="392" t="str">
        <f ca="1">IF(RawMaterials[[#This Row],[Lab Quote Count]]&gt;1,SLOPE(LOG(INDIRECT("RawMaterials[@[Lab Unit P 1]:[Lab Unit P "&amp;RawMaterials[[#This Row],[Lab Quote Count]]&amp;"]]")),LOG(INDIRECT("RawMaterials[@[Lab Q Model Units 1]:[Lab Q Model Units "&amp;RawMaterials[[#This Row],[Lab Quote Count]]&amp;"]]"))),"")</f>
        <v/>
      </c>
      <c r="AG76" s="392" t="str">
        <f ca="1">IF(RawMaterials[[#This Row],[Lab Quote Count]]&gt;1,INTERCEPT(LOG(INDIRECT("RawMaterials[@[Lab Unit P 1]:[Lab Unit P "&amp;RawMaterials[[#This Row],[Lab Quote Count]]&amp;"]]")),LOG(INDIRECT("RawMaterials[@[Lab Q Model Units 1]:[Lab Q Model Units "&amp;RawMaterials[[#This Row],[Lab Quote Count]]&amp;"]]"))),"")</f>
        <v/>
      </c>
      <c r="AH76" s="393" t="str">
        <f>IF(RawMaterials[[#This Row],[Material Type]]="Metal Precursor","D13",IF(RawMaterials[[#This Row],[Material Type]]="Ligand","D13","D12"))</f>
        <v>D12</v>
      </c>
      <c r="AI76" s="394" t="str">
        <f ca="1">IF(RawMaterials[[#This Row],[Lab Quote Count]]&gt;1,10^RawMaterials[[#This Row],[Lab Log-Log Intercept]]*INDIRECT(RawMaterials[[#This Row],[Basis Cell]])^RawMaterials[[#This Row],[Lab Log-Log Slope]],"&gt;&gt;&gt; Enter 2 or more lab quotes &lt;&lt;&lt;")</f>
        <v>&gt;&gt;&gt; Enter 2 or more lab quotes &lt;&lt;&lt;</v>
      </c>
      <c r="AJ7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3.3311623699199999</v>
      </c>
      <c r="AK7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1.4514453103995995</v>
      </c>
      <c r="AL76" s="396">
        <f>IF(ISTEXT(RawMaterials[[#This Row],[Unit price in quote year]]),"Check calcs",RawMaterials[[#This Row],[Unit price in quote year]]/VLOOKUP(RawMaterials[[#This Row],[Quote Year]],ChemPPI[],14,FALSE)*VLOOKUP(BasisYear,ChemPPI[],14,FALSE))</f>
        <v>1.6988031801689962</v>
      </c>
      <c r="AM76" s="397" t="str">
        <f t="shared" si="0"/>
        <v>$/kg (2016)</v>
      </c>
    </row>
    <row r="77" spans="1:39">
      <c r="A77" s="259" t="s">
        <v>1173</v>
      </c>
      <c r="B77" s="260"/>
      <c r="C77" s="351"/>
      <c r="D77" s="351"/>
      <c r="E77" s="260">
        <v>100</v>
      </c>
      <c r="F77" s="260"/>
      <c r="G77" s="351"/>
      <c r="H77" s="351"/>
      <c r="I77" s="262"/>
      <c r="J77" s="351"/>
      <c r="K77" s="351"/>
      <c r="L77" s="351"/>
      <c r="M77" s="351"/>
      <c r="N77" s="351"/>
      <c r="O77" s="351"/>
      <c r="P77" s="261">
        <v>0.94</v>
      </c>
      <c r="Q77" s="260">
        <v>1</v>
      </c>
      <c r="R77" s="260" t="s">
        <v>20</v>
      </c>
      <c r="S77" s="260">
        <v>2006</v>
      </c>
      <c r="T77" s="260" t="s">
        <v>161</v>
      </c>
      <c r="U77" s="386">
        <v>42653</v>
      </c>
      <c r="V77" s="387"/>
      <c r="W77" s="354">
        <f>COUNT(RawMaterials[[#This Row],[Lab Quantity 1]:[Lab Quantity 4]])</f>
        <v>0</v>
      </c>
      <c r="X7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7" s="392" t="e">
        <f>RawMaterials[[#This Row],[Lab Price 1]]/RawMaterials[[#This Row],[Lab Q Model Units 1]]</f>
        <v>#N/A</v>
      </c>
      <c r="AC77" s="392" t="e">
        <f>RawMaterials[[#This Row],[Lab Price 2]]/RawMaterials[[#This Row],[Lab Q Model Units 2]]</f>
        <v>#N/A</v>
      </c>
      <c r="AD77" s="392" t="e">
        <f>RawMaterials[[#This Row],[Lab Price 3]]/RawMaterials[[#This Row],[Lab Q Model Units 3]]</f>
        <v>#N/A</v>
      </c>
      <c r="AE77" s="392" t="e">
        <f>RawMaterials[[#This Row],[Lab Price 4]]/RawMaterials[[#This Row],[Lab Q Model Units 4]]</f>
        <v>#N/A</v>
      </c>
      <c r="AF77" s="392" t="str">
        <f ca="1">IF(RawMaterials[[#This Row],[Lab Quote Count]]&gt;1,SLOPE(LOG(INDIRECT("RawMaterials[@[Lab Unit P 1]:[Lab Unit P "&amp;RawMaterials[[#This Row],[Lab Quote Count]]&amp;"]]")),LOG(INDIRECT("RawMaterials[@[Lab Q Model Units 1]:[Lab Q Model Units "&amp;RawMaterials[[#This Row],[Lab Quote Count]]&amp;"]]"))),"")</f>
        <v/>
      </c>
      <c r="AG77" s="392" t="str">
        <f ca="1">IF(RawMaterials[[#This Row],[Lab Quote Count]]&gt;1,INTERCEPT(LOG(INDIRECT("RawMaterials[@[Lab Unit P 1]:[Lab Unit P "&amp;RawMaterials[[#This Row],[Lab Quote Count]]&amp;"]]")),LOG(INDIRECT("RawMaterials[@[Lab Q Model Units 1]:[Lab Q Model Units "&amp;RawMaterials[[#This Row],[Lab Quote Count]]&amp;"]]"))),"")</f>
        <v/>
      </c>
      <c r="AH77" s="393" t="str">
        <f>IF(RawMaterials[[#This Row],[Material Type]]="Metal Precursor","D13",IF(RawMaterials[[#This Row],[Material Type]]="Ligand","D13","D12"))</f>
        <v>D12</v>
      </c>
      <c r="AI77" s="394" t="str">
        <f ca="1">IF(RawMaterials[[#This Row],[Lab Quote Count]]&gt;1,10^RawMaterials[[#This Row],[Lab Log-Log Intercept]]*INDIRECT(RawMaterials[[#This Row],[Basis Cell]])^RawMaterials[[#This Row],[Lab Log-Log Slope]],"&gt;&gt;&gt; Enter 2 or more lab quotes &lt;&lt;&lt;")</f>
        <v>&gt;&gt;&gt; Enter 2 or more lab quotes &lt;&lt;&lt;</v>
      </c>
      <c r="AJ7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2.0723452645378488</v>
      </c>
      <c r="AL77" s="396">
        <f>IF(ISTEXT(RawMaterials[[#This Row],[Unit price in quote year]]),"Check calcs",RawMaterials[[#This Row],[Unit price in quote year]]/VLOOKUP(RawMaterials[[#This Row],[Quote Year]],ChemPPI[],14,FALSE)*VLOOKUP(BasisYear,ChemPPI[],14,FALSE))</f>
        <v>2.8126190048681887</v>
      </c>
      <c r="AM77" s="397" t="str">
        <f t="shared" si="0"/>
        <v>$/kg (2016)</v>
      </c>
    </row>
    <row r="78" spans="1:39">
      <c r="A78" s="259" t="s">
        <v>1174</v>
      </c>
      <c r="B78" s="260"/>
      <c r="C78" s="351"/>
      <c r="D78" s="351"/>
      <c r="E78" s="260">
        <v>100</v>
      </c>
      <c r="F78" s="260"/>
      <c r="G78" s="351"/>
      <c r="H78" s="351"/>
      <c r="I78" s="262"/>
      <c r="J78" s="351"/>
      <c r="K78" s="351"/>
      <c r="L78" s="351"/>
      <c r="M78" s="351"/>
      <c r="N78" s="351"/>
      <c r="O78" s="351"/>
      <c r="P78" s="261">
        <v>0.94</v>
      </c>
      <c r="Q78" s="260">
        <v>1</v>
      </c>
      <c r="R78" s="260" t="s">
        <v>20</v>
      </c>
      <c r="S78" s="260">
        <v>2006</v>
      </c>
      <c r="T78" s="260" t="s">
        <v>161</v>
      </c>
      <c r="U78" s="386">
        <v>42653</v>
      </c>
      <c r="V78" s="387"/>
      <c r="W78" s="354">
        <f>COUNT(RawMaterials[[#This Row],[Lab Quantity 1]:[Lab Quantity 4]])</f>
        <v>0</v>
      </c>
      <c r="X7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8" s="392" t="e">
        <f>RawMaterials[[#This Row],[Lab Price 1]]/RawMaterials[[#This Row],[Lab Q Model Units 1]]</f>
        <v>#N/A</v>
      </c>
      <c r="AC78" s="392" t="e">
        <f>RawMaterials[[#This Row],[Lab Price 2]]/RawMaterials[[#This Row],[Lab Q Model Units 2]]</f>
        <v>#N/A</v>
      </c>
      <c r="AD78" s="392" t="e">
        <f>RawMaterials[[#This Row],[Lab Price 3]]/RawMaterials[[#This Row],[Lab Q Model Units 3]]</f>
        <v>#N/A</v>
      </c>
      <c r="AE78" s="392" t="e">
        <f>RawMaterials[[#This Row],[Lab Price 4]]/RawMaterials[[#This Row],[Lab Q Model Units 4]]</f>
        <v>#N/A</v>
      </c>
      <c r="AF78" s="392" t="str">
        <f ca="1">IF(RawMaterials[[#This Row],[Lab Quote Count]]&gt;1,SLOPE(LOG(INDIRECT("RawMaterials[@[Lab Unit P 1]:[Lab Unit P "&amp;RawMaterials[[#This Row],[Lab Quote Count]]&amp;"]]")),LOG(INDIRECT("RawMaterials[@[Lab Q Model Units 1]:[Lab Q Model Units "&amp;RawMaterials[[#This Row],[Lab Quote Count]]&amp;"]]"))),"")</f>
        <v/>
      </c>
      <c r="AG78" s="392" t="str">
        <f ca="1">IF(RawMaterials[[#This Row],[Lab Quote Count]]&gt;1,INTERCEPT(LOG(INDIRECT("RawMaterials[@[Lab Unit P 1]:[Lab Unit P "&amp;RawMaterials[[#This Row],[Lab Quote Count]]&amp;"]]")),LOG(INDIRECT("RawMaterials[@[Lab Q Model Units 1]:[Lab Q Model Units "&amp;RawMaterials[[#This Row],[Lab Quote Count]]&amp;"]]"))),"")</f>
        <v/>
      </c>
      <c r="AH78" s="393" t="str">
        <f>IF(RawMaterials[[#This Row],[Material Type]]="Metal Precursor","D13",IF(RawMaterials[[#This Row],[Material Type]]="Ligand","D13","D12"))</f>
        <v>D12</v>
      </c>
      <c r="AI78" s="394" t="str">
        <f ca="1">IF(RawMaterials[[#This Row],[Lab Quote Count]]&gt;1,10^RawMaterials[[#This Row],[Lab Log-Log Intercept]]*INDIRECT(RawMaterials[[#This Row],[Basis Cell]])^RawMaterials[[#This Row],[Lab Log-Log Slope]],"&gt;&gt;&gt; Enter 2 or more lab quotes &lt;&lt;&lt;")</f>
        <v>&gt;&gt;&gt; Enter 2 or more lab quotes &lt;&lt;&lt;</v>
      </c>
      <c r="AJ7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2.0723452645378488</v>
      </c>
      <c r="AL78" s="396">
        <f>IF(ISTEXT(RawMaterials[[#This Row],[Unit price in quote year]]),"Check calcs",RawMaterials[[#This Row],[Unit price in quote year]]/VLOOKUP(RawMaterials[[#This Row],[Quote Year]],ChemPPI[],14,FALSE)*VLOOKUP(BasisYear,ChemPPI[],14,FALSE))</f>
        <v>2.8126190048681887</v>
      </c>
      <c r="AM78" s="397" t="str">
        <f t="shared" si="0"/>
        <v>$/kg (2016)</v>
      </c>
    </row>
    <row r="79" spans="1:39">
      <c r="A79" s="259" t="s">
        <v>1175</v>
      </c>
      <c r="B79" s="260"/>
      <c r="C79" s="351"/>
      <c r="D79" s="351"/>
      <c r="E79" s="260">
        <v>100</v>
      </c>
      <c r="F79" s="260"/>
      <c r="G79" s="351"/>
      <c r="H79" s="351"/>
      <c r="I79" s="262"/>
      <c r="J79" s="351"/>
      <c r="K79" s="351"/>
      <c r="L79" s="351"/>
      <c r="M79" s="351"/>
      <c r="N79" s="351"/>
      <c r="O79" s="351"/>
      <c r="P79" s="261">
        <v>469.5</v>
      </c>
      <c r="Q79" s="260">
        <v>1</v>
      </c>
      <c r="R79" s="260" t="s">
        <v>1112</v>
      </c>
      <c r="S79" s="260">
        <v>2006</v>
      </c>
      <c r="T79" s="260" t="s">
        <v>161</v>
      </c>
      <c r="U79" s="386">
        <v>42653</v>
      </c>
      <c r="V79" s="387"/>
      <c r="W79" s="354">
        <f>COUNT(RawMaterials[[#This Row],[Lab Quantity 1]:[Lab Quantity 4]])</f>
        <v>0</v>
      </c>
      <c r="X7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9" s="392" t="e">
        <f>RawMaterials[[#This Row],[Lab Price 1]]/RawMaterials[[#This Row],[Lab Q Model Units 1]]</f>
        <v>#N/A</v>
      </c>
      <c r="AC79" s="392" t="e">
        <f>RawMaterials[[#This Row],[Lab Price 2]]/RawMaterials[[#This Row],[Lab Q Model Units 2]]</f>
        <v>#N/A</v>
      </c>
      <c r="AD79" s="392" t="e">
        <f>RawMaterials[[#This Row],[Lab Price 3]]/RawMaterials[[#This Row],[Lab Q Model Units 3]]</f>
        <v>#N/A</v>
      </c>
      <c r="AE79" s="392" t="e">
        <f>RawMaterials[[#This Row],[Lab Price 4]]/RawMaterials[[#This Row],[Lab Q Model Units 4]]</f>
        <v>#N/A</v>
      </c>
      <c r="AF79" s="392" t="str">
        <f ca="1">IF(RawMaterials[[#This Row],[Lab Quote Count]]&gt;1,SLOPE(LOG(INDIRECT("RawMaterials[@[Lab Unit P 1]:[Lab Unit P "&amp;RawMaterials[[#This Row],[Lab Quote Count]]&amp;"]]")),LOG(INDIRECT("RawMaterials[@[Lab Q Model Units 1]:[Lab Q Model Units "&amp;RawMaterials[[#This Row],[Lab Quote Count]]&amp;"]]"))),"")</f>
        <v/>
      </c>
      <c r="AG79" s="392" t="str">
        <f ca="1">IF(RawMaterials[[#This Row],[Lab Quote Count]]&gt;1,INTERCEPT(LOG(INDIRECT("RawMaterials[@[Lab Unit P 1]:[Lab Unit P "&amp;RawMaterials[[#This Row],[Lab Quote Count]]&amp;"]]")),LOG(INDIRECT("RawMaterials[@[Lab Q Model Units 1]:[Lab Q Model Units "&amp;RawMaterials[[#This Row],[Lab Quote Count]]&amp;"]]"))),"")</f>
        <v/>
      </c>
      <c r="AH79" s="393" t="str">
        <f>IF(RawMaterials[[#This Row],[Material Type]]="Metal Precursor","D13",IF(RawMaterials[[#This Row],[Material Type]]="Ligand","D13","D12"))</f>
        <v>D12</v>
      </c>
      <c r="AI79" s="394" t="str">
        <f ca="1">IF(RawMaterials[[#This Row],[Lab Quote Count]]&gt;1,10^RawMaterials[[#This Row],[Lab Log-Log Intercept]]*INDIRECT(RawMaterials[[#This Row],[Basis Cell]])^RawMaterials[[#This Row],[Lab Log-Log Slope]],"&gt;&gt;&gt; Enter 2 or more lab quotes &lt;&lt;&lt;")</f>
        <v>&gt;&gt;&gt; Enter 2 or more lab quotes &lt;&lt;&lt;</v>
      </c>
      <c r="AJ7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7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0.46949999999999997</v>
      </c>
      <c r="AL79" s="396">
        <f>IF(ISTEXT(RawMaterials[[#This Row],[Unit price in quote year]]),"Check calcs",RawMaterials[[#This Row],[Unit price in quote year]]/VLOOKUP(RawMaterials[[#This Row],[Quote Year]],ChemPPI[],14,FALSE)*VLOOKUP(BasisYear,ChemPPI[],14,FALSE))</f>
        <v>0.63721265243902447</v>
      </c>
      <c r="AM79" s="397" t="str">
        <f t="shared" si="0"/>
        <v>$/kg (2016)</v>
      </c>
    </row>
    <row r="80" spans="1:39">
      <c r="A80" s="259" t="s">
        <v>1176</v>
      </c>
      <c r="B80" s="260"/>
      <c r="C80" s="351"/>
      <c r="D80" s="351"/>
      <c r="E80" s="260">
        <v>100</v>
      </c>
      <c r="F80" s="260"/>
      <c r="G80" s="351"/>
      <c r="H80" s="351"/>
      <c r="I80" s="262"/>
      <c r="J80" s="351"/>
      <c r="K80" s="351"/>
      <c r="L80" s="351"/>
      <c r="M80" s="351"/>
      <c r="N80" s="351"/>
      <c r="O80" s="351"/>
      <c r="P80" s="261">
        <v>412.5</v>
      </c>
      <c r="Q80" s="260">
        <v>1</v>
      </c>
      <c r="R80" s="260" t="s">
        <v>1112</v>
      </c>
      <c r="S80" s="260">
        <v>2006</v>
      </c>
      <c r="T80" s="260" t="s">
        <v>161</v>
      </c>
      <c r="U80" s="386">
        <v>42653</v>
      </c>
      <c r="V80" s="387"/>
      <c r="W80" s="354">
        <f>COUNT(RawMaterials[[#This Row],[Lab Quantity 1]:[Lab Quantity 4]])</f>
        <v>0</v>
      </c>
      <c r="X8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0" s="392" t="e">
        <f>RawMaterials[[#This Row],[Lab Price 1]]/RawMaterials[[#This Row],[Lab Q Model Units 1]]</f>
        <v>#N/A</v>
      </c>
      <c r="AC80" s="392" t="e">
        <f>RawMaterials[[#This Row],[Lab Price 2]]/RawMaterials[[#This Row],[Lab Q Model Units 2]]</f>
        <v>#N/A</v>
      </c>
      <c r="AD80" s="392" t="e">
        <f>RawMaterials[[#This Row],[Lab Price 3]]/RawMaterials[[#This Row],[Lab Q Model Units 3]]</f>
        <v>#N/A</v>
      </c>
      <c r="AE80" s="392" t="e">
        <f>RawMaterials[[#This Row],[Lab Price 4]]/RawMaterials[[#This Row],[Lab Q Model Units 4]]</f>
        <v>#N/A</v>
      </c>
      <c r="AF80" s="392" t="str">
        <f ca="1">IF(RawMaterials[[#This Row],[Lab Quote Count]]&gt;1,SLOPE(LOG(INDIRECT("RawMaterials[@[Lab Unit P 1]:[Lab Unit P "&amp;RawMaterials[[#This Row],[Lab Quote Count]]&amp;"]]")),LOG(INDIRECT("RawMaterials[@[Lab Q Model Units 1]:[Lab Q Model Units "&amp;RawMaterials[[#This Row],[Lab Quote Count]]&amp;"]]"))),"")</f>
        <v/>
      </c>
      <c r="AG80" s="392" t="str">
        <f ca="1">IF(RawMaterials[[#This Row],[Lab Quote Count]]&gt;1,INTERCEPT(LOG(INDIRECT("RawMaterials[@[Lab Unit P 1]:[Lab Unit P "&amp;RawMaterials[[#This Row],[Lab Quote Count]]&amp;"]]")),LOG(INDIRECT("RawMaterials[@[Lab Q Model Units 1]:[Lab Q Model Units "&amp;RawMaterials[[#This Row],[Lab Quote Count]]&amp;"]]"))),"")</f>
        <v/>
      </c>
      <c r="AH80" s="393" t="str">
        <f>IF(RawMaterials[[#This Row],[Material Type]]="Metal Precursor","D13",IF(RawMaterials[[#This Row],[Material Type]]="Ligand","D13","D12"))</f>
        <v>D12</v>
      </c>
      <c r="AI80" s="394" t="str">
        <f ca="1">IF(RawMaterials[[#This Row],[Lab Quote Count]]&gt;1,10^RawMaterials[[#This Row],[Lab Log-Log Intercept]]*INDIRECT(RawMaterials[[#This Row],[Basis Cell]])^RawMaterials[[#This Row],[Lab Log-Log Slope]],"&gt;&gt;&gt; Enter 2 or more lab quotes &lt;&lt;&lt;")</f>
        <v>&gt;&gt;&gt; Enter 2 or more lab quotes &lt;&lt;&lt;</v>
      </c>
      <c r="AJ8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8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0.41249999999999998</v>
      </c>
      <c r="AL80" s="396">
        <f>IF(ISTEXT(RawMaterials[[#This Row],[Unit price in quote year]]),"Check calcs",RawMaterials[[#This Row],[Unit price in quote year]]/VLOOKUP(RawMaterials[[#This Row],[Quote Year]],ChemPPI[],14,FALSE)*VLOOKUP(BasisYear,ChemPPI[],14,FALSE))</f>
        <v>0.55985137195121959</v>
      </c>
      <c r="AM80" s="397" t="str">
        <f t="shared" ref="AM80:AM143" si="1">CurrencySymbol&amp;"/"&amp;OutMassUnit&amp;" ("&amp;BasisYear&amp;")"</f>
        <v>$/kg (2016)</v>
      </c>
    </row>
    <row r="81" spans="1:39">
      <c r="A81" s="259" t="s">
        <v>1177</v>
      </c>
      <c r="B81" s="260"/>
      <c r="C81" s="351"/>
      <c r="D81" s="351"/>
      <c r="E81" s="260">
        <v>100</v>
      </c>
      <c r="F81" s="260"/>
      <c r="G81" s="351"/>
      <c r="H81" s="351"/>
      <c r="I81" s="262"/>
      <c r="J81" s="351"/>
      <c r="K81" s="351"/>
      <c r="L81" s="351"/>
      <c r="M81" s="351"/>
      <c r="N81" s="351"/>
      <c r="O81" s="351"/>
      <c r="P81" s="261">
        <v>378</v>
      </c>
      <c r="Q81" s="260">
        <v>1</v>
      </c>
      <c r="R81" s="260" t="s">
        <v>401</v>
      </c>
      <c r="S81" s="260">
        <v>2006</v>
      </c>
      <c r="T81" s="260" t="s">
        <v>161</v>
      </c>
      <c r="U81" s="386">
        <v>42653</v>
      </c>
      <c r="V81" s="387"/>
      <c r="W81" s="354">
        <f>COUNT(RawMaterials[[#This Row],[Lab Quantity 1]:[Lab Quantity 4]])</f>
        <v>0</v>
      </c>
      <c r="X8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1" s="392" t="e">
        <f>RawMaterials[[#This Row],[Lab Price 1]]/RawMaterials[[#This Row],[Lab Q Model Units 1]]</f>
        <v>#N/A</v>
      </c>
      <c r="AC81" s="392" t="e">
        <f>RawMaterials[[#This Row],[Lab Price 2]]/RawMaterials[[#This Row],[Lab Q Model Units 2]]</f>
        <v>#N/A</v>
      </c>
      <c r="AD81" s="392" t="e">
        <f>RawMaterials[[#This Row],[Lab Price 3]]/RawMaterials[[#This Row],[Lab Q Model Units 3]]</f>
        <v>#N/A</v>
      </c>
      <c r="AE81" s="392" t="e">
        <f>RawMaterials[[#This Row],[Lab Price 4]]/RawMaterials[[#This Row],[Lab Q Model Units 4]]</f>
        <v>#N/A</v>
      </c>
      <c r="AF81" s="392" t="str">
        <f ca="1">IF(RawMaterials[[#This Row],[Lab Quote Count]]&gt;1,SLOPE(LOG(INDIRECT("RawMaterials[@[Lab Unit P 1]:[Lab Unit P "&amp;RawMaterials[[#This Row],[Lab Quote Count]]&amp;"]]")),LOG(INDIRECT("RawMaterials[@[Lab Q Model Units 1]:[Lab Q Model Units "&amp;RawMaterials[[#This Row],[Lab Quote Count]]&amp;"]]"))),"")</f>
        <v/>
      </c>
      <c r="AG81" s="392" t="str">
        <f ca="1">IF(RawMaterials[[#This Row],[Lab Quote Count]]&gt;1,INTERCEPT(LOG(INDIRECT("RawMaterials[@[Lab Unit P 1]:[Lab Unit P "&amp;RawMaterials[[#This Row],[Lab Quote Count]]&amp;"]]")),LOG(INDIRECT("RawMaterials[@[Lab Q Model Units 1]:[Lab Q Model Units "&amp;RawMaterials[[#This Row],[Lab Quote Count]]&amp;"]]"))),"")</f>
        <v/>
      </c>
      <c r="AH81" s="393" t="str">
        <f>IF(RawMaterials[[#This Row],[Material Type]]="Metal Precursor","D13",IF(RawMaterials[[#This Row],[Material Type]]="Ligand","D13","D12"))</f>
        <v>D12</v>
      </c>
      <c r="AI81" s="394" t="str">
        <f ca="1">IF(RawMaterials[[#This Row],[Lab Quote Count]]&gt;1,10^RawMaterials[[#This Row],[Lab Log-Log Intercept]]*INDIRECT(RawMaterials[[#This Row],[Basis Cell]])^RawMaterials[[#This Row],[Lab Log-Log Slope]],"&gt;&gt;&gt; Enter 2 or more lab quotes &lt;&lt;&lt;")</f>
        <v>&gt;&gt;&gt; Enter 2 or more lab quotes &lt;&lt;&lt;</v>
      </c>
      <c r="AJ8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0.41667367552941859</v>
      </c>
      <c r="AL81" s="396">
        <f>IF(ISTEXT(RawMaterials[[#This Row],[Unit price in quote year]]),"Check calcs",RawMaterials[[#This Row],[Unit price in quote year]]/VLOOKUP(RawMaterials[[#This Row],[Quote Year]],ChemPPI[],14,FALSE)*VLOOKUP(BasisYear,ChemPPI[],14,FALSE))</f>
        <v>0.56551594885115708</v>
      </c>
      <c r="AM81" s="397" t="str">
        <f t="shared" si="1"/>
        <v>$/kg (2016)</v>
      </c>
    </row>
    <row r="82" spans="1:39">
      <c r="A82" s="259" t="s">
        <v>1178</v>
      </c>
      <c r="B82" s="260"/>
      <c r="C82" s="351"/>
      <c r="D82" s="351"/>
      <c r="E82" s="260">
        <v>100</v>
      </c>
      <c r="F82" s="260"/>
      <c r="G82" s="351"/>
      <c r="H82" s="351"/>
      <c r="I82" s="262"/>
      <c r="J82" s="351"/>
      <c r="K82" s="351"/>
      <c r="L82" s="351"/>
      <c r="M82" s="351"/>
      <c r="N82" s="351"/>
      <c r="O82" s="351"/>
      <c r="P82" s="261">
        <v>426</v>
      </c>
      <c r="Q82" s="260">
        <v>1</v>
      </c>
      <c r="R82" s="260" t="s">
        <v>401</v>
      </c>
      <c r="S82" s="260">
        <v>2006</v>
      </c>
      <c r="T82" s="260" t="s">
        <v>161</v>
      </c>
      <c r="U82" s="386">
        <v>42653</v>
      </c>
      <c r="V82" s="387"/>
      <c r="W82" s="354">
        <f>COUNT(RawMaterials[[#This Row],[Lab Quantity 1]:[Lab Quantity 4]])</f>
        <v>0</v>
      </c>
      <c r="X8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2" s="392" t="e">
        <f>RawMaterials[[#This Row],[Lab Price 1]]/RawMaterials[[#This Row],[Lab Q Model Units 1]]</f>
        <v>#N/A</v>
      </c>
      <c r="AC82" s="392" t="e">
        <f>RawMaterials[[#This Row],[Lab Price 2]]/RawMaterials[[#This Row],[Lab Q Model Units 2]]</f>
        <v>#N/A</v>
      </c>
      <c r="AD82" s="392" t="e">
        <f>RawMaterials[[#This Row],[Lab Price 3]]/RawMaterials[[#This Row],[Lab Q Model Units 3]]</f>
        <v>#N/A</v>
      </c>
      <c r="AE82" s="392" t="e">
        <f>RawMaterials[[#This Row],[Lab Price 4]]/RawMaterials[[#This Row],[Lab Q Model Units 4]]</f>
        <v>#N/A</v>
      </c>
      <c r="AF82" s="392" t="str">
        <f ca="1">IF(RawMaterials[[#This Row],[Lab Quote Count]]&gt;1,SLOPE(LOG(INDIRECT("RawMaterials[@[Lab Unit P 1]:[Lab Unit P "&amp;RawMaterials[[#This Row],[Lab Quote Count]]&amp;"]]")),LOG(INDIRECT("RawMaterials[@[Lab Q Model Units 1]:[Lab Q Model Units "&amp;RawMaterials[[#This Row],[Lab Quote Count]]&amp;"]]"))),"")</f>
        <v/>
      </c>
      <c r="AG82" s="392" t="str">
        <f ca="1">IF(RawMaterials[[#This Row],[Lab Quote Count]]&gt;1,INTERCEPT(LOG(INDIRECT("RawMaterials[@[Lab Unit P 1]:[Lab Unit P "&amp;RawMaterials[[#This Row],[Lab Quote Count]]&amp;"]]")),LOG(INDIRECT("RawMaterials[@[Lab Q Model Units 1]:[Lab Q Model Units "&amp;RawMaterials[[#This Row],[Lab Quote Count]]&amp;"]]"))),"")</f>
        <v/>
      </c>
      <c r="AH82" s="393" t="str">
        <f>IF(RawMaterials[[#This Row],[Material Type]]="Metal Precursor","D13",IF(RawMaterials[[#This Row],[Material Type]]="Ligand","D13","D12"))</f>
        <v>D12</v>
      </c>
      <c r="AI82" s="394" t="str">
        <f ca="1">IF(RawMaterials[[#This Row],[Lab Quote Count]]&gt;1,10^RawMaterials[[#This Row],[Lab Log-Log Intercept]]*INDIRECT(RawMaterials[[#This Row],[Basis Cell]])^RawMaterials[[#This Row],[Lab Log-Log Slope]],"&gt;&gt;&gt; Enter 2 or more lab quotes &lt;&lt;&lt;")</f>
        <v>&gt;&gt;&gt; Enter 2 or more lab quotes &lt;&lt;&lt;</v>
      </c>
      <c r="AJ8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0.46958461845378924</v>
      </c>
      <c r="AL82" s="396">
        <f>IF(ISTEXT(RawMaterials[[#This Row],[Unit price in quote year]]),"Check calcs",RawMaterials[[#This Row],[Unit price in quote year]]/VLOOKUP(RawMaterials[[#This Row],[Quote Year]],ChemPPI[],14,FALSE)*VLOOKUP(BasisYear,ChemPPI[],14,FALSE))</f>
        <v>0.63732749791162158</v>
      </c>
      <c r="AM82" s="397" t="str">
        <f t="shared" si="1"/>
        <v>$/kg (2016)</v>
      </c>
    </row>
    <row r="83" spans="1:39">
      <c r="A83" s="259" t="s">
        <v>1179</v>
      </c>
      <c r="B83" s="260"/>
      <c r="C83" s="351"/>
      <c r="D83" s="351"/>
      <c r="E83" s="260">
        <v>100</v>
      </c>
      <c r="F83" s="260"/>
      <c r="G83" s="351"/>
      <c r="H83" s="351"/>
      <c r="I83" s="262"/>
      <c r="J83" s="351"/>
      <c r="K83" s="351"/>
      <c r="L83" s="351"/>
      <c r="M83" s="351"/>
      <c r="N83" s="351"/>
      <c r="O83" s="351"/>
      <c r="P83" s="261">
        <v>917.5</v>
      </c>
      <c r="Q83" s="260">
        <v>1</v>
      </c>
      <c r="R83" s="260" t="s">
        <v>1112</v>
      </c>
      <c r="S83" s="260">
        <v>2006</v>
      </c>
      <c r="T83" s="260" t="s">
        <v>161</v>
      </c>
      <c r="U83" s="386">
        <v>42653</v>
      </c>
      <c r="V83" s="387"/>
      <c r="W83" s="354">
        <f>COUNT(RawMaterials[[#This Row],[Lab Quantity 1]:[Lab Quantity 4]])</f>
        <v>0</v>
      </c>
      <c r="X8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3" s="392" t="e">
        <f>RawMaterials[[#This Row],[Lab Price 1]]/RawMaterials[[#This Row],[Lab Q Model Units 1]]</f>
        <v>#N/A</v>
      </c>
      <c r="AC83" s="392" t="e">
        <f>RawMaterials[[#This Row],[Lab Price 2]]/RawMaterials[[#This Row],[Lab Q Model Units 2]]</f>
        <v>#N/A</v>
      </c>
      <c r="AD83" s="392" t="e">
        <f>RawMaterials[[#This Row],[Lab Price 3]]/RawMaterials[[#This Row],[Lab Q Model Units 3]]</f>
        <v>#N/A</v>
      </c>
      <c r="AE83" s="392" t="e">
        <f>RawMaterials[[#This Row],[Lab Price 4]]/RawMaterials[[#This Row],[Lab Q Model Units 4]]</f>
        <v>#N/A</v>
      </c>
      <c r="AF83" s="392" t="str">
        <f ca="1">IF(RawMaterials[[#This Row],[Lab Quote Count]]&gt;1,SLOPE(LOG(INDIRECT("RawMaterials[@[Lab Unit P 1]:[Lab Unit P "&amp;RawMaterials[[#This Row],[Lab Quote Count]]&amp;"]]")),LOG(INDIRECT("RawMaterials[@[Lab Q Model Units 1]:[Lab Q Model Units "&amp;RawMaterials[[#This Row],[Lab Quote Count]]&amp;"]]"))),"")</f>
        <v/>
      </c>
      <c r="AG83" s="392" t="str">
        <f ca="1">IF(RawMaterials[[#This Row],[Lab Quote Count]]&gt;1,INTERCEPT(LOG(INDIRECT("RawMaterials[@[Lab Unit P 1]:[Lab Unit P "&amp;RawMaterials[[#This Row],[Lab Quote Count]]&amp;"]]")),LOG(INDIRECT("RawMaterials[@[Lab Q Model Units 1]:[Lab Q Model Units "&amp;RawMaterials[[#This Row],[Lab Quote Count]]&amp;"]]"))),"")</f>
        <v/>
      </c>
      <c r="AH83" s="393" t="str">
        <f>IF(RawMaterials[[#This Row],[Material Type]]="Metal Precursor","D13",IF(RawMaterials[[#This Row],[Material Type]]="Ligand","D13","D12"))</f>
        <v>D12</v>
      </c>
      <c r="AI83" s="394" t="str">
        <f ca="1">IF(RawMaterials[[#This Row],[Lab Quote Count]]&gt;1,10^RawMaterials[[#This Row],[Lab Log-Log Intercept]]*INDIRECT(RawMaterials[[#This Row],[Basis Cell]])^RawMaterials[[#This Row],[Lab Log-Log Slope]],"&gt;&gt;&gt; Enter 2 or more lab quotes &lt;&lt;&lt;")</f>
        <v>&gt;&gt;&gt; Enter 2 or more lab quotes &lt;&lt;&lt;</v>
      </c>
      <c r="AJ8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8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0.91749999999999998</v>
      </c>
      <c r="AL83" s="396">
        <f>IF(ISTEXT(RawMaterials[[#This Row],[Unit price in quote year]]),"Check calcs",RawMaterials[[#This Row],[Unit price in quote year]]/VLOOKUP(RawMaterials[[#This Row],[Quote Year]],ChemPPI[],14,FALSE)*VLOOKUP(BasisYear,ChemPPI[],14,FALSE))</f>
        <v>1.2452451727642277</v>
      </c>
      <c r="AM83" s="397" t="str">
        <f t="shared" si="1"/>
        <v>$/kg (2016)</v>
      </c>
    </row>
    <row r="84" spans="1:39">
      <c r="A84" s="259" t="s">
        <v>1180</v>
      </c>
      <c r="B84" s="260"/>
      <c r="C84" s="351"/>
      <c r="D84" s="351"/>
      <c r="E84" s="260">
        <v>100</v>
      </c>
      <c r="F84" s="260"/>
      <c r="G84" s="351"/>
      <c r="H84" s="351"/>
      <c r="I84" s="262"/>
      <c r="J84" s="351"/>
      <c r="K84" s="351"/>
      <c r="L84" s="351"/>
      <c r="M84" s="351"/>
      <c r="N84" s="351"/>
      <c r="O84" s="351"/>
      <c r="P84" s="261">
        <v>836</v>
      </c>
      <c r="Q84" s="260">
        <v>1</v>
      </c>
      <c r="R84" s="260" t="s">
        <v>401</v>
      </c>
      <c r="S84" s="260">
        <v>2006</v>
      </c>
      <c r="T84" s="260" t="s">
        <v>161</v>
      </c>
      <c r="U84" s="386">
        <v>42653</v>
      </c>
      <c r="V84" s="387"/>
      <c r="W84" s="354">
        <f>COUNT(RawMaterials[[#This Row],[Lab Quantity 1]:[Lab Quantity 4]])</f>
        <v>0</v>
      </c>
      <c r="X8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4" s="392" t="e">
        <f>RawMaterials[[#This Row],[Lab Price 1]]/RawMaterials[[#This Row],[Lab Q Model Units 1]]</f>
        <v>#N/A</v>
      </c>
      <c r="AC84" s="392" t="e">
        <f>RawMaterials[[#This Row],[Lab Price 2]]/RawMaterials[[#This Row],[Lab Q Model Units 2]]</f>
        <v>#N/A</v>
      </c>
      <c r="AD84" s="392" t="e">
        <f>RawMaterials[[#This Row],[Lab Price 3]]/RawMaterials[[#This Row],[Lab Q Model Units 3]]</f>
        <v>#N/A</v>
      </c>
      <c r="AE84" s="392" t="e">
        <f>RawMaterials[[#This Row],[Lab Price 4]]/RawMaterials[[#This Row],[Lab Q Model Units 4]]</f>
        <v>#N/A</v>
      </c>
      <c r="AF84" s="392" t="str">
        <f ca="1">IF(RawMaterials[[#This Row],[Lab Quote Count]]&gt;1,SLOPE(LOG(INDIRECT("RawMaterials[@[Lab Unit P 1]:[Lab Unit P "&amp;RawMaterials[[#This Row],[Lab Quote Count]]&amp;"]]")),LOG(INDIRECT("RawMaterials[@[Lab Q Model Units 1]:[Lab Q Model Units "&amp;RawMaterials[[#This Row],[Lab Quote Count]]&amp;"]]"))),"")</f>
        <v/>
      </c>
      <c r="AG84" s="392" t="str">
        <f ca="1">IF(RawMaterials[[#This Row],[Lab Quote Count]]&gt;1,INTERCEPT(LOG(INDIRECT("RawMaterials[@[Lab Unit P 1]:[Lab Unit P "&amp;RawMaterials[[#This Row],[Lab Quote Count]]&amp;"]]")),LOG(INDIRECT("RawMaterials[@[Lab Q Model Units 1]:[Lab Q Model Units "&amp;RawMaterials[[#This Row],[Lab Quote Count]]&amp;"]]"))),"")</f>
        <v/>
      </c>
      <c r="AH84" s="393" t="str">
        <f>IF(RawMaterials[[#This Row],[Material Type]]="Metal Precursor","D13",IF(RawMaterials[[#This Row],[Material Type]]="Ligand","D13","D12"))</f>
        <v>D12</v>
      </c>
      <c r="AI84" s="394" t="str">
        <f ca="1">IF(RawMaterials[[#This Row],[Lab Quote Count]]&gt;1,10^RawMaterials[[#This Row],[Lab Log-Log Intercept]]*INDIRECT(RawMaterials[[#This Row],[Basis Cell]])^RawMaterials[[#This Row],[Lab Log-Log Slope]],"&gt;&gt;&gt; Enter 2 or more lab quotes &lt;&lt;&lt;")</f>
        <v>&gt;&gt;&gt; Enter 2 or more lab quotes &lt;&lt;&lt;</v>
      </c>
      <c r="AJ8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0.9215322559327882</v>
      </c>
      <c r="AL84" s="396">
        <f>IF(ISTEXT(RawMaterials[[#This Row],[Unit price in quote year]]),"Check calcs",RawMaterials[[#This Row],[Unit price in quote year]]/VLOOKUP(RawMaterials[[#This Row],[Quote Year]],ChemPPI[],14,FALSE)*VLOOKUP(BasisYear,ChemPPI[],14,FALSE))</f>
        <v>1.2507178128030882</v>
      </c>
      <c r="AM84" s="397" t="str">
        <f t="shared" si="1"/>
        <v>$/kg (2016)</v>
      </c>
    </row>
    <row r="85" spans="1:39">
      <c r="A85" s="259" t="s">
        <v>1181</v>
      </c>
      <c r="B85" s="260"/>
      <c r="C85" s="351"/>
      <c r="D85" s="351"/>
      <c r="E85" s="260">
        <v>100</v>
      </c>
      <c r="F85" s="260"/>
      <c r="G85" s="351"/>
      <c r="H85" s="351"/>
      <c r="I85" s="262"/>
      <c r="J85" s="351"/>
      <c r="K85" s="351"/>
      <c r="L85" s="351"/>
      <c r="M85" s="351"/>
      <c r="N85" s="351"/>
      <c r="O85" s="351"/>
      <c r="P85" s="261">
        <v>0.64</v>
      </c>
      <c r="Q85" s="260">
        <v>1</v>
      </c>
      <c r="R85" s="260" t="s">
        <v>20</v>
      </c>
      <c r="S85" s="260">
        <v>2006</v>
      </c>
      <c r="T85" s="260" t="s">
        <v>161</v>
      </c>
      <c r="U85" s="386">
        <v>42653</v>
      </c>
      <c r="V85" s="387"/>
      <c r="W85" s="354">
        <f>COUNT(RawMaterials[[#This Row],[Lab Quantity 1]:[Lab Quantity 4]])</f>
        <v>0</v>
      </c>
      <c r="X8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5" s="392" t="e">
        <f>RawMaterials[[#This Row],[Lab Price 1]]/RawMaterials[[#This Row],[Lab Q Model Units 1]]</f>
        <v>#N/A</v>
      </c>
      <c r="AC85" s="392" t="e">
        <f>RawMaterials[[#This Row],[Lab Price 2]]/RawMaterials[[#This Row],[Lab Q Model Units 2]]</f>
        <v>#N/A</v>
      </c>
      <c r="AD85" s="392" t="e">
        <f>RawMaterials[[#This Row],[Lab Price 3]]/RawMaterials[[#This Row],[Lab Q Model Units 3]]</f>
        <v>#N/A</v>
      </c>
      <c r="AE85" s="392" t="e">
        <f>RawMaterials[[#This Row],[Lab Price 4]]/RawMaterials[[#This Row],[Lab Q Model Units 4]]</f>
        <v>#N/A</v>
      </c>
      <c r="AF85" s="392" t="str">
        <f ca="1">IF(RawMaterials[[#This Row],[Lab Quote Count]]&gt;1,SLOPE(LOG(INDIRECT("RawMaterials[@[Lab Unit P 1]:[Lab Unit P "&amp;RawMaterials[[#This Row],[Lab Quote Count]]&amp;"]]")),LOG(INDIRECT("RawMaterials[@[Lab Q Model Units 1]:[Lab Q Model Units "&amp;RawMaterials[[#This Row],[Lab Quote Count]]&amp;"]]"))),"")</f>
        <v/>
      </c>
      <c r="AG85" s="392" t="str">
        <f ca="1">IF(RawMaterials[[#This Row],[Lab Quote Count]]&gt;1,INTERCEPT(LOG(INDIRECT("RawMaterials[@[Lab Unit P 1]:[Lab Unit P "&amp;RawMaterials[[#This Row],[Lab Quote Count]]&amp;"]]")),LOG(INDIRECT("RawMaterials[@[Lab Q Model Units 1]:[Lab Q Model Units "&amp;RawMaterials[[#This Row],[Lab Quote Count]]&amp;"]]"))),"")</f>
        <v/>
      </c>
      <c r="AH85" s="393" t="str">
        <f>IF(RawMaterials[[#This Row],[Material Type]]="Metal Precursor","D13",IF(RawMaterials[[#This Row],[Material Type]]="Ligand","D13","D12"))</f>
        <v>D12</v>
      </c>
      <c r="AI85" s="394" t="str">
        <f ca="1">IF(RawMaterials[[#This Row],[Lab Quote Count]]&gt;1,10^RawMaterials[[#This Row],[Lab Log-Log Intercept]]*INDIRECT(RawMaterials[[#This Row],[Basis Cell]])^RawMaterials[[#This Row],[Lab Log-Log Slope]],"&gt;&gt;&gt; Enter 2 or more lab quotes &lt;&lt;&lt;")</f>
        <v>&gt;&gt;&gt; Enter 2 or more lab quotes &lt;&lt;&lt;</v>
      </c>
      <c r="AJ8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1.4109584779832165</v>
      </c>
      <c r="AL85" s="396">
        <f>IF(ISTEXT(RawMaterials[[#This Row],[Unit price in quote year]]),"Check calcs",RawMaterials[[#This Row],[Unit price in quote year]]/VLOOKUP(RawMaterials[[#This Row],[Quote Year]],ChemPPI[],14,FALSE)*VLOOKUP(BasisYear,ChemPPI[],14,FALSE))</f>
        <v>1.9149746416123841</v>
      </c>
      <c r="AM85" s="397" t="str">
        <f t="shared" si="1"/>
        <v>$/kg (2016)</v>
      </c>
    </row>
    <row r="86" spans="1:39">
      <c r="A86" s="259" t="s">
        <v>1182</v>
      </c>
      <c r="B86" s="260"/>
      <c r="C86" s="351"/>
      <c r="D86" s="351"/>
      <c r="E86" s="260">
        <v>100</v>
      </c>
      <c r="F86" s="260"/>
      <c r="G86" s="351"/>
      <c r="H86" s="351"/>
      <c r="I86" s="262"/>
      <c r="J86" s="351"/>
      <c r="K86" s="351"/>
      <c r="L86" s="351"/>
      <c r="M86" s="351"/>
      <c r="N86" s="351"/>
      <c r="O86" s="351"/>
      <c r="P86" s="261">
        <v>0.84499999999999997</v>
      </c>
      <c r="Q86" s="260">
        <v>1</v>
      </c>
      <c r="R86" s="260" t="s">
        <v>20</v>
      </c>
      <c r="S86" s="260">
        <v>2008</v>
      </c>
      <c r="T86" s="260" t="s">
        <v>161</v>
      </c>
      <c r="U86" s="386">
        <v>42653</v>
      </c>
      <c r="V86" s="387"/>
      <c r="W86" s="354">
        <f>COUNT(RawMaterials[[#This Row],[Lab Quantity 1]:[Lab Quantity 4]])</f>
        <v>0</v>
      </c>
      <c r="X8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6" s="392" t="e">
        <f>RawMaterials[[#This Row],[Lab Price 1]]/RawMaterials[[#This Row],[Lab Q Model Units 1]]</f>
        <v>#N/A</v>
      </c>
      <c r="AC86" s="392" t="e">
        <f>RawMaterials[[#This Row],[Lab Price 2]]/RawMaterials[[#This Row],[Lab Q Model Units 2]]</f>
        <v>#N/A</v>
      </c>
      <c r="AD86" s="392" t="e">
        <f>RawMaterials[[#This Row],[Lab Price 3]]/RawMaterials[[#This Row],[Lab Q Model Units 3]]</f>
        <v>#N/A</v>
      </c>
      <c r="AE86" s="392" t="e">
        <f>RawMaterials[[#This Row],[Lab Price 4]]/RawMaterials[[#This Row],[Lab Q Model Units 4]]</f>
        <v>#N/A</v>
      </c>
      <c r="AF86" s="392" t="str">
        <f ca="1">IF(RawMaterials[[#This Row],[Lab Quote Count]]&gt;1,SLOPE(LOG(INDIRECT("RawMaterials[@[Lab Unit P 1]:[Lab Unit P "&amp;RawMaterials[[#This Row],[Lab Quote Count]]&amp;"]]")),LOG(INDIRECT("RawMaterials[@[Lab Q Model Units 1]:[Lab Q Model Units "&amp;RawMaterials[[#This Row],[Lab Quote Count]]&amp;"]]"))),"")</f>
        <v/>
      </c>
      <c r="AG86" s="392" t="str">
        <f ca="1">IF(RawMaterials[[#This Row],[Lab Quote Count]]&gt;1,INTERCEPT(LOG(INDIRECT("RawMaterials[@[Lab Unit P 1]:[Lab Unit P "&amp;RawMaterials[[#This Row],[Lab Quote Count]]&amp;"]]")),LOG(INDIRECT("RawMaterials[@[Lab Q Model Units 1]:[Lab Q Model Units "&amp;RawMaterials[[#This Row],[Lab Quote Count]]&amp;"]]"))),"")</f>
        <v/>
      </c>
      <c r="AH86" s="393" t="str">
        <f>IF(RawMaterials[[#This Row],[Material Type]]="Metal Precursor","D13",IF(RawMaterials[[#This Row],[Material Type]]="Ligand","D13","D12"))</f>
        <v>D12</v>
      </c>
      <c r="AI86" s="394" t="str">
        <f ca="1">IF(RawMaterials[[#This Row],[Lab Quote Count]]&gt;1,10^RawMaterials[[#This Row],[Lab Log-Log Intercept]]*INDIRECT(RawMaterials[[#This Row],[Basis Cell]])^RawMaterials[[#This Row],[Lab Log-Log Slope]],"&gt;&gt;&gt; Enter 2 or more lab quotes &lt;&lt;&lt;")</f>
        <v>&gt;&gt;&gt; Enter 2 or more lab quotes &lt;&lt;&lt;</v>
      </c>
      <c r="AJ8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1.8629061154622153</v>
      </c>
      <c r="AL86" s="396">
        <f>IF(ISTEXT(RawMaterials[[#This Row],[Unit price in quote year]]),"Check calcs",RawMaterials[[#This Row],[Unit price in quote year]]/VLOOKUP(RawMaterials[[#This Row],[Quote Year]],ChemPPI[],14,FALSE)*VLOOKUP(BasisYear,ChemPPI[],14,FALSE))</f>
        <v>2.1803858613399645</v>
      </c>
      <c r="AM86" s="397" t="str">
        <f t="shared" si="1"/>
        <v>$/kg (2016)</v>
      </c>
    </row>
    <row r="87" spans="1:39">
      <c r="A87" s="259" t="s">
        <v>1183</v>
      </c>
      <c r="B87" s="260"/>
      <c r="C87" s="351"/>
      <c r="D87" s="351"/>
      <c r="E87" s="260">
        <v>100</v>
      </c>
      <c r="F87" s="260"/>
      <c r="G87" s="351"/>
      <c r="H87" s="351"/>
      <c r="I87" s="262"/>
      <c r="J87" s="351"/>
      <c r="K87" s="351"/>
      <c r="L87" s="351"/>
      <c r="M87" s="351"/>
      <c r="N87" s="351"/>
      <c r="O87" s="351"/>
      <c r="P87" s="261">
        <v>0.54</v>
      </c>
      <c r="Q87" s="260">
        <v>1</v>
      </c>
      <c r="R87" s="260" t="s">
        <v>20</v>
      </c>
      <c r="S87" s="260">
        <v>2008</v>
      </c>
      <c r="T87" s="260" t="s">
        <v>161</v>
      </c>
      <c r="U87" s="386">
        <v>42653</v>
      </c>
      <c r="V87" s="387"/>
      <c r="W87" s="354">
        <f>COUNT(RawMaterials[[#This Row],[Lab Quantity 1]:[Lab Quantity 4]])</f>
        <v>0</v>
      </c>
      <c r="X8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7" s="392" t="e">
        <f>RawMaterials[[#This Row],[Lab Price 1]]/RawMaterials[[#This Row],[Lab Q Model Units 1]]</f>
        <v>#N/A</v>
      </c>
      <c r="AC87" s="392" t="e">
        <f>RawMaterials[[#This Row],[Lab Price 2]]/RawMaterials[[#This Row],[Lab Q Model Units 2]]</f>
        <v>#N/A</v>
      </c>
      <c r="AD87" s="392" t="e">
        <f>RawMaterials[[#This Row],[Lab Price 3]]/RawMaterials[[#This Row],[Lab Q Model Units 3]]</f>
        <v>#N/A</v>
      </c>
      <c r="AE87" s="392" t="e">
        <f>RawMaterials[[#This Row],[Lab Price 4]]/RawMaterials[[#This Row],[Lab Q Model Units 4]]</f>
        <v>#N/A</v>
      </c>
      <c r="AF87" s="392" t="str">
        <f ca="1">IF(RawMaterials[[#This Row],[Lab Quote Count]]&gt;1,SLOPE(LOG(INDIRECT("RawMaterials[@[Lab Unit P 1]:[Lab Unit P "&amp;RawMaterials[[#This Row],[Lab Quote Count]]&amp;"]]")),LOG(INDIRECT("RawMaterials[@[Lab Q Model Units 1]:[Lab Q Model Units "&amp;RawMaterials[[#This Row],[Lab Quote Count]]&amp;"]]"))),"")</f>
        <v/>
      </c>
      <c r="AG87" s="392" t="str">
        <f ca="1">IF(RawMaterials[[#This Row],[Lab Quote Count]]&gt;1,INTERCEPT(LOG(INDIRECT("RawMaterials[@[Lab Unit P 1]:[Lab Unit P "&amp;RawMaterials[[#This Row],[Lab Quote Count]]&amp;"]]")),LOG(INDIRECT("RawMaterials[@[Lab Q Model Units 1]:[Lab Q Model Units "&amp;RawMaterials[[#This Row],[Lab Quote Count]]&amp;"]]"))),"")</f>
        <v/>
      </c>
      <c r="AH87" s="393" t="str">
        <f>IF(RawMaterials[[#This Row],[Material Type]]="Metal Precursor","D13",IF(RawMaterials[[#This Row],[Material Type]]="Ligand","D13","D12"))</f>
        <v>D12</v>
      </c>
      <c r="AI87" s="394" t="str">
        <f ca="1">IF(RawMaterials[[#This Row],[Lab Quote Count]]&gt;1,10^RawMaterials[[#This Row],[Lab Log-Log Intercept]]*INDIRECT(RawMaterials[[#This Row],[Basis Cell]])^RawMaterials[[#This Row],[Lab Log-Log Slope]],"&gt;&gt;&gt; Enter 2 or more lab quotes &lt;&lt;&lt;")</f>
        <v>&gt;&gt;&gt; Enter 2 or more lab quotes &lt;&lt;&lt;</v>
      </c>
      <c r="AJ8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1.190496215798339</v>
      </c>
      <c r="AL87" s="396">
        <f>IF(ISTEXT(RawMaterials[[#This Row],[Unit price in quote year]]),"Check calcs",RawMaterials[[#This Row],[Unit price in quote year]]/VLOOKUP(RawMaterials[[#This Row],[Quote Year]],ChemPPI[],14,FALSE)*VLOOKUP(BasisYear,ChemPPI[],14,FALSE))</f>
        <v>1.3933826806196226</v>
      </c>
      <c r="AM87" s="397" t="str">
        <f t="shared" si="1"/>
        <v>$/kg (2016)</v>
      </c>
    </row>
    <row r="88" spans="1:39">
      <c r="A88" s="259" t="s">
        <v>1184</v>
      </c>
      <c r="B88" s="260"/>
      <c r="C88" s="351"/>
      <c r="D88" s="351"/>
      <c r="E88" s="260">
        <v>100</v>
      </c>
      <c r="F88" s="260"/>
      <c r="G88" s="351"/>
      <c r="H88" s="351"/>
      <c r="I88" s="262"/>
      <c r="J88" s="351"/>
      <c r="K88" s="351"/>
      <c r="L88" s="351"/>
      <c r="M88" s="351"/>
      <c r="N88" s="351"/>
      <c r="O88" s="351"/>
      <c r="P88" s="261">
        <v>0.98</v>
      </c>
      <c r="Q88" s="260">
        <v>1</v>
      </c>
      <c r="R88" s="260" t="s">
        <v>20</v>
      </c>
      <c r="S88" s="260">
        <v>2008</v>
      </c>
      <c r="T88" s="260" t="s">
        <v>161</v>
      </c>
      <c r="U88" s="386">
        <v>42653</v>
      </c>
      <c r="V88" s="387"/>
      <c r="W88" s="354">
        <f>COUNT(RawMaterials[[#This Row],[Lab Quantity 1]:[Lab Quantity 4]])</f>
        <v>0</v>
      </c>
      <c r="X8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8" s="392" t="e">
        <f>RawMaterials[[#This Row],[Lab Price 1]]/RawMaterials[[#This Row],[Lab Q Model Units 1]]</f>
        <v>#N/A</v>
      </c>
      <c r="AC88" s="392" t="e">
        <f>RawMaterials[[#This Row],[Lab Price 2]]/RawMaterials[[#This Row],[Lab Q Model Units 2]]</f>
        <v>#N/A</v>
      </c>
      <c r="AD88" s="392" t="e">
        <f>RawMaterials[[#This Row],[Lab Price 3]]/RawMaterials[[#This Row],[Lab Q Model Units 3]]</f>
        <v>#N/A</v>
      </c>
      <c r="AE88" s="392" t="e">
        <f>RawMaterials[[#This Row],[Lab Price 4]]/RawMaterials[[#This Row],[Lab Q Model Units 4]]</f>
        <v>#N/A</v>
      </c>
      <c r="AF88" s="392" t="str">
        <f ca="1">IF(RawMaterials[[#This Row],[Lab Quote Count]]&gt;1,SLOPE(LOG(INDIRECT("RawMaterials[@[Lab Unit P 1]:[Lab Unit P "&amp;RawMaterials[[#This Row],[Lab Quote Count]]&amp;"]]")),LOG(INDIRECT("RawMaterials[@[Lab Q Model Units 1]:[Lab Q Model Units "&amp;RawMaterials[[#This Row],[Lab Quote Count]]&amp;"]]"))),"")</f>
        <v/>
      </c>
      <c r="AG88" s="392" t="str">
        <f ca="1">IF(RawMaterials[[#This Row],[Lab Quote Count]]&gt;1,INTERCEPT(LOG(INDIRECT("RawMaterials[@[Lab Unit P 1]:[Lab Unit P "&amp;RawMaterials[[#This Row],[Lab Quote Count]]&amp;"]]")),LOG(INDIRECT("RawMaterials[@[Lab Q Model Units 1]:[Lab Q Model Units "&amp;RawMaterials[[#This Row],[Lab Quote Count]]&amp;"]]"))),"")</f>
        <v/>
      </c>
      <c r="AH88" s="393" t="str">
        <f>IF(RawMaterials[[#This Row],[Material Type]]="Metal Precursor","D13",IF(RawMaterials[[#This Row],[Material Type]]="Ligand","D13","D12"))</f>
        <v>D12</v>
      </c>
      <c r="AI88" s="394" t="str">
        <f ca="1">IF(RawMaterials[[#This Row],[Lab Quote Count]]&gt;1,10^RawMaterials[[#This Row],[Lab Log-Log Intercept]]*INDIRECT(RawMaterials[[#This Row],[Basis Cell]])^RawMaterials[[#This Row],[Lab Log-Log Slope]],"&gt;&gt;&gt; Enter 2 or more lab quotes &lt;&lt;&lt;")</f>
        <v>&gt;&gt;&gt; Enter 2 or more lab quotes &lt;&lt;&lt;</v>
      </c>
      <c r="AJ8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2.1605301694118002</v>
      </c>
      <c r="AL88" s="396">
        <f>IF(ISTEXT(RawMaterials[[#This Row],[Unit price in quote year]]),"Check calcs",RawMaterials[[#This Row],[Unit price in quote year]]/VLOOKUP(RawMaterials[[#This Row],[Quote Year]],ChemPPI[],14,FALSE)*VLOOKUP(BasisYear,ChemPPI[],14,FALSE))</f>
        <v>2.5287315314948704</v>
      </c>
      <c r="AM88" s="397" t="str">
        <f t="shared" si="1"/>
        <v>$/kg (2016)</v>
      </c>
    </row>
    <row r="89" spans="1:39">
      <c r="A89" s="259" t="s">
        <v>1185</v>
      </c>
      <c r="B89" s="260"/>
      <c r="C89" s="351"/>
      <c r="D89" s="351"/>
      <c r="E89" s="260">
        <v>100</v>
      </c>
      <c r="F89" s="260"/>
      <c r="G89" s="351"/>
      <c r="H89" s="351"/>
      <c r="I89" s="262"/>
      <c r="J89" s="351"/>
      <c r="K89" s="351"/>
      <c r="L89" s="351"/>
      <c r="M89" s="351"/>
      <c r="N89" s="351"/>
      <c r="O89" s="351"/>
      <c r="P89" s="261">
        <v>0.34</v>
      </c>
      <c r="Q89" s="260">
        <v>1</v>
      </c>
      <c r="R89" s="260" t="s">
        <v>20</v>
      </c>
      <c r="S89" s="260">
        <v>2006</v>
      </c>
      <c r="T89" s="260" t="s">
        <v>161</v>
      </c>
      <c r="U89" s="386">
        <v>42653</v>
      </c>
      <c r="V89" s="387"/>
      <c r="W89" s="354">
        <f>COUNT(RawMaterials[[#This Row],[Lab Quantity 1]:[Lab Quantity 4]])</f>
        <v>0</v>
      </c>
      <c r="X8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9" s="392" t="e">
        <f>RawMaterials[[#This Row],[Lab Price 1]]/RawMaterials[[#This Row],[Lab Q Model Units 1]]</f>
        <v>#N/A</v>
      </c>
      <c r="AC89" s="392" t="e">
        <f>RawMaterials[[#This Row],[Lab Price 2]]/RawMaterials[[#This Row],[Lab Q Model Units 2]]</f>
        <v>#N/A</v>
      </c>
      <c r="AD89" s="392" t="e">
        <f>RawMaterials[[#This Row],[Lab Price 3]]/RawMaterials[[#This Row],[Lab Q Model Units 3]]</f>
        <v>#N/A</v>
      </c>
      <c r="AE89" s="392" t="e">
        <f>RawMaterials[[#This Row],[Lab Price 4]]/RawMaterials[[#This Row],[Lab Q Model Units 4]]</f>
        <v>#N/A</v>
      </c>
      <c r="AF89" s="392" t="str">
        <f ca="1">IF(RawMaterials[[#This Row],[Lab Quote Count]]&gt;1,SLOPE(LOG(INDIRECT("RawMaterials[@[Lab Unit P 1]:[Lab Unit P "&amp;RawMaterials[[#This Row],[Lab Quote Count]]&amp;"]]")),LOG(INDIRECT("RawMaterials[@[Lab Q Model Units 1]:[Lab Q Model Units "&amp;RawMaterials[[#This Row],[Lab Quote Count]]&amp;"]]"))),"")</f>
        <v/>
      </c>
      <c r="AG89" s="392" t="str">
        <f ca="1">IF(RawMaterials[[#This Row],[Lab Quote Count]]&gt;1,INTERCEPT(LOG(INDIRECT("RawMaterials[@[Lab Unit P 1]:[Lab Unit P "&amp;RawMaterials[[#This Row],[Lab Quote Count]]&amp;"]]")),LOG(INDIRECT("RawMaterials[@[Lab Q Model Units 1]:[Lab Q Model Units "&amp;RawMaterials[[#This Row],[Lab Quote Count]]&amp;"]]"))),"")</f>
        <v/>
      </c>
      <c r="AH89" s="393" t="str">
        <f>IF(RawMaterials[[#This Row],[Material Type]]="Metal Precursor","D13",IF(RawMaterials[[#This Row],[Material Type]]="Ligand","D13","D12"))</f>
        <v>D12</v>
      </c>
      <c r="AI89" s="394" t="str">
        <f ca="1">IF(RawMaterials[[#This Row],[Lab Quote Count]]&gt;1,10^RawMaterials[[#This Row],[Lab Log-Log Intercept]]*INDIRECT(RawMaterials[[#This Row],[Basis Cell]])^RawMaterials[[#This Row],[Lab Log-Log Slope]],"&gt;&gt;&gt; Enter 2 or more lab quotes &lt;&lt;&lt;")</f>
        <v>&gt;&gt;&gt; Enter 2 or more lab quotes &lt;&lt;&lt;</v>
      </c>
      <c r="AJ8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0.74957169142858382</v>
      </c>
      <c r="AL89" s="396">
        <f>IF(ISTEXT(RawMaterials[[#This Row],[Unit price in quote year]]),"Check calcs",RawMaterials[[#This Row],[Unit price in quote year]]/VLOOKUP(RawMaterials[[#This Row],[Quote Year]],ChemPPI[],14,FALSE)*VLOOKUP(BasisYear,ChemPPI[],14,FALSE))</f>
        <v>1.0173302783565792</v>
      </c>
      <c r="AM89" s="397" t="str">
        <f t="shared" si="1"/>
        <v>$/kg (2016)</v>
      </c>
    </row>
    <row r="90" spans="1:39">
      <c r="A90" s="259" t="s">
        <v>1186</v>
      </c>
      <c r="B90" s="260"/>
      <c r="C90" s="351"/>
      <c r="D90" s="351"/>
      <c r="E90" s="260">
        <v>100</v>
      </c>
      <c r="F90" s="260"/>
      <c r="G90" s="351"/>
      <c r="H90" s="351"/>
      <c r="I90" s="262"/>
      <c r="J90" s="351"/>
      <c r="K90" s="351"/>
      <c r="L90" s="351"/>
      <c r="M90" s="351"/>
      <c r="N90" s="351"/>
      <c r="O90" s="351"/>
      <c r="P90" s="261">
        <v>0.81</v>
      </c>
      <c r="Q90" s="260">
        <v>1</v>
      </c>
      <c r="R90" s="260" t="s">
        <v>20</v>
      </c>
      <c r="S90" s="260">
        <v>2008</v>
      </c>
      <c r="T90" s="260" t="s">
        <v>161</v>
      </c>
      <c r="U90" s="386">
        <v>42653</v>
      </c>
      <c r="V90" s="387"/>
      <c r="W90" s="354">
        <f>COUNT(RawMaterials[[#This Row],[Lab Quantity 1]:[Lab Quantity 4]])</f>
        <v>0</v>
      </c>
      <c r="X9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0" s="392" t="e">
        <f>RawMaterials[[#This Row],[Lab Price 1]]/RawMaterials[[#This Row],[Lab Q Model Units 1]]</f>
        <v>#N/A</v>
      </c>
      <c r="AC90" s="392" t="e">
        <f>RawMaterials[[#This Row],[Lab Price 2]]/RawMaterials[[#This Row],[Lab Q Model Units 2]]</f>
        <v>#N/A</v>
      </c>
      <c r="AD90" s="392" t="e">
        <f>RawMaterials[[#This Row],[Lab Price 3]]/RawMaterials[[#This Row],[Lab Q Model Units 3]]</f>
        <v>#N/A</v>
      </c>
      <c r="AE90" s="392" t="e">
        <f>RawMaterials[[#This Row],[Lab Price 4]]/RawMaterials[[#This Row],[Lab Q Model Units 4]]</f>
        <v>#N/A</v>
      </c>
      <c r="AF90" s="392" t="str">
        <f ca="1">IF(RawMaterials[[#This Row],[Lab Quote Count]]&gt;1,SLOPE(LOG(INDIRECT("RawMaterials[@[Lab Unit P 1]:[Lab Unit P "&amp;RawMaterials[[#This Row],[Lab Quote Count]]&amp;"]]")),LOG(INDIRECT("RawMaterials[@[Lab Q Model Units 1]:[Lab Q Model Units "&amp;RawMaterials[[#This Row],[Lab Quote Count]]&amp;"]]"))),"")</f>
        <v/>
      </c>
      <c r="AG90" s="392" t="str">
        <f ca="1">IF(RawMaterials[[#This Row],[Lab Quote Count]]&gt;1,INTERCEPT(LOG(INDIRECT("RawMaterials[@[Lab Unit P 1]:[Lab Unit P "&amp;RawMaterials[[#This Row],[Lab Quote Count]]&amp;"]]")),LOG(INDIRECT("RawMaterials[@[Lab Q Model Units 1]:[Lab Q Model Units "&amp;RawMaterials[[#This Row],[Lab Quote Count]]&amp;"]]"))),"")</f>
        <v/>
      </c>
      <c r="AH90" s="393" t="str">
        <f>IF(RawMaterials[[#This Row],[Material Type]]="Metal Precursor","D13",IF(RawMaterials[[#This Row],[Material Type]]="Ligand","D13","D12"))</f>
        <v>D12</v>
      </c>
      <c r="AI90" s="394" t="str">
        <f ca="1">IF(RawMaterials[[#This Row],[Lab Quote Count]]&gt;1,10^RawMaterials[[#This Row],[Lab Log-Log Intercept]]*INDIRECT(RawMaterials[[#This Row],[Basis Cell]])^RawMaterials[[#This Row],[Lab Log-Log Slope]],"&gt;&gt;&gt; Enter 2 or more lab quotes &lt;&lt;&lt;")</f>
        <v>&gt;&gt;&gt; Enter 2 or more lab quotes &lt;&lt;&lt;</v>
      </c>
      <c r="AJ9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1.7857443236975084</v>
      </c>
      <c r="AL90" s="396">
        <f>IF(ISTEXT(RawMaterials[[#This Row],[Unit price in quote year]]),"Check calcs",RawMaterials[[#This Row],[Unit price in quote year]]/VLOOKUP(RawMaterials[[#This Row],[Quote Year]],ChemPPI[],14,FALSE)*VLOOKUP(BasisYear,ChemPPI[],14,FALSE))</f>
        <v>2.0900740209294337</v>
      </c>
      <c r="AM90" s="397" t="str">
        <f t="shared" si="1"/>
        <v>$/kg (2016)</v>
      </c>
    </row>
    <row r="91" spans="1:39">
      <c r="A91" s="259" t="s">
        <v>1187</v>
      </c>
      <c r="B91" s="260"/>
      <c r="C91" s="351"/>
      <c r="D91" s="351"/>
      <c r="E91" s="260">
        <v>100</v>
      </c>
      <c r="F91" s="260"/>
      <c r="G91" s="351"/>
      <c r="H91" s="351"/>
      <c r="I91" s="262"/>
      <c r="J91" s="351"/>
      <c r="K91" s="351"/>
      <c r="L91" s="351"/>
      <c r="M91" s="351"/>
      <c r="N91" s="351"/>
      <c r="O91" s="351"/>
      <c r="P91" s="261">
        <v>0.69499999999999995</v>
      </c>
      <c r="Q91" s="260">
        <v>1</v>
      </c>
      <c r="R91" s="260" t="s">
        <v>20</v>
      </c>
      <c r="S91" s="260">
        <v>2008</v>
      </c>
      <c r="T91" s="260" t="s">
        <v>161</v>
      </c>
      <c r="U91" s="386">
        <v>42653</v>
      </c>
      <c r="V91" s="387"/>
      <c r="W91" s="354">
        <f>COUNT(RawMaterials[[#This Row],[Lab Quantity 1]:[Lab Quantity 4]])</f>
        <v>0</v>
      </c>
      <c r="X9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1" s="392" t="e">
        <f>RawMaterials[[#This Row],[Lab Price 1]]/RawMaterials[[#This Row],[Lab Q Model Units 1]]</f>
        <v>#N/A</v>
      </c>
      <c r="AC91" s="392" t="e">
        <f>RawMaterials[[#This Row],[Lab Price 2]]/RawMaterials[[#This Row],[Lab Q Model Units 2]]</f>
        <v>#N/A</v>
      </c>
      <c r="AD91" s="392" t="e">
        <f>RawMaterials[[#This Row],[Lab Price 3]]/RawMaterials[[#This Row],[Lab Q Model Units 3]]</f>
        <v>#N/A</v>
      </c>
      <c r="AE91" s="392" t="e">
        <f>RawMaterials[[#This Row],[Lab Price 4]]/RawMaterials[[#This Row],[Lab Q Model Units 4]]</f>
        <v>#N/A</v>
      </c>
      <c r="AF91" s="392" t="str">
        <f ca="1">IF(RawMaterials[[#This Row],[Lab Quote Count]]&gt;1,SLOPE(LOG(INDIRECT("RawMaterials[@[Lab Unit P 1]:[Lab Unit P "&amp;RawMaterials[[#This Row],[Lab Quote Count]]&amp;"]]")),LOG(INDIRECT("RawMaterials[@[Lab Q Model Units 1]:[Lab Q Model Units "&amp;RawMaterials[[#This Row],[Lab Quote Count]]&amp;"]]"))),"")</f>
        <v/>
      </c>
      <c r="AG91" s="392" t="str">
        <f ca="1">IF(RawMaterials[[#This Row],[Lab Quote Count]]&gt;1,INTERCEPT(LOG(INDIRECT("RawMaterials[@[Lab Unit P 1]:[Lab Unit P "&amp;RawMaterials[[#This Row],[Lab Quote Count]]&amp;"]]")),LOG(INDIRECT("RawMaterials[@[Lab Q Model Units 1]:[Lab Q Model Units "&amp;RawMaterials[[#This Row],[Lab Quote Count]]&amp;"]]"))),"")</f>
        <v/>
      </c>
      <c r="AH91" s="393" t="str">
        <f>IF(RawMaterials[[#This Row],[Material Type]]="Metal Precursor","D13",IF(RawMaterials[[#This Row],[Material Type]]="Ligand","D13","D12"))</f>
        <v>D12</v>
      </c>
      <c r="AI91" s="394" t="str">
        <f ca="1">IF(RawMaterials[[#This Row],[Lab Quote Count]]&gt;1,10^RawMaterials[[#This Row],[Lab Log-Log Intercept]]*INDIRECT(RawMaterials[[#This Row],[Basis Cell]])^RawMaterials[[#This Row],[Lab Log-Log Slope]],"&gt;&gt;&gt; Enter 2 or more lab quotes &lt;&lt;&lt;")</f>
        <v>&gt;&gt;&gt; Enter 2 or more lab quotes &lt;&lt;&lt;</v>
      </c>
      <c r="AJ9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1.5322127221848989</v>
      </c>
      <c r="AL91" s="396">
        <f>IF(ISTEXT(RawMaterials[[#This Row],[Unit price in quote year]]),"Check calcs",RawMaterials[[#This Row],[Unit price in quote year]]/VLOOKUP(RawMaterials[[#This Row],[Quote Year]],ChemPPI[],14,FALSE)*VLOOKUP(BasisYear,ChemPPI[],14,FALSE))</f>
        <v>1.7933351167234026</v>
      </c>
      <c r="AM91" s="397" t="str">
        <f t="shared" si="1"/>
        <v>$/kg (2016)</v>
      </c>
    </row>
    <row r="92" spans="1:39">
      <c r="A92" s="259" t="s">
        <v>1188</v>
      </c>
      <c r="B92" s="260"/>
      <c r="C92" s="351"/>
      <c r="D92" s="351"/>
      <c r="E92" s="260">
        <v>100</v>
      </c>
      <c r="F92" s="260"/>
      <c r="G92" s="351"/>
      <c r="H92" s="351"/>
      <c r="I92" s="262"/>
      <c r="J92" s="351"/>
      <c r="K92" s="351"/>
      <c r="L92" s="351"/>
      <c r="M92" s="351"/>
      <c r="N92" s="351"/>
      <c r="O92" s="351"/>
      <c r="P92" s="261">
        <v>0.56000000000000005</v>
      </c>
      <c r="Q92" s="260">
        <v>1</v>
      </c>
      <c r="R92" s="260" t="s">
        <v>20</v>
      </c>
      <c r="S92" s="260">
        <v>2006</v>
      </c>
      <c r="T92" s="260" t="s">
        <v>161</v>
      </c>
      <c r="U92" s="386">
        <v>42653</v>
      </c>
      <c r="V92" s="387"/>
      <c r="W92" s="354">
        <f>COUNT(RawMaterials[[#This Row],[Lab Quantity 1]:[Lab Quantity 4]])</f>
        <v>0</v>
      </c>
      <c r="X9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2" s="392" t="e">
        <f>RawMaterials[[#This Row],[Lab Price 1]]/RawMaterials[[#This Row],[Lab Q Model Units 1]]</f>
        <v>#N/A</v>
      </c>
      <c r="AC92" s="392" t="e">
        <f>RawMaterials[[#This Row],[Lab Price 2]]/RawMaterials[[#This Row],[Lab Q Model Units 2]]</f>
        <v>#N/A</v>
      </c>
      <c r="AD92" s="392" t="e">
        <f>RawMaterials[[#This Row],[Lab Price 3]]/RawMaterials[[#This Row],[Lab Q Model Units 3]]</f>
        <v>#N/A</v>
      </c>
      <c r="AE92" s="392" t="e">
        <f>RawMaterials[[#This Row],[Lab Price 4]]/RawMaterials[[#This Row],[Lab Q Model Units 4]]</f>
        <v>#N/A</v>
      </c>
      <c r="AF92" s="392" t="str">
        <f ca="1">IF(RawMaterials[[#This Row],[Lab Quote Count]]&gt;1,SLOPE(LOG(INDIRECT("RawMaterials[@[Lab Unit P 1]:[Lab Unit P "&amp;RawMaterials[[#This Row],[Lab Quote Count]]&amp;"]]")),LOG(INDIRECT("RawMaterials[@[Lab Q Model Units 1]:[Lab Q Model Units "&amp;RawMaterials[[#This Row],[Lab Quote Count]]&amp;"]]"))),"")</f>
        <v/>
      </c>
      <c r="AG92" s="392" t="str">
        <f ca="1">IF(RawMaterials[[#This Row],[Lab Quote Count]]&gt;1,INTERCEPT(LOG(INDIRECT("RawMaterials[@[Lab Unit P 1]:[Lab Unit P "&amp;RawMaterials[[#This Row],[Lab Quote Count]]&amp;"]]")),LOG(INDIRECT("RawMaterials[@[Lab Q Model Units 1]:[Lab Q Model Units "&amp;RawMaterials[[#This Row],[Lab Quote Count]]&amp;"]]"))),"")</f>
        <v/>
      </c>
      <c r="AH92" s="393" t="str">
        <f>IF(RawMaterials[[#This Row],[Material Type]]="Metal Precursor","D13",IF(RawMaterials[[#This Row],[Material Type]]="Ligand","D13","D12"))</f>
        <v>D12</v>
      </c>
      <c r="AI92" s="394" t="str">
        <f ca="1">IF(RawMaterials[[#This Row],[Lab Quote Count]]&gt;1,10^RawMaterials[[#This Row],[Lab Log-Log Intercept]]*INDIRECT(RawMaterials[[#This Row],[Basis Cell]])^RawMaterials[[#This Row],[Lab Log-Log Slope]],"&gt;&gt;&gt; Enter 2 or more lab quotes &lt;&lt;&lt;")</f>
        <v>&gt;&gt;&gt; Enter 2 or more lab quotes &lt;&lt;&lt;</v>
      </c>
      <c r="AJ9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1.2345886682353144</v>
      </c>
      <c r="AL92" s="396">
        <f>IF(ISTEXT(RawMaterials[[#This Row],[Unit price in quote year]]),"Check calcs",RawMaterials[[#This Row],[Unit price in quote year]]/VLOOKUP(RawMaterials[[#This Row],[Quote Year]],ChemPPI[],14,FALSE)*VLOOKUP(BasisYear,ChemPPI[],14,FALSE))</f>
        <v>1.6756028114108361</v>
      </c>
      <c r="AM92" s="397" t="str">
        <f t="shared" si="1"/>
        <v>$/kg (2016)</v>
      </c>
    </row>
    <row r="93" spans="1:39">
      <c r="A93" s="259" t="s">
        <v>1189</v>
      </c>
      <c r="B93" s="260"/>
      <c r="C93" s="351"/>
      <c r="D93" s="351"/>
      <c r="E93" s="260">
        <v>100</v>
      </c>
      <c r="F93" s="260"/>
      <c r="G93" s="351"/>
      <c r="H93" s="351"/>
      <c r="I93" s="262"/>
      <c r="J93" s="351"/>
      <c r="K93" s="351"/>
      <c r="L93" s="351"/>
      <c r="M93" s="351"/>
      <c r="N93" s="351"/>
      <c r="O93" s="351"/>
      <c r="P93" s="261">
        <v>510</v>
      </c>
      <c r="Q93" s="260">
        <v>1</v>
      </c>
      <c r="R93" s="260" t="s">
        <v>401</v>
      </c>
      <c r="S93" s="260">
        <v>2006</v>
      </c>
      <c r="T93" s="260" t="s">
        <v>161</v>
      </c>
      <c r="U93" s="386">
        <v>42653</v>
      </c>
      <c r="V93" s="387"/>
      <c r="W93" s="354">
        <f>COUNT(RawMaterials[[#This Row],[Lab Quantity 1]:[Lab Quantity 4]])</f>
        <v>0</v>
      </c>
      <c r="X9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3" s="392" t="e">
        <f>RawMaterials[[#This Row],[Lab Price 1]]/RawMaterials[[#This Row],[Lab Q Model Units 1]]</f>
        <v>#N/A</v>
      </c>
      <c r="AC93" s="392" t="e">
        <f>RawMaterials[[#This Row],[Lab Price 2]]/RawMaterials[[#This Row],[Lab Q Model Units 2]]</f>
        <v>#N/A</v>
      </c>
      <c r="AD93" s="392" t="e">
        <f>RawMaterials[[#This Row],[Lab Price 3]]/RawMaterials[[#This Row],[Lab Q Model Units 3]]</f>
        <v>#N/A</v>
      </c>
      <c r="AE93" s="392" t="e">
        <f>RawMaterials[[#This Row],[Lab Price 4]]/RawMaterials[[#This Row],[Lab Q Model Units 4]]</f>
        <v>#N/A</v>
      </c>
      <c r="AF93" s="392" t="str">
        <f ca="1">IF(RawMaterials[[#This Row],[Lab Quote Count]]&gt;1,SLOPE(LOG(INDIRECT("RawMaterials[@[Lab Unit P 1]:[Lab Unit P "&amp;RawMaterials[[#This Row],[Lab Quote Count]]&amp;"]]")),LOG(INDIRECT("RawMaterials[@[Lab Q Model Units 1]:[Lab Q Model Units "&amp;RawMaterials[[#This Row],[Lab Quote Count]]&amp;"]]"))),"")</f>
        <v/>
      </c>
      <c r="AG93" s="392" t="str">
        <f ca="1">IF(RawMaterials[[#This Row],[Lab Quote Count]]&gt;1,INTERCEPT(LOG(INDIRECT("RawMaterials[@[Lab Unit P 1]:[Lab Unit P "&amp;RawMaterials[[#This Row],[Lab Quote Count]]&amp;"]]")),LOG(INDIRECT("RawMaterials[@[Lab Q Model Units 1]:[Lab Q Model Units "&amp;RawMaterials[[#This Row],[Lab Quote Count]]&amp;"]]"))),"")</f>
        <v/>
      </c>
      <c r="AH93" s="393" t="str">
        <f>IF(RawMaterials[[#This Row],[Material Type]]="Metal Precursor","D13",IF(RawMaterials[[#This Row],[Material Type]]="Ligand","D13","D12"))</f>
        <v>D12</v>
      </c>
      <c r="AI93" s="394" t="str">
        <f ca="1">IF(RawMaterials[[#This Row],[Lab Quote Count]]&gt;1,10^RawMaterials[[#This Row],[Lab Log-Log Intercept]]*INDIRECT(RawMaterials[[#This Row],[Basis Cell]])^RawMaterials[[#This Row],[Lab Log-Log Slope]],"&gt;&gt;&gt; Enter 2 or more lab quotes &lt;&lt;&lt;")</f>
        <v>&gt;&gt;&gt; Enter 2 or more lab quotes &lt;&lt;&lt;</v>
      </c>
      <c r="AJ9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0.56217876857143778</v>
      </c>
      <c r="AL93" s="396">
        <f>IF(ISTEXT(RawMaterials[[#This Row],[Unit price in quote year]]),"Check calcs",RawMaterials[[#This Row],[Unit price in quote year]]/VLOOKUP(RawMaterials[[#This Row],[Quote Year]],ChemPPI[],14,FALSE)*VLOOKUP(BasisYear,ChemPPI[],14,FALSE))</f>
        <v>0.76299770876743422</v>
      </c>
      <c r="AM93" s="397" t="str">
        <f t="shared" si="1"/>
        <v>$/kg (2016)</v>
      </c>
    </row>
    <row r="94" spans="1:39">
      <c r="A94" s="259" t="s">
        <v>1190</v>
      </c>
      <c r="B94" s="260"/>
      <c r="C94" s="351"/>
      <c r="D94" s="351"/>
      <c r="E94" s="260">
        <v>100</v>
      </c>
      <c r="F94" s="260"/>
      <c r="G94" s="351"/>
      <c r="H94" s="351"/>
      <c r="I94" s="262"/>
      <c r="J94" s="351"/>
      <c r="K94" s="351"/>
      <c r="L94" s="351"/>
      <c r="M94" s="351"/>
      <c r="N94" s="351"/>
      <c r="O94" s="351"/>
      <c r="P94" s="261">
        <v>63</v>
      </c>
      <c r="Q94" s="260">
        <v>1</v>
      </c>
      <c r="R94" s="260" t="s">
        <v>401</v>
      </c>
      <c r="S94" s="260">
        <v>2006</v>
      </c>
      <c r="T94" s="260" t="s">
        <v>161</v>
      </c>
      <c r="U94" s="386">
        <v>42653</v>
      </c>
      <c r="V94" s="387"/>
      <c r="W94" s="354">
        <f>COUNT(RawMaterials[[#This Row],[Lab Quantity 1]:[Lab Quantity 4]])</f>
        <v>0</v>
      </c>
      <c r="X9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4" s="392" t="e">
        <f>RawMaterials[[#This Row],[Lab Price 1]]/RawMaterials[[#This Row],[Lab Q Model Units 1]]</f>
        <v>#N/A</v>
      </c>
      <c r="AC94" s="392" t="e">
        <f>RawMaterials[[#This Row],[Lab Price 2]]/RawMaterials[[#This Row],[Lab Q Model Units 2]]</f>
        <v>#N/A</v>
      </c>
      <c r="AD94" s="392" t="e">
        <f>RawMaterials[[#This Row],[Lab Price 3]]/RawMaterials[[#This Row],[Lab Q Model Units 3]]</f>
        <v>#N/A</v>
      </c>
      <c r="AE94" s="392" t="e">
        <f>RawMaterials[[#This Row],[Lab Price 4]]/RawMaterials[[#This Row],[Lab Q Model Units 4]]</f>
        <v>#N/A</v>
      </c>
      <c r="AF94" s="392" t="str">
        <f ca="1">IF(RawMaterials[[#This Row],[Lab Quote Count]]&gt;1,SLOPE(LOG(INDIRECT("RawMaterials[@[Lab Unit P 1]:[Lab Unit P "&amp;RawMaterials[[#This Row],[Lab Quote Count]]&amp;"]]")),LOG(INDIRECT("RawMaterials[@[Lab Q Model Units 1]:[Lab Q Model Units "&amp;RawMaterials[[#This Row],[Lab Quote Count]]&amp;"]]"))),"")</f>
        <v/>
      </c>
      <c r="AG94" s="392" t="str">
        <f ca="1">IF(RawMaterials[[#This Row],[Lab Quote Count]]&gt;1,INTERCEPT(LOG(INDIRECT("RawMaterials[@[Lab Unit P 1]:[Lab Unit P "&amp;RawMaterials[[#This Row],[Lab Quote Count]]&amp;"]]")),LOG(INDIRECT("RawMaterials[@[Lab Q Model Units 1]:[Lab Q Model Units "&amp;RawMaterials[[#This Row],[Lab Quote Count]]&amp;"]]"))),"")</f>
        <v/>
      </c>
      <c r="AH94" s="393" t="str">
        <f>IF(RawMaterials[[#This Row],[Material Type]]="Metal Precursor","D13",IF(RawMaterials[[#This Row],[Material Type]]="Ligand","D13","D12"))</f>
        <v>D12</v>
      </c>
      <c r="AI94" s="394" t="str">
        <f ca="1">IF(RawMaterials[[#This Row],[Lab Quote Count]]&gt;1,10^RawMaterials[[#This Row],[Lab Log-Log Intercept]]*INDIRECT(RawMaterials[[#This Row],[Basis Cell]])^RawMaterials[[#This Row],[Lab Log-Log Slope]],"&gt;&gt;&gt; Enter 2 or more lab quotes &lt;&lt;&lt;")</f>
        <v>&gt;&gt;&gt; Enter 2 or more lab quotes &lt;&lt;&lt;</v>
      </c>
      <c r="AJ9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6.9445612588236436E-2</v>
      </c>
      <c r="AL94" s="396">
        <f>IF(ISTEXT(RawMaterials[[#This Row],[Unit price in quote year]]),"Check calcs",RawMaterials[[#This Row],[Unit price in quote year]]/VLOOKUP(RawMaterials[[#This Row],[Quote Year]],ChemPPI[],14,FALSE)*VLOOKUP(BasisYear,ChemPPI[],14,FALSE))</f>
        <v>9.4252658141859541E-2</v>
      </c>
      <c r="AM94" s="397" t="str">
        <f t="shared" si="1"/>
        <v>$/kg (2016)</v>
      </c>
    </row>
    <row r="95" spans="1:39">
      <c r="A95" s="259" t="s">
        <v>1191</v>
      </c>
      <c r="B95" s="260"/>
      <c r="C95" s="351"/>
      <c r="D95" s="351"/>
      <c r="E95" s="260">
        <v>100</v>
      </c>
      <c r="F95" s="260"/>
      <c r="G95" s="351"/>
      <c r="H95" s="351"/>
      <c r="I95" s="262"/>
      <c r="J95" s="351"/>
      <c r="K95" s="351"/>
      <c r="L95" s="351"/>
      <c r="M95" s="351"/>
      <c r="N95" s="351"/>
      <c r="O95" s="351"/>
      <c r="P95" s="261">
        <v>255</v>
      </c>
      <c r="Q95" s="260">
        <v>1</v>
      </c>
      <c r="R95" s="260" t="s">
        <v>401</v>
      </c>
      <c r="S95" s="260">
        <v>2006</v>
      </c>
      <c r="T95" s="260" t="s">
        <v>161</v>
      </c>
      <c r="U95" s="386">
        <v>42653</v>
      </c>
      <c r="V95" s="387"/>
      <c r="W95" s="354">
        <f>COUNT(RawMaterials[[#This Row],[Lab Quantity 1]:[Lab Quantity 4]])</f>
        <v>0</v>
      </c>
      <c r="X9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5" s="392" t="e">
        <f>RawMaterials[[#This Row],[Lab Price 1]]/RawMaterials[[#This Row],[Lab Q Model Units 1]]</f>
        <v>#N/A</v>
      </c>
      <c r="AC95" s="392" t="e">
        <f>RawMaterials[[#This Row],[Lab Price 2]]/RawMaterials[[#This Row],[Lab Q Model Units 2]]</f>
        <v>#N/A</v>
      </c>
      <c r="AD95" s="392" t="e">
        <f>RawMaterials[[#This Row],[Lab Price 3]]/RawMaterials[[#This Row],[Lab Q Model Units 3]]</f>
        <v>#N/A</v>
      </c>
      <c r="AE95" s="392" t="e">
        <f>RawMaterials[[#This Row],[Lab Price 4]]/RawMaterials[[#This Row],[Lab Q Model Units 4]]</f>
        <v>#N/A</v>
      </c>
      <c r="AF95" s="392" t="str">
        <f ca="1">IF(RawMaterials[[#This Row],[Lab Quote Count]]&gt;1,SLOPE(LOG(INDIRECT("RawMaterials[@[Lab Unit P 1]:[Lab Unit P "&amp;RawMaterials[[#This Row],[Lab Quote Count]]&amp;"]]")),LOG(INDIRECT("RawMaterials[@[Lab Q Model Units 1]:[Lab Q Model Units "&amp;RawMaterials[[#This Row],[Lab Quote Count]]&amp;"]]"))),"")</f>
        <v/>
      </c>
      <c r="AG95" s="392" t="str">
        <f ca="1">IF(RawMaterials[[#This Row],[Lab Quote Count]]&gt;1,INTERCEPT(LOG(INDIRECT("RawMaterials[@[Lab Unit P 1]:[Lab Unit P "&amp;RawMaterials[[#This Row],[Lab Quote Count]]&amp;"]]")),LOG(INDIRECT("RawMaterials[@[Lab Q Model Units 1]:[Lab Q Model Units "&amp;RawMaterials[[#This Row],[Lab Quote Count]]&amp;"]]"))),"")</f>
        <v/>
      </c>
      <c r="AH95" s="393" t="str">
        <f>IF(RawMaterials[[#This Row],[Material Type]]="Metal Precursor","D13",IF(RawMaterials[[#This Row],[Material Type]]="Ligand","D13","D12"))</f>
        <v>D12</v>
      </c>
      <c r="AI95" s="394" t="str">
        <f ca="1">IF(RawMaterials[[#This Row],[Lab Quote Count]]&gt;1,10^RawMaterials[[#This Row],[Lab Log-Log Intercept]]*INDIRECT(RawMaterials[[#This Row],[Basis Cell]])^RawMaterials[[#This Row],[Lab Log-Log Slope]],"&gt;&gt;&gt; Enter 2 or more lab quotes &lt;&lt;&lt;")</f>
        <v>&gt;&gt;&gt; Enter 2 or more lab quotes &lt;&lt;&lt;</v>
      </c>
      <c r="AJ9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0.28108938428571889</v>
      </c>
      <c r="AL95" s="396">
        <f>IF(ISTEXT(RawMaterials[[#This Row],[Unit price in quote year]]),"Check calcs",RawMaterials[[#This Row],[Unit price in quote year]]/VLOOKUP(RawMaterials[[#This Row],[Quote Year]],ChemPPI[],14,FALSE)*VLOOKUP(BasisYear,ChemPPI[],14,FALSE))</f>
        <v>0.38149885438371711</v>
      </c>
      <c r="AM95" s="397" t="str">
        <f t="shared" si="1"/>
        <v>$/kg (2016)</v>
      </c>
    </row>
    <row r="96" spans="1:39">
      <c r="A96" s="259" t="s">
        <v>1192</v>
      </c>
      <c r="B96" s="260"/>
      <c r="C96" s="351"/>
      <c r="D96" s="351"/>
      <c r="E96" s="260">
        <v>100</v>
      </c>
      <c r="F96" s="260"/>
      <c r="G96" s="351"/>
      <c r="H96" s="351"/>
      <c r="I96" s="262"/>
      <c r="J96" s="351"/>
      <c r="K96" s="351"/>
      <c r="L96" s="351"/>
      <c r="M96" s="351"/>
      <c r="N96" s="351"/>
      <c r="O96" s="351"/>
      <c r="P96" s="261">
        <v>97.5</v>
      </c>
      <c r="Q96" s="260">
        <v>1</v>
      </c>
      <c r="R96" s="260" t="s">
        <v>401</v>
      </c>
      <c r="S96" s="260">
        <v>2006</v>
      </c>
      <c r="T96" s="260" t="s">
        <v>161</v>
      </c>
      <c r="U96" s="386">
        <v>42653</v>
      </c>
      <c r="V96" s="387"/>
      <c r="W96" s="354">
        <f>COUNT(RawMaterials[[#This Row],[Lab Quantity 1]:[Lab Quantity 4]])</f>
        <v>0</v>
      </c>
      <c r="X9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6" s="392" t="e">
        <f>RawMaterials[[#This Row],[Lab Price 1]]/RawMaterials[[#This Row],[Lab Q Model Units 1]]</f>
        <v>#N/A</v>
      </c>
      <c r="AC96" s="392" t="e">
        <f>RawMaterials[[#This Row],[Lab Price 2]]/RawMaterials[[#This Row],[Lab Q Model Units 2]]</f>
        <v>#N/A</v>
      </c>
      <c r="AD96" s="392" t="e">
        <f>RawMaterials[[#This Row],[Lab Price 3]]/RawMaterials[[#This Row],[Lab Q Model Units 3]]</f>
        <v>#N/A</v>
      </c>
      <c r="AE96" s="392" t="e">
        <f>RawMaterials[[#This Row],[Lab Price 4]]/RawMaterials[[#This Row],[Lab Q Model Units 4]]</f>
        <v>#N/A</v>
      </c>
      <c r="AF96" s="392" t="str">
        <f ca="1">IF(RawMaterials[[#This Row],[Lab Quote Count]]&gt;1,SLOPE(LOG(INDIRECT("RawMaterials[@[Lab Unit P 1]:[Lab Unit P "&amp;RawMaterials[[#This Row],[Lab Quote Count]]&amp;"]]")),LOG(INDIRECT("RawMaterials[@[Lab Q Model Units 1]:[Lab Q Model Units "&amp;RawMaterials[[#This Row],[Lab Quote Count]]&amp;"]]"))),"")</f>
        <v/>
      </c>
      <c r="AG96" s="392" t="str">
        <f ca="1">IF(RawMaterials[[#This Row],[Lab Quote Count]]&gt;1,INTERCEPT(LOG(INDIRECT("RawMaterials[@[Lab Unit P 1]:[Lab Unit P "&amp;RawMaterials[[#This Row],[Lab Quote Count]]&amp;"]]")),LOG(INDIRECT("RawMaterials[@[Lab Q Model Units 1]:[Lab Q Model Units "&amp;RawMaterials[[#This Row],[Lab Quote Count]]&amp;"]]"))),"")</f>
        <v/>
      </c>
      <c r="AH96" s="393" t="str">
        <f>IF(RawMaterials[[#This Row],[Material Type]]="Metal Precursor","D13",IF(RawMaterials[[#This Row],[Material Type]]="Ligand","D13","D12"))</f>
        <v>D12</v>
      </c>
      <c r="AI96" s="394" t="str">
        <f ca="1">IF(RawMaterials[[#This Row],[Lab Quote Count]]&gt;1,10^RawMaterials[[#This Row],[Lab Log-Log Intercept]]*INDIRECT(RawMaterials[[#This Row],[Basis Cell]])^RawMaterials[[#This Row],[Lab Log-Log Slope]],"&gt;&gt;&gt; Enter 2 or more lab quotes &lt;&lt;&lt;")</f>
        <v>&gt;&gt;&gt; Enter 2 or more lab quotes &lt;&lt;&lt;</v>
      </c>
      <c r="AJ9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0.10747535281512782</v>
      </c>
      <c r="AL96" s="396">
        <f>IF(ISTEXT(RawMaterials[[#This Row],[Unit price in quote year]]),"Check calcs",RawMaterials[[#This Row],[Unit price in quote year]]/VLOOKUP(RawMaterials[[#This Row],[Quote Year]],ChemPPI[],14,FALSE)*VLOOKUP(BasisYear,ChemPPI[],14,FALSE))</f>
        <v>0.14586720902906833</v>
      </c>
      <c r="AM96" s="397" t="str">
        <f t="shared" si="1"/>
        <v>$/kg (2016)</v>
      </c>
    </row>
    <row r="97" spans="1:39">
      <c r="A97" s="259" t="s">
        <v>1193</v>
      </c>
      <c r="B97" s="260"/>
      <c r="C97" s="351"/>
      <c r="D97" s="351"/>
      <c r="E97" s="260">
        <v>100</v>
      </c>
      <c r="F97" s="260"/>
      <c r="G97" s="351"/>
      <c r="H97" s="351"/>
      <c r="I97" s="262"/>
      <c r="J97" s="351"/>
      <c r="K97" s="351"/>
      <c r="L97" s="351"/>
      <c r="M97" s="351"/>
      <c r="N97" s="351"/>
      <c r="O97" s="351"/>
      <c r="P97" s="261">
        <v>307</v>
      </c>
      <c r="Q97" s="260">
        <v>1</v>
      </c>
      <c r="R97" s="260" t="s">
        <v>401</v>
      </c>
      <c r="S97" s="260">
        <v>2006</v>
      </c>
      <c r="T97" s="260" t="s">
        <v>161</v>
      </c>
      <c r="U97" s="386">
        <v>42653</v>
      </c>
      <c r="V97" s="387"/>
      <c r="W97" s="354">
        <f>COUNT(RawMaterials[[#This Row],[Lab Quantity 1]:[Lab Quantity 4]])</f>
        <v>0</v>
      </c>
      <c r="X9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7" s="392" t="e">
        <f>RawMaterials[[#This Row],[Lab Price 1]]/RawMaterials[[#This Row],[Lab Q Model Units 1]]</f>
        <v>#N/A</v>
      </c>
      <c r="AC97" s="392" t="e">
        <f>RawMaterials[[#This Row],[Lab Price 2]]/RawMaterials[[#This Row],[Lab Q Model Units 2]]</f>
        <v>#N/A</v>
      </c>
      <c r="AD97" s="392" t="e">
        <f>RawMaterials[[#This Row],[Lab Price 3]]/RawMaterials[[#This Row],[Lab Q Model Units 3]]</f>
        <v>#N/A</v>
      </c>
      <c r="AE97" s="392" t="e">
        <f>RawMaterials[[#This Row],[Lab Price 4]]/RawMaterials[[#This Row],[Lab Q Model Units 4]]</f>
        <v>#N/A</v>
      </c>
      <c r="AF97" s="392" t="str">
        <f ca="1">IF(RawMaterials[[#This Row],[Lab Quote Count]]&gt;1,SLOPE(LOG(INDIRECT("RawMaterials[@[Lab Unit P 1]:[Lab Unit P "&amp;RawMaterials[[#This Row],[Lab Quote Count]]&amp;"]]")),LOG(INDIRECT("RawMaterials[@[Lab Q Model Units 1]:[Lab Q Model Units "&amp;RawMaterials[[#This Row],[Lab Quote Count]]&amp;"]]"))),"")</f>
        <v/>
      </c>
      <c r="AG97" s="392" t="str">
        <f ca="1">IF(RawMaterials[[#This Row],[Lab Quote Count]]&gt;1,INTERCEPT(LOG(INDIRECT("RawMaterials[@[Lab Unit P 1]:[Lab Unit P "&amp;RawMaterials[[#This Row],[Lab Quote Count]]&amp;"]]")),LOG(INDIRECT("RawMaterials[@[Lab Q Model Units 1]:[Lab Q Model Units "&amp;RawMaterials[[#This Row],[Lab Quote Count]]&amp;"]]"))),"")</f>
        <v/>
      </c>
      <c r="AH97" s="393" t="str">
        <f>IF(RawMaterials[[#This Row],[Material Type]]="Metal Precursor","D13",IF(RawMaterials[[#This Row],[Material Type]]="Ligand","D13","D12"))</f>
        <v>D12</v>
      </c>
      <c r="AI97" s="394" t="str">
        <f ca="1">IF(RawMaterials[[#This Row],[Lab Quote Count]]&gt;1,10^RawMaterials[[#This Row],[Lab Log-Log Intercept]]*INDIRECT(RawMaterials[[#This Row],[Basis Cell]])^RawMaterials[[#This Row],[Lab Log-Log Slope]],"&gt;&gt;&gt; Enter 2 or more lab quotes &lt;&lt;&lt;")</f>
        <v>&gt;&gt;&gt; Enter 2 or more lab quotes &lt;&lt;&lt;</v>
      </c>
      <c r="AJ9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0.33840957245378706</v>
      </c>
      <c r="AL97" s="396">
        <f>IF(ISTEXT(RawMaterials[[#This Row],[Unit price in quote year]]),"Check calcs",RawMaterials[[#This Row],[Unit price in quote year]]/VLOOKUP(RawMaterials[[#This Row],[Quote Year]],ChemPPI[],14,FALSE)*VLOOKUP(BasisYear,ChemPPI[],14,FALSE))</f>
        <v>0.45929469919922022</v>
      </c>
      <c r="AM97" s="397" t="str">
        <f t="shared" si="1"/>
        <v>$/kg (2016)</v>
      </c>
    </row>
    <row r="98" spans="1:39">
      <c r="A98" s="259" t="s">
        <v>1194</v>
      </c>
      <c r="B98" s="260"/>
      <c r="C98" s="351"/>
      <c r="D98" s="351"/>
      <c r="E98" s="260">
        <v>100</v>
      </c>
      <c r="F98" s="260"/>
      <c r="G98" s="351"/>
      <c r="H98" s="351"/>
      <c r="I98" s="262"/>
      <c r="J98" s="351"/>
      <c r="K98" s="351"/>
      <c r="L98" s="351"/>
      <c r="M98" s="351"/>
      <c r="N98" s="351"/>
      <c r="O98" s="351"/>
      <c r="P98" s="261">
        <v>0.2</v>
      </c>
      <c r="Q98" s="260">
        <v>1</v>
      </c>
      <c r="R98" s="260" t="s">
        <v>20</v>
      </c>
      <c r="S98" s="260">
        <v>2006</v>
      </c>
      <c r="T98" s="260" t="s">
        <v>161</v>
      </c>
      <c r="U98" s="386">
        <v>42653</v>
      </c>
      <c r="V98" s="387"/>
      <c r="W98" s="354">
        <f>COUNT(RawMaterials[[#This Row],[Lab Quantity 1]:[Lab Quantity 4]])</f>
        <v>0</v>
      </c>
      <c r="X9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8" s="392" t="e">
        <f>RawMaterials[[#This Row],[Lab Price 1]]/RawMaterials[[#This Row],[Lab Q Model Units 1]]</f>
        <v>#N/A</v>
      </c>
      <c r="AC98" s="392" t="e">
        <f>RawMaterials[[#This Row],[Lab Price 2]]/RawMaterials[[#This Row],[Lab Q Model Units 2]]</f>
        <v>#N/A</v>
      </c>
      <c r="AD98" s="392" t="e">
        <f>RawMaterials[[#This Row],[Lab Price 3]]/RawMaterials[[#This Row],[Lab Q Model Units 3]]</f>
        <v>#N/A</v>
      </c>
      <c r="AE98" s="392" t="e">
        <f>RawMaterials[[#This Row],[Lab Price 4]]/RawMaterials[[#This Row],[Lab Q Model Units 4]]</f>
        <v>#N/A</v>
      </c>
      <c r="AF98" s="392" t="str">
        <f ca="1">IF(RawMaterials[[#This Row],[Lab Quote Count]]&gt;1,SLOPE(LOG(INDIRECT("RawMaterials[@[Lab Unit P 1]:[Lab Unit P "&amp;RawMaterials[[#This Row],[Lab Quote Count]]&amp;"]]")),LOG(INDIRECT("RawMaterials[@[Lab Q Model Units 1]:[Lab Q Model Units "&amp;RawMaterials[[#This Row],[Lab Quote Count]]&amp;"]]"))),"")</f>
        <v/>
      </c>
      <c r="AG98" s="392" t="str">
        <f ca="1">IF(RawMaterials[[#This Row],[Lab Quote Count]]&gt;1,INTERCEPT(LOG(INDIRECT("RawMaterials[@[Lab Unit P 1]:[Lab Unit P "&amp;RawMaterials[[#This Row],[Lab Quote Count]]&amp;"]]")),LOG(INDIRECT("RawMaterials[@[Lab Q Model Units 1]:[Lab Q Model Units "&amp;RawMaterials[[#This Row],[Lab Quote Count]]&amp;"]]"))),"")</f>
        <v/>
      </c>
      <c r="AH98" s="393" t="str">
        <f>IF(RawMaterials[[#This Row],[Material Type]]="Metal Precursor","D13",IF(RawMaterials[[#This Row],[Material Type]]="Ligand","D13","D12"))</f>
        <v>D12</v>
      </c>
      <c r="AI98" s="394" t="str">
        <f ca="1">IF(RawMaterials[[#This Row],[Lab Quote Count]]&gt;1,10^RawMaterials[[#This Row],[Lab Log-Log Intercept]]*INDIRECT(RawMaterials[[#This Row],[Basis Cell]])^RawMaterials[[#This Row],[Lab Log-Log Slope]],"&gt;&gt;&gt; Enter 2 or more lab quotes &lt;&lt;&lt;")</f>
        <v>&gt;&gt;&gt; Enter 2 or more lab quotes &lt;&lt;&lt;</v>
      </c>
      <c r="AJ9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0.44092452436975516</v>
      </c>
      <c r="AL98" s="396">
        <f>IF(ISTEXT(RawMaterials[[#This Row],[Unit price in quote year]]),"Check calcs",RawMaterials[[#This Row],[Unit price in quote year]]/VLOOKUP(RawMaterials[[#This Row],[Quote Year]],ChemPPI[],14,FALSE)*VLOOKUP(BasisYear,ChemPPI[],14,FALSE))</f>
        <v>0.5984295755038701</v>
      </c>
      <c r="AM98" s="397" t="str">
        <f t="shared" si="1"/>
        <v>$/kg (2016)</v>
      </c>
    </row>
    <row r="99" spans="1:39">
      <c r="A99" s="259" t="s">
        <v>1195</v>
      </c>
      <c r="B99" s="260"/>
      <c r="C99" s="351"/>
      <c r="D99" s="351"/>
      <c r="E99" s="260">
        <v>100</v>
      </c>
      <c r="F99" s="260"/>
      <c r="G99" s="351"/>
      <c r="H99" s="351"/>
      <c r="I99" s="262"/>
      <c r="J99" s="351"/>
      <c r="K99" s="351"/>
      <c r="L99" s="351"/>
      <c r="M99" s="351"/>
      <c r="N99" s="351"/>
      <c r="O99" s="351"/>
      <c r="P99" s="261">
        <v>3.3149999999999999</v>
      </c>
      <c r="Q99" s="260">
        <v>1</v>
      </c>
      <c r="R99" s="260" t="s">
        <v>20</v>
      </c>
      <c r="S99" s="260">
        <v>2006</v>
      </c>
      <c r="T99" s="260" t="s">
        <v>161</v>
      </c>
      <c r="U99" s="386">
        <v>42653</v>
      </c>
      <c r="V99" s="387"/>
      <c r="W99" s="354">
        <f>COUNT(RawMaterials[[#This Row],[Lab Quantity 1]:[Lab Quantity 4]])</f>
        <v>0</v>
      </c>
      <c r="X9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9" s="392" t="e">
        <f>RawMaterials[[#This Row],[Lab Price 1]]/RawMaterials[[#This Row],[Lab Q Model Units 1]]</f>
        <v>#N/A</v>
      </c>
      <c r="AC99" s="392" t="e">
        <f>RawMaterials[[#This Row],[Lab Price 2]]/RawMaterials[[#This Row],[Lab Q Model Units 2]]</f>
        <v>#N/A</v>
      </c>
      <c r="AD99" s="392" t="e">
        <f>RawMaterials[[#This Row],[Lab Price 3]]/RawMaterials[[#This Row],[Lab Q Model Units 3]]</f>
        <v>#N/A</v>
      </c>
      <c r="AE99" s="392" t="e">
        <f>RawMaterials[[#This Row],[Lab Price 4]]/RawMaterials[[#This Row],[Lab Q Model Units 4]]</f>
        <v>#N/A</v>
      </c>
      <c r="AF99" s="392" t="str">
        <f ca="1">IF(RawMaterials[[#This Row],[Lab Quote Count]]&gt;1,SLOPE(LOG(INDIRECT("RawMaterials[@[Lab Unit P 1]:[Lab Unit P "&amp;RawMaterials[[#This Row],[Lab Quote Count]]&amp;"]]")),LOG(INDIRECT("RawMaterials[@[Lab Q Model Units 1]:[Lab Q Model Units "&amp;RawMaterials[[#This Row],[Lab Quote Count]]&amp;"]]"))),"")</f>
        <v/>
      </c>
      <c r="AG99" s="392" t="str">
        <f ca="1">IF(RawMaterials[[#This Row],[Lab Quote Count]]&gt;1,INTERCEPT(LOG(INDIRECT("RawMaterials[@[Lab Unit P 1]:[Lab Unit P "&amp;RawMaterials[[#This Row],[Lab Quote Count]]&amp;"]]")),LOG(INDIRECT("RawMaterials[@[Lab Q Model Units 1]:[Lab Q Model Units "&amp;RawMaterials[[#This Row],[Lab Quote Count]]&amp;"]]"))),"")</f>
        <v/>
      </c>
      <c r="AH99" s="393" t="str">
        <f>IF(RawMaterials[[#This Row],[Material Type]]="Metal Precursor","D13",IF(RawMaterials[[#This Row],[Material Type]]="Ligand","D13","D12"))</f>
        <v>D12</v>
      </c>
      <c r="AI99" s="394" t="str">
        <f ca="1">IF(RawMaterials[[#This Row],[Lab Quote Count]]&gt;1,10^RawMaterials[[#This Row],[Lab Log-Log Intercept]]*INDIRECT(RawMaterials[[#This Row],[Basis Cell]])^RawMaterials[[#This Row],[Lab Log-Log Slope]],"&gt;&gt;&gt; Enter 2 or more lab quotes &lt;&lt;&lt;")</f>
        <v>&gt;&gt;&gt; Enter 2 or more lab quotes &lt;&lt;&lt;</v>
      </c>
      <c r="AJ9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7.3083239914286917</v>
      </c>
      <c r="AL99" s="396">
        <f>IF(ISTEXT(RawMaterials[[#This Row],[Unit price in quote year]]),"Check calcs",RawMaterials[[#This Row],[Unit price in quote year]]/VLOOKUP(RawMaterials[[#This Row],[Quote Year]],ChemPPI[],14,FALSE)*VLOOKUP(BasisYear,ChemPPI[],14,FALSE))</f>
        <v>9.918970213976646</v>
      </c>
      <c r="AM99" s="397" t="str">
        <f t="shared" si="1"/>
        <v>$/kg (2016)</v>
      </c>
    </row>
    <row r="100" spans="1:39">
      <c r="A100" s="259" t="s">
        <v>1196</v>
      </c>
      <c r="B100" s="260"/>
      <c r="C100" s="351"/>
      <c r="D100" s="351"/>
      <c r="E100" s="260">
        <v>100</v>
      </c>
      <c r="F100" s="260"/>
      <c r="G100" s="351"/>
      <c r="H100" s="351"/>
      <c r="I100" s="262"/>
      <c r="J100" s="351"/>
      <c r="K100" s="351"/>
      <c r="L100" s="351"/>
      <c r="M100" s="351"/>
      <c r="N100" s="351"/>
      <c r="O100" s="351"/>
      <c r="P100" s="261">
        <v>350</v>
      </c>
      <c r="Q100" s="260">
        <v>1</v>
      </c>
      <c r="R100" s="260" t="s">
        <v>401</v>
      </c>
      <c r="S100" s="260">
        <v>2006</v>
      </c>
      <c r="T100" s="260" t="s">
        <v>161</v>
      </c>
      <c r="U100" s="386">
        <v>42653</v>
      </c>
      <c r="V100" s="387"/>
      <c r="W100" s="354">
        <f>COUNT(RawMaterials[[#This Row],[Lab Quantity 1]:[Lab Quantity 4]])</f>
        <v>0</v>
      </c>
      <c r="X10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0" s="392" t="e">
        <f>RawMaterials[[#This Row],[Lab Price 1]]/RawMaterials[[#This Row],[Lab Q Model Units 1]]</f>
        <v>#N/A</v>
      </c>
      <c r="AC100" s="392" t="e">
        <f>RawMaterials[[#This Row],[Lab Price 2]]/RawMaterials[[#This Row],[Lab Q Model Units 2]]</f>
        <v>#N/A</v>
      </c>
      <c r="AD100" s="392" t="e">
        <f>RawMaterials[[#This Row],[Lab Price 3]]/RawMaterials[[#This Row],[Lab Q Model Units 3]]</f>
        <v>#N/A</v>
      </c>
      <c r="AE100" s="392" t="e">
        <f>RawMaterials[[#This Row],[Lab Price 4]]/RawMaterials[[#This Row],[Lab Q Model Units 4]]</f>
        <v>#N/A</v>
      </c>
      <c r="AF100" s="392" t="str">
        <f ca="1">IF(RawMaterials[[#This Row],[Lab Quote Count]]&gt;1,SLOPE(LOG(INDIRECT("RawMaterials[@[Lab Unit P 1]:[Lab Unit P "&amp;RawMaterials[[#This Row],[Lab Quote Count]]&amp;"]]")),LOG(INDIRECT("RawMaterials[@[Lab Q Model Units 1]:[Lab Q Model Units "&amp;RawMaterials[[#This Row],[Lab Quote Count]]&amp;"]]"))),"")</f>
        <v/>
      </c>
      <c r="AG100" s="392" t="str">
        <f ca="1">IF(RawMaterials[[#This Row],[Lab Quote Count]]&gt;1,INTERCEPT(LOG(INDIRECT("RawMaterials[@[Lab Unit P 1]:[Lab Unit P "&amp;RawMaterials[[#This Row],[Lab Quote Count]]&amp;"]]")),LOG(INDIRECT("RawMaterials[@[Lab Q Model Units 1]:[Lab Q Model Units "&amp;RawMaterials[[#This Row],[Lab Quote Count]]&amp;"]]"))),"")</f>
        <v/>
      </c>
      <c r="AH100" s="393" t="str">
        <f>IF(RawMaterials[[#This Row],[Material Type]]="Metal Precursor","D13",IF(RawMaterials[[#This Row],[Material Type]]="Ligand","D13","D12"))</f>
        <v>D12</v>
      </c>
      <c r="AI100" s="394" t="str">
        <f ca="1">IF(RawMaterials[[#This Row],[Lab Quote Count]]&gt;1,10^RawMaterials[[#This Row],[Lab Log-Log Intercept]]*INDIRECT(RawMaterials[[#This Row],[Basis Cell]])^RawMaterials[[#This Row],[Lab Log-Log Slope]],"&gt;&gt;&gt; Enter 2 or more lab quotes &lt;&lt;&lt;")</f>
        <v>&gt;&gt;&gt; Enter 2 or more lab quotes &lt;&lt;&lt;</v>
      </c>
      <c r="AJ10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0.38580895882353577</v>
      </c>
      <c r="AL100" s="396">
        <f>IF(ISTEXT(RawMaterials[[#This Row],[Unit price in quote year]]),"Check calcs",RawMaterials[[#This Row],[Unit price in quote year]]/VLOOKUP(RawMaterials[[#This Row],[Quote Year]],ChemPPI[],14,FALSE)*VLOOKUP(BasisYear,ChemPPI[],14,FALSE))</f>
        <v>0.52362587856588627</v>
      </c>
      <c r="AM100" s="397" t="str">
        <f t="shared" si="1"/>
        <v>$/kg (2016)</v>
      </c>
    </row>
    <row r="101" spans="1:39">
      <c r="A101" s="259" t="s">
        <v>1197</v>
      </c>
      <c r="B101" s="260"/>
      <c r="C101" s="351"/>
      <c r="D101" s="351"/>
      <c r="E101" s="260">
        <v>100</v>
      </c>
      <c r="F101" s="260"/>
      <c r="G101" s="351"/>
      <c r="H101" s="351"/>
      <c r="I101" s="262"/>
      <c r="J101" s="351"/>
      <c r="K101" s="351"/>
      <c r="L101" s="351"/>
      <c r="M101" s="351"/>
      <c r="N101" s="351"/>
      <c r="O101" s="351"/>
      <c r="P101" s="261">
        <v>0.35</v>
      </c>
      <c r="Q101" s="260">
        <v>1</v>
      </c>
      <c r="R101" s="260" t="s">
        <v>20</v>
      </c>
      <c r="S101" s="260">
        <v>2006</v>
      </c>
      <c r="T101" s="260" t="s">
        <v>161</v>
      </c>
      <c r="U101" s="386">
        <v>42653</v>
      </c>
      <c r="V101" s="387"/>
      <c r="W101" s="354">
        <f>COUNT(RawMaterials[[#This Row],[Lab Quantity 1]:[Lab Quantity 4]])</f>
        <v>0</v>
      </c>
      <c r="X10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1" s="392" t="e">
        <f>RawMaterials[[#This Row],[Lab Price 1]]/RawMaterials[[#This Row],[Lab Q Model Units 1]]</f>
        <v>#N/A</v>
      </c>
      <c r="AC101" s="392" t="e">
        <f>RawMaterials[[#This Row],[Lab Price 2]]/RawMaterials[[#This Row],[Lab Q Model Units 2]]</f>
        <v>#N/A</v>
      </c>
      <c r="AD101" s="392" t="e">
        <f>RawMaterials[[#This Row],[Lab Price 3]]/RawMaterials[[#This Row],[Lab Q Model Units 3]]</f>
        <v>#N/A</v>
      </c>
      <c r="AE101" s="392" t="e">
        <f>RawMaterials[[#This Row],[Lab Price 4]]/RawMaterials[[#This Row],[Lab Q Model Units 4]]</f>
        <v>#N/A</v>
      </c>
      <c r="AF101" s="392" t="str">
        <f ca="1">IF(RawMaterials[[#This Row],[Lab Quote Count]]&gt;1,SLOPE(LOG(INDIRECT("RawMaterials[@[Lab Unit P 1]:[Lab Unit P "&amp;RawMaterials[[#This Row],[Lab Quote Count]]&amp;"]]")),LOG(INDIRECT("RawMaterials[@[Lab Q Model Units 1]:[Lab Q Model Units "&amp;RawMaterials[[#This Row],[Lab Quote Count]]&amp;"]]"))),"")</f>
        <v/>
      </c>
      <c r="AG101" s="392" t="str">
        <f ca="1">IF(RawMaterials[[#This Row],[Lab Quote Count]]&gt;1,INTERCEPT(LOG(INDIRECT("RawMaterials[@[Lab Unit P 1]:[Lab Unit P "&amp;RawMaterials[[#This Row],[Lab Quote Count]]&amp;"]]")),LOG(INDIRECT("RawMaterials[@[Lab Q Model Units 1]:[Lab Q Model Units "&amp;RawMaterials[[#This Row],[Lab Quote Count]]&amp;"]]"))),"")</f>
        <v/>
      </c>
      <c r="AH101" s="393" t="str">
        <f>IF(RawMaterials[[#This Row],[Material Type]]="Metal Precursor","D13",IF(RawMaterials[[#This Row],[Material Type]]="Ligand","D13","D12"))</f>
        <v>D12</v>
      </c>
      <c r="AI101" s="394" t="str">
        <f ca="1">IF(RawMaterials[[#This Row],[Lab Quote Count]]&gt;1,10^RawMaterials[[#This Row],[Lab Log-Log Intercept]]*INDIRECT(RawMaterials[[#This Row],[Basis Cell]])^RawMaterials[[#This Row],[Lab Log-Log Slope]],"&gt;&gt;&gt; Enter 2 or more lab quotes &lt;&lt;&lt;")</f>
        <v>&gt;&gt;&gt; Enter 2 or more lab quotes &lt;&lt;&lt;</v>
      </c>
      <c r="AJ10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0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0.77161791764707144</v>
      </c>
      <c r="AL101" s="396">
        <f>IF(ISTEXT(RawMaterials[[#This Row],[Unit price in quote year]]),"Check calcs",RawMaterials[[#This Row],[Unit price in quote year]]/VLOOKUP(RawMaterials[[#This Row],[Quote Year]],ChemPPI[],14,FALSE)*VLOOKUP(BasisYear,ChemPPI[],14,FALSE))</f>
        <v>1.0472517571317725</v>
      </c>
      <c r="AM101" s="397" t="str">
        <f t="shared" si="1"/>
        <v>$/kg (2016)</v>
      </c>
    </row>
    <row r="102" spans="1:39">
      <c r="A102" s="259" t="s">
        <v>1198</v>
      </c>
      <c r="B102" s="260"/>
      <c r="C102" s="351"/>
      <c r="D102" s="351"/>
      <c r="E102" s="260">
        <v>100</v>
      </c>
      <c r="F102" s="260"/>
      <c r="G102" s="351"/>
      <c r="H102" s="351"/>
      <c r="I102" s="262"/>
      <c r="J102" s="351"/>
      <c r="K102" s="351"/>
      <c r="L102" s="351"/>
      <c r="M102" s="351"/>
      <c r="N102" s="351"/>
      <c r="O102" s="351"/>
      <c r="P102" s="261">
        <v>275</v>
      </c>
      <c r="Q102" s="260">
        <v>1</v>
      </c>
      <c r="R102" s="260" t="s">
        <v>401</v>
      </c>
      <c r="S102" s="260">
        <v>2006</v>
      </c>
      <c r="T102" s="260" t="s">
        <v>161</v>
      </c>
      <c r="U102" s="386">
        <v>42653</v>
      </c>
      <c r="V102" s="387"/>
      <c r="W102" s="354">
        <f>COUNT(RawMaterials[[#This Row],[Lab Quantity 1]:[Lab Quantity 4]])</f>
        <v>0</v>
      </c>
      <c r="X10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2" s="392" t="e">
        <f>RawMaterials[[#This Row],[Lab Price 1]]/RawMaterials[[#This Row],[Lab Q Model Units 1]]</f>
        <v>#N/A</v>
      </c>
      <c r="AC102" s="392" t="e">
        <f>RawMaterials[[#This Row],[Lab Price 2]]/RawMaterials[[#This Row],[Lab Q Model Units 2]]</f>
        <v>#N/A</v>
      </c>
      <c r="AD102" s="392" t="e">
        <f>RawMaterials[[#This Row],[Lab Price 3]]/RawMaterials[[#This Row],[Lab Q Model Units 3]]</f>
        <v>#N/A</v>
      </c>
      <c r="AE102" s="392" t="e">
        <f>RawMaterials[[#This Row],[Lab Price 4]]/RawMaterials[[#This Row],[Lab Q Model Units 4]]</f>
        <v>#N/A</v>
      </c>
      <c r="AF102" s="392" t="str">
        <f ca="1">IF(RawMaterials[[#This Row],[Lab Quote Count]]&gt;1,SLOPE(LOG(INDIRECT("RawMaterials[@[Lab Unit P 1]:[Lab Unit P "&amp;RawMaterials[[#This Row],[Lab Quote Count]]&amp;"]]")),LOG(INDIRECT("RawMaterials[@[Lab Q Model Units 1]:[Lab Q Model Units "&amp;RawMaterials[[#This Row],[Lab Quote Count]]&amp;"]]"))),"")</f>
        <v/>
      </c>
      <c r="AG102" s="392" t="str">
        <f ca="1">IF(RawMaterials[[#This Row],[Lab Quote Count]]&gt;1,INTERCEPT(LOG(INDIRECT("RawMaterials[@[Lab Unit P 1]:[Lab Unit P "&amp;RawMaterials[[#This Row],[Lab Quote Count]]&amp;"]]")),LOG(INDIRECT("RawMaterials[@[Lab Q Model Units 1]:[Lab Q Model Units "&amp;RawMaterials[[#This Row],[Lab Quote Count]]&amp;"]]"))),"")</f>
        <v/>
      </c>
      <c r="AH102" s="393" t="str">
        <f>IF(RawMaterials[[#This Row],[Material Type]]="Metal Precursor","D13",IF(RawMaterials[[#This Row],[Material Type]]="Ligand","D13","D12"))</f>
        <v>D12</v>
      </c>
      <c r="AI102" s="394" t="str">
        <f ca="1">IF(RawMaterials[[#This Row],[Lab Quote Count]]&gt;1,10^RawMaterials[[#This Row],[Lab Log-Log Intercept]]*INDIRECT(RawMaterials[[#This Row],[Basis Cell]])^RawMaterials[[#This Row],[Lab Log-Log Slope]],"&gt;&gt;&gt; Enter 2 or more lab quotes &lt;&lt;&lt;")</f>
        <v>&gt;&gt;&gt; Enter 2 or more lab quotes &lt;&lt;&lt;</v>
      </c>
      <c r="AJ10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0.30313561050420668</v>
      </c>
      <c r="AL102" s="396">
        <f>IF(ISTEXT(RawMaterials[[#This Row],[Unit price in quote year]]),"Check calcs",RawMaterials[[#This Row],[Unit price in quote year]]/VLOOKUP(RawMaterials[[#This Row],[Quote Year]],ChemPPI[],14,FALSE)*VLOOKUP(BasisYear,ChemPPI[],14,FALSE))</f>
        <v>0.41142033315891063</v>
      </c>
      <c r="AM102" s="397" t="str">
        <f t="shared" si="1"/>
        <v>$/kg (2016)</v>
      </c>
    </row>
    <row r="103" spans="1:39">
      <c r="A103" s="259" t="s">
        <v>1199</v>
      </c>
      <c r="B103" s="260"/>
      <c r="C103" s="351"/>
      <c r="D103" s="351"/>
      <c r="E103" s="260">
        <v>80</v>
      </c>
      <c r="F103" s="260"/>
      <c r="G103" s="351"/>
      <c r="H103" s="351"/>
      <c r="I103" s="262"/>
      <c r="J103" s="351"/>
      <c r="K103" s="351"/>
      <c r="L103" s="351"/>
      <c r="M103" s="351"/>
      <c r="N103" s="351"/>
      <c r="O103" s="351"/>
      <c r="P103" s="261">
        <v>265</v>
      </c>
      <c r="Q103" s="260">
        <v>1</v>
      </c>
      <c r="R103" s="260" t="s">
        <v>401</v>
      </c>
      <c r="S103" s="260">
        <v>2006</v>
      </c>
      <c r="T103" s="260" t="s">
        <v>161</v>
      </c>
      <c r="U103" s="386">
        <v>42653</v>
      </c>
      <c r="V103" s="387"/>
      <c r="W103" s="354">
        <f>COUNT(RawMaterials[[#This Row],[Lab Quantity 1]:[Lab Quantity 4]])</f>
        <v>0</v>
      </c>
      <c r="X10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3" s="392" t="e">
        <f>RawMaterials[[#This Row],[Lab Price 1]]/RawMaterials[[#This Row],[Lab Q Model Units 1]]</f>
        <v>#N/A</v>
      </c>
      <c r="AC103" s="392" t="e">
        <f>RawMaterials[[#This Row],[Lab Price 2]]/RawMaterials[[#This Row],[Lab Q Model Units 2]]</f>
        <v>#N/A</v>
      </c>
      <c r="AD103" s="392" t="e">
        <f>RawMaterials[[#This Row],[Lab Price 3]]/RawMaterials[[#This Row],[Lab Q Model Units 3]]</f>
        <v>#N/A</v>
      </c>
      <c r="AE103" s="392" t="e">
        <f>RawMaterials[[#This Row],[Lab Price 4]]/RawMaterials[[#This Row],[Lab Q Model Units 4]]</f>
        <v>#N/A</v>
      </c>
      <c r="AF103" s="392" t="str">
        <f ca="1">IF(RawMaterials[[#This Row],[Lab Quote Count]]&gt;1,SLOPE(LOG(INDIRECT("RawMaterials[@[Lab Unit P 1]:[Lab Unit P "&amp;RawMaterials[[#This Row],[Lab Quote Count]]&amp;"]]")),LOG(INDIRECT("RawMaterials[@[Lab Q Model Units 1]:[Lab Q Model Units "&amp;RawMaterials[[#This Row],[Lab Quote Count]]&amp;"]]"))),"")</f>
        <v/>
      </c>
      <c r="AG103" s="392" t="str">
        <f ca="1">IF(RawMaterials[[#This Row],[Lab Quote Count]]&gt;1,INTERCEPT(LOG(INDIRECT("RawMaterials[@[Lab Unit P 1]:[Lab Unit P "&amp;RawMaterials[[#This Row],[Lab Quote Count]]&amp;"]]")),LOG(INDIRECT("RawMaterials[@[Lab Q Model Units 1]:[Lab Q Model Units "&amp;RawMaterials[[#This Row],[Lab Quote Count]]&amp;"]]"))),"")</f>
        <v/>
      </c>
      <c r="AH103" s="393" t="str">
        <f>IF(RawMaterials[[#This Row],[Material Type]]="Metal Precursor","D13",IF(RawMaterials[[#This Row],[Material Type]]="Ligand","D13","D12"))</f>
        <v>D12</v>
      </c>
      <c r="AI103" s="394" t="str">
        <f ca="1">IF(RawMaterials[[#This Row],[Lab Quote Count]]&gt;1,10^RawMaterials[[#This Row],[Lab Log-Log Intercept]]*INDIRECT(RawMaterials[[#This Row],[Basis Cell]])^RawMaterials[[#This Row],[Lab Log-Log Slope]],"&gt;&gt;&gt; Enter 2 or more lab quotes &lt;&lt;&lt;")</f>
        <v>&gt;&gt;&gt; Enter 2 or more lab quotes &lt;&lt;&lt;</v>
      </c>
      <c r="AJ10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0.29211249739496281</v>
      </c>
      <c r="AL103" s="396">
        <f>IF(ISTEXT(RawMaterials[[#This Row],[Unit price in quote year]]),"Check calcs",RawMaterials[[#This Row],[Unit price in quote year]]/VLOOKUP(RawMaterials[[#This Row],[Quote Year]],ChemPPI[],14,FALSE)*VLOOKUP(BasisYear,ChemPPI[],14,FALSE))</f>
        <v>0.3964595937713139</v>
      </c>
      <c r="AM103" s="397" t="str">
        <f t="shared" si="1"/>
        <v>$/kg (2016)</v>
      </c>
    </row>
    <row r="104" spans="1:39">
      <c r="A104" s="259" t="s">
        <v>1200</v>
      </c>
      <c r="B104" s="260"/>
      <c r="C104" s="351"/>
      <c r="D104" s="351"/>
      <c r="E104" s="260">
        <v>80</v>
      </c>
      <c r="F104" s="260"/>
      <c r="G104" s="351"/>
      <c r="H104" s="351"/>
      <c r="I104" s="262"/>
      <c r="J104" s="351"/>
      <c r="K104" s="351"/>
      <c r="L104" s="351"/>
      <c r="M104" s="351"/>
      <c r="N104" s="351"/>
      <c r="O104" s="351"/>
      <c r="P104" s="261">
        <v>200</v>
      </c>
      <c r="Q104" s="260">
        <v>1</v>
      </c>
      <c r="R104" s="260" t="s">
        <v>401</v>
      </c>
      <c r="S104" s="260">
        <v>2006</v>
      </c>
      <c r="T104" s="260" t="s">
        <v>161</v>
      </c>
      <c r="U104" s="386">
        <v>42653</v>
      </c>
      <c r="V104" s="387"/>
      <c r="W104" s="354">
        <f>COUNT(RawMaterials[[#This Row],[Lab Quantity 1]:[Lab Quantity 4]])</f>
        <v>0</v>
      </c>
      <c r="X10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4" s="392" t="e">
        <f>RawMaterials[[#This Row],[Lab Price 1]]/RawMaterials[[#This Row],[Lab Q Model Units 1]]</f>
        <v>#N/A</v>
      </c>
      <c r="AC104" s="392" t="e">
        <f>RawMaterials[[#This Row],[Lab Price 2]]/RawMaterials[[#This Row],[Lab Q Model Units 2]]</f>
        <v>#N/A</v>
      </c>
      <c r="AD104" s="392" t="e">
        <f>RawMaterials[[#This Row],[Lab Price 3]]/RawMaterials[[#This Row],[Lab Q Model Units 3]]</f>
        <v>#N/A</v>
      </c>
      <c r="AE104" s="392" t="e">
        <f>RawMaterials[[#This Row],[Lab Price 4]]/RawMaterials[[#This Row],[Lab Q Model Units 4]]</f>
        <v>#N/A</v>
      </c>
      <c r="AF104" s="392" t="str">
        <f ca="1">IF(RawMaterials[[#This Row],[Lab Quote Count]]&gt;1,SLOPE(LOG(INDIRECT("RawMaterials[@[Lab Unit P 1]:[Lab Unit P "&amp;RawMaterials[[#This Row],[Lab Quote Count]]&amp;"]]")),LOG(INDIRECT("RawMaterials[@[Lab Q Model Units 1]:[Lab Q Model Units "&amp;RawMaterials[[#This Row],[Lab Quote Count]]&amp;"]]"))),"")</f>
        <v/>
      </c>
      <c r="AG104" s="392" t="str">
        <f ca="1">IF(RawMaterials[[#This Row],[Lab Quote Count]]&gt;1,INTERCEPT(LOG(INDIRECT("RawMaterials[@[Lab Unit P 1]:[Lab Unit P "&amp;RawMaterials[[#This Row],[Lab Quote Count]]&amp;"]]")),LOG(INDIRECT("RawMaterials[@[Lab Q Model Units 1]:[Lab Q Model Units "&amp;RawMaterials[[#This Row],[Lab Quote Count]]&amp;"]]"))),"")</f>
        <v/>
      </c>
      <c r="AH104" s="393" t="str">
        <f>IF(RawMaterials[[#This Row],[Material Type]]="Metal Precursor","D13",IF(RawMaterials[[#This Row],[Material Type]]="Ligand","D13","D12"))</f>
        <v>D12</v>
      </c>
      <c r="AI104" s="394" t="str">
        <f ca="1">IF(RawMaterials[[#This Row],[Lab Quote Count]]&gt;1,10^RawMaterials[[#This Row],[Lab Log-Log Intercept]]*INDIRECT(RawMaterials[[#This Row],[Basis Cell]])^RawMaterials[[#This Row],[Lab Log-Log Slope]],"&gt;&gt;&gt; Enter 2 or more lab quotes &lt;&lt;&lt;")</f>
        <v>&gt;&gt;&gt; Enter 2 or more lab quotes &lt;&lt;&lt;</v>
      </c>
      <c r="AJ10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0.22046226218487758</v>
      </c>
      <c r="AL104" s="396">
        <f>IF(ISTEXT(RawMaterials[[#This Row],[Unit price in quote year]]),"Check calcs",RawMaterials[[#This Row],[Unit price in quote year]]/VLOOKUP(RawMaterials[[#This Row],[Quote Year]],ChemPPI[],14,FALSE)*VLOOKUP(BasisYear,ChemPPI[],14,FALSE))</f>
        <v>0.29921478775193505</v>
      </c>
      <c r="AM104" s="397" t="str">
        <f t="shared" si="1"/>
        <v>$/kg (2016)</v>
      </c>
    </row>
    <row r="105" spans="1:39">
      <c r="A105" s="259" t="s">
        <v>1201</v>
      </c>
      <c r="B105" s="260"/>
      <c r="C105" s="351"/>
      <c r="D105" s="351"/>
      <c r="E105" s="260">
        <v>35</v>
      </c>
      <c r="F105" s="260"/>
      <c r="G105" s="351"/>
      <c r="H105" s="351"/>
      <c r="I105" s="262"/>
      <c r="J105" s="351"/>
      <c r="K105" s="351"/>
      <c r="L105" s="351"/>
      <c r="M105" s="351"/>
      <c r="N105" s="351"/>
      <c r="O105" s="351"/>
      <c r="P105" s="261">
        <v>142.5</v>
      </c>
      <c r="Q105" s="260">
        <v>1</v>
      </c>
      <c r="R105" s="260" t="s">
        <v>401</v>
      </c>
      <c r="S105" s="260">
        <v>2006</v>
      </c>
      <c r="T105" s="260" t="s">
        <v>161</v>
      </c>
      <c r="U105" s="386">
        <v>42653</v>
      </c>
      <c r="V105" s="387"/>
      <c r="W105" s="354">
        <f>COUNT(RawMaterials[[#This Row],[Lab Quantity 1]:[Lab Quantity 4]])</f>
        <v>0</v>
      </c>
      <c r="X10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5" s="392" t="e">
        <f>RawMaterials[[#This Row],[Lab Price 1]]/RawMaterials[[#This Row],[Lab Q Model Units 1]]</f>
        <v>#N/A</v>
      </c>
      <c r="AC105" s="392" t="e">
        <f>RawMaterials[[#This Row],[Lab Price 2]]/RawMaterials[[#This Row],[Lab Q Model Units 2]]</f>
        <v>#N/A</v>
      </c>
      <c r="AD105" s="392" t="e">
        <f>RawMaterials[[#This Row],[Lab Price 3]]/RawMaterials[[#This Row],[Lab Q Model Units 3]]</f>
        <v>#N/A</v>
      </c>
      <c r="AE105" s="392" t="e">
        <f>RawMaterials[[#This Row],[Lab Price 4]]/RawMaterials[[#This Row],[Lab Q Model Units 4]]</f>
        <v>#N/A</v>
      </c>
      <c r="AF105" s="392" t="str">
        <f ca="1">IF(RawMaterials[[#This Row],[Lab Quote Count]]&gt;1,SLOPE(LOG(INDIRECT("RawMaterials[@[Lab Unit P 1]:[Lab Unit P "&amp;RawMaterials[[#This Row],[Lab Quote Count]]&amp;"]]")),LOG(INDIRECT("RawMaterials[@[Lab Q Model Units 1]:[Lab Q Model Units "&amp;RawMaterials[[#This Row],[Lab Quote Count]]&amp;"]]"))),"")</f>
        <v/>
      </c>
      <c r="AG105" s="392" t="str">
        <f ca="1">IF(RawMaterials[[#This Row],[Lab Quote Count]]&gt;1,INTERCEPT(LOG(INDIRECT("RawMaterials[@[Lab Unit P 1]:[Lab Unit P "&amp;RawMaterials[[#This Row],[Lab Quote Count]]&amp;"]]")),LOG(INDIRECT("RawMaterials[@[Lab Q Model Units 1]:[Lab Q Model Units "&amp;RawMaterials[[#This Row],[Lab Quote Count]]&amp;"]]"))),"")</f>
        <v/>
      </c>
      <c r="AH105" s="393" t="str">
        <f>IF(RawMaterials[[#This Row],[Material Type]]="Metal Precursor","D13",IF(RawMaterials[[#This Row],[Material Type]]="Ligand","D13","D12"))</f>
        <v>D12</v>
      </c>
      <c r="AI105" s="394" t="str">
        <f ca="1">IF(RawMaterials[[#This Row],[Lab Quote Count]]&gt;1,10^RawMaterials[[#This Row],[Lab Log-Log Intercept]]*INDIRECT(RawMaterials[[#This Row],[Basis Cell]])^RawMaterials[[#This Row],[Lab Log-Log Slope]],"&gt;&gt;&gt; Enter 2 or more lab quotes &lt;&lt;&lt;")</f>
        <v>&gt;&gt;&gt; Enter 2 or more lab quotes &lt;&lt;&lt;</v>
      </c>
      <c r="AJ10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0.15707936180672527</v>
      </c>
      <c r="AL105" s="396">
        <f>IF(ISTEXT(RawMaterials[[#This Row],[Unit price in quote year]]),"Check calcs",RawMaterials[[#This Row],[Unit price in quote year]]/VLOOKUP(RawMaterials[[#This Row],[Quote Year]],ChemPPI[],14,FALSE)*VLOOKUP(BasisYear,ChemPPI[],14,FALSE))</f>
        <v>0.21319053627325368</v>
      </c>
      <c r="AM105" s="397" t="str">
        <f t="shared" si="1"/>
        <v>$/kg (2016)</v>
      </c>
    </row>
    <row r="106" spans="1:39">
      <c r="A106" s="259" t="s">
        <v>1202</v>
      </c>
      <c r="B106" s="260"/>
      <c r="C106" s="351"/>
      <c r="D106" s="351"/>
      <c r="E106" s="260">
        <v>45</v>
      </c>
      <c r="F106" s="260"/>
      <c r="G106" s="351"/>
      <c r="H106" s="351"/>
      <c r="I106" s="262"/>
      <c r="J106" s="351"/>
      <c r="K106" s="351"/>
      <c r="L106" s="351"/>
      <c r="M106" s="351"/>
      <c r="N106" s="351"/>
      <c r="O106" s="351"/>
      <c r="P106" s="261">
        <v>167.5</v>
      </c>
      <c r="Q106" s="260">
        <v>1</v>
      </c>
      <c r="R106" s="260" t="s">
        <v>401</v>
      </c>
      <c r="S106" s="260">
        <v>2006</v>
      </c>
      <c r="T106" s="260" t="s">
        <v>161</v>
      </c>
      <c r="U106" s="386">
        <v>42653</v>
      </c>
      <c r="V106" s="387"/>
      <c r="W106" s="354">
        <f>COUNT(RawMaterials[[#This Row],[Lab Quantity 1]:[Lab Quantity 4]])</f>
        <v>0</v>
      </c>
      <c r="X10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6" s="392" t="e">
        <f>RawMaterials[[#This Row],[Lab Price 1]]/RawMaterials[[#This Row],[Lab Q Model Units 1]]</f>
        <v>#N/A</v>
      </c>
      <c r="AC106" s="392" t="e">
        <f>RawMaterials[[#This Row],[Lab Price 2]]/RawMaterials[[#This Row],[Lab Q Model Units 2]]</f>
        <v>#N/A</v>
      </c>
      <c r="AD106" s="392" t="e">
        <f>RawMaterials[[#This Row],[Lab Price 3]]/RawMaterials[[#This Row],[Lab Q Model Units 3]]</f>
        <v>#N/A</v>
      </c>
      <c r="AE106" s="392" t="e">
        <f>RawMaterials[[#This Row],[Lab Price 4]]/RawMaterials[[#This Row],[Lab Q Model Units 4]]</f>
        <v>#N/A</v>
      </c>
      <c r="AF106" s="392" t="str">
        <f ca="1">IF(RawMaterials[[#This Row],[Lab Quote Count]]&gt;1,SLOPE(LOG(INDIRECT("RawMaterials[@[Lab Unit P 1]:[Lab Unit P "&amp;RawMaterials[[#This Row],[Lab Quote Count]]&amp;"]]")),LOG(INDIRECT("RawMaterials[@[Lab Q Model Units 1]:[Lab Q Model Units "&amp;RawMaterials[[#This Row],[Lab Quote Count]]&amp;"]]"))),"")</f>
        <v/>
      </c>
      <c r="AG106" s="392" t="str">
        <f ca="1">IF(RawMaterials[[#This Row],[Lab Quote Count]]&gt;1,INTERCEPT(LOG(INDIRECT("RawMaterials[@[Lab Unit P 1]:[Lab Unit P "&amp;RawMaterials[[#This Row],[Lab Quote Count]]&amp;"]]")),LOG(INDIRECT("RawMaterials[@[Lab Q Model Units 1]:[Lab Q Model Units "&amp;RawMaterials[[#This Row],[Lab Quote Count]]&amp;"]]"))),"")</f>
        <v/>
      </c>
      <c r="AH106" s="393" t="str">
        <f>IF(RawMaterials[[#This Row],[Material Type]]="Metal Precursor","D13",IF(RawMaterials[[#This Row],[Material Type]]="Ligand","D13","D12"))</f>
        <v>D12</v>
      </c>
      <c r="AI106" s="394" t="str">
        <f ca="1">IF(RawMaterials[[#This Row],[Lab Quote Count]]&gt;1,10^RawMaterials[[#This Row],[Lab Log-Log Intercept]]*INDIRECT(RawMaterials[[#This Row],[Basis Cell]])^RawMaterials[[#This Row],[Lab Log-Log Slope]],"&gt;&gt;&gt; Enter 2 or more lab quotes &lt;&lt;&lt;")</f>
        <v>&gt;&gt;&gt; Enter 2 or more lab quotes &lt;&lt;&lt;</v>
      </c>
      <c r="AJ10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0.18463714457983496</v>
      </c>
      <c r="AL106" s="396">
        <f>IF(ISTEXT(RawMaterials[[#This Row],[Unit price in quote year]]),"Check calcs",RawMaterials[[#This Row],[Unit price in quote year]]/VLOOKUP(RawMaterials[[#This Row],[Quote Year]],ChemPPI[],14,FALSE)*VLOOKUP(BasisYear,ChemPPI[],14,FALSE))</f>
        <v>0.25059238474224554</v>
      </c>
      <c r="AM106" s="397" t="str">
        <f t="shared" si="1"/>
        <v>$/kg (2016)</v>
      </c>
    </row>
    <row r="107" spans="1:39">
      <c r="A107" s="259" t="s">
        <v>1203</v>
      </c>
      <c r="B107" s="260"/>
      <c r="C107" s="351"/>
      <c r="D107" s="351"/>
      <c r="E107" s="260">
        <v>100</v>
      </c>
      <c r="F107" s="260"/>
      <c r="G107" s="351"/>
      <c r="H107" s="351"/>
      <c r="I107" s="262"/>
      <c r="J107" s="351"/>
      <c r="K107" s="351"/>
      <c r="L107" s="351"/>
      <c r="M107" s="351"/>
      <c r="N107" s="351"/>
      <c r="O107" s="351"/>
      <c r="P107" s="261">
        <v>5.75</v>
      </c>
      <c r="Q107" s="260">
        <v>1</v>
      </c>
      <c r="R107" s="260" t="s">
        <v>71</v>
      </c>
      <c r="S107" s="260">
        <v>2006</v>
      </c>
      <c r="T107" s="260" t="s">
        <v>161</v>
      </c>
      <c r="U107" s="386">
        <v>42653</v>
      </c>
      <c r="V107" s="387"/>
      <c r="W107" s="354">
        <f>COUNT(RawMaterials[[#This Row],[Lab Quantity 1]:[Lab Quantity 4]])</f>
        <v>0</v>
      </c>
      <c r="X10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7" s="392" t="e">
        <f>RawMaterials[[#This Row],[Lab Price 1]]/RawMaterials[[#This Row],[Lab Q Model Units 1]]</f>
        <v>#N/A</v>
      </c>
      <c r="AC107" s="392" t="e">
        <f>RawMaterials[[#This Row],[Lab Price 2]]/RawMaterials[[#This Row],[Lab Q Model Units 2]]</f>
        <v>#N/A</v>
      </c>
      <c r="AD107" s="392" t="e">
        <f>RawMaterials[[#This Row],[Lab Price 3]]/RawMaterials[[#This Row],[Lab Q Model Units 3]]</f>
        <v>#N/A</v>
      </c>
      <c r="AE107" s="392" t="e">
        <f>RawMaterials[[#This Row],[Lab Price 4]]/RawMaterials[[#This Row],[Lab Q Model Units 4]]</f>
        <v>#N/A</v>
      </c>
      <c r="AF107" s="392" t="str">
        <f ca="1">IF(RawMaterials[[#This Row],[Lab Quote Count]]&gt;1,SLOPE(LOG(INDIRECT("RawMaterials[@[Lab Unit P 1]:[Lab Unit P "&amp;RawMaterials[[#This Row],[Lab Quote Count]]&amp;"]]")),LOG(INDIRECT("RawMaterials[@[Lab Q Model Units 1]:[Lab Q Model Units "&amp;RawMaterials[[#This Row],[Lab Quote Count]]&amp;"]]"))),"")</f>
        <v/>
      </c>
      <c r="AG107" s="392" t="str">
        <f ca="1">IF(RawMaterials[[#This Row],[Lab Quote Count]]&gt;1,INTERCEPT(LOG(INDIRECT("RawMaterials[@[Lab Unit P 1]:[Lab Unit P "&amp;RawMaterials[[#This Row],[Lab Quote Count]]&amp;"]]")),LOG(INDIRECT("RawMaterials[@[Lab Q Model Units 1]:[Lab Q Model Units "&amp;RawMaterials[[#This Row],[Lab Quote Count]]&amp;"]]"))),"")</f>
        <v/>
      </c>
      <c r="AH107" s="393" t="str">
        <f>IF(RawMaterials[[#This Row],[Material Type]]="Metal Precursor","D13",IF(RawMaterials[[#This Row],[Material Type]]="Ligand","D13","D12"))</f>
        <v>D12</v>
      </c>
      <c r="AI107" s="394" t="str">
        <f ca="1">IF(RawMaterials[[#This Row],[Lab Quote Count]]&gt;1,10^RawMaterials[[#This Row],[Lab Log-Log Intercept]]*INDIRECT(RawMaterials[[#This Row],[Basis Cell]])^RawMaterials[[#This Row],[Lab Log-Log Slope]],"&gt;&gt;&gt; Enter 2 or more lab quotes &lt;&lt;&lt;")</f>
        <v>&gt;&gt;&gt; Enter 2 or more lab quotes &lt;&lt;&lt;</v>
      </c>
      <c r="AJ10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5.75</v>
      </c>
      <c r="AL107" s="396">
        <f>IF(ISTEXT(RawMaterials[[#This Row],[Unit price in quote year]]),"Check calcs",RawMaterials[[#This Row],[Unit price in quote year]]/VLOOKUP(RawMaterials[[#This Row],[Quote Year]],ChemPPI[],14,FALSE)*VLOOKUP(BasisYear,ChemPPI[],14,FALSE))</f>
        <v>7.8039888211382129</v>
      </c>
      <c r="AM107" s="397" t="str">
        <f t="shared" si="1"/>
        <v>$/kg (2016)</v>
      </c>
    </row>
    <row r="108" spans="1:39">
      <c r="A108" s="259" t="s">
        <v>1204</v>
      </c>
      <c r="B108" s="260"/>
      <c r="C108" s="351"/>
      <c r="D108" s="351"/>
      <c r="E108" s="260">
        <v>100</v>
      </c>
      <c r="F108" s="260"/>
      <c r="G108" s="351"/>
      <c r="H108" s="351"/>
      <c r="I108" s="262"/>
      <c r="J108" s="351"/>
      <c r="K108" s="351"/>
      <c r="L108" s="351"/>
      <c r="M108" s="351"/>
      <c r="N108" s="351"/>
      <c r="O108" s="351"/>
      <c r="P108" s="261">
        <v>0.72</v>
      </c>
      <c r="Q108" s="260">
        <v>1</v>
      </c>
      <c r="R108" s="260" t="s">
        <v>20</v>
      </c>
      <c r="S108" s="260">
        <v>2006</v>
      </c>
      <c r="T108" s="260" t="s">
        <v>161</v>
      </c>
      <c r="U108" s="386">
        <v>42653</v>
      </c>
      <c r="V108" s="387"/>
      <c r="W108" s="354">
        <f>COUNT(RawMaterials[[#This Row],[Lab Quantity 1]:[Lab Quantity 4]])</f>
        <v>0</v>
      </c>
      <c r="X10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8" s="392" t="e">
        <f>RawMaterials[[#This Row],[Lab Price 1]]/RawMaterials[[#This Row],[Lab Q Model Units 1]]</f>
        <v>#N/A</v>
      </c>
      <c r="AC108" s="392" t="e">
        <f>RawMaterials[[#This Row],[Lab Price 2]]/RawMaterials[[#This Row],[Lab Q Model Units 2]]</f>
        <v>#N/A</v>
      </c>
      <c r="AD108" s="392" t="e">
        <f>RawMaterials[[#This Row],[Lab Price 3]]/RawMaterials[[#This Row],[Lab Q Model Units 3]]</f>
        <v>#N/A</v>
      </c>
      <c r="AE108" s="392" t="e">
        <f>RawMaterials[[#This Row],[Lab Price 4]]/RawMaterials[[#This Row],[Lab Q Model Units 4]]</f>
        <v>#N/A</v>
      </c>
      <c r="AF108" s="392" t="str">
        <f ca="1">IF(RawMaterials[[#This Row],[Lab Quote Count]]&gt;1,SLOPE(LOG(INDIRECT("RawMaterials[@[Lab Unit P 1]:[Lab Unit P "&amp;RawMaterials[[#This Row],[Lab Quote Count]]&amp;"]]")),LOG(INDIRECT("RawMaterials[@[Lab Q Model Units 1]:[Lab Q Model Units "&amp;RawMaterials[[#This Row],[Lab Quote Count]]&amp;"]]"))),"")</f>
        <v/>
      </c>
      <c r="AG108" s="392" t="str">
        <f ca="1">IF(RawMaterials[[#This Row],[Lab Quote Count]]&gt;1,INTERCEPT(LOG(INDIRECT("RawMaterials[@[Lab Unit P 1]:[Lab Unit P "&amp;RawMaterials[[#This Row],[Lab Quote Count]]&amp;"]]")),LOG(INDIRECT("RawMaterials[@[Lab Q Model Units 1]:[Lab Q Model Units "&amp;RawMaterials[[#This Row],[Lab Quote Count]]&amp;"]]"))),"")</f>
        <v/>
      </c>
      <c r="AH108" s="393" t="str">
        <f>IF(RawMaterials[[#This Row],[Material Type]]="Metal Precursor","D13",IF(RawMaterials[[#This Row],[Material Type]]="Ligand","D13","D12"))</f>
        <v>D12</v>
      </c>
      <c r="AI108" s="394" t="str">
        <f ca="1">IF(RawMaterials[[#This Row],[Lab Quote Count]]&gt;1,10^RawMaterials[[#This Row],[Lab Log-Log Intercept]]*INDIRECT(RawMaterials[[#This Row],[Basis Cell]])^RawMaterials[[#This Row],[Lab Log-Log Slope]],"&gt;&gt;&gt; Enter 2 or more lab quotes &lt;&lt;&lt;")</f>
        <v>&gt;&gt;&gt; Enter 2 or more lab quotes &lt;&lt;&lt;</v>
      </c>
      <c r="AJ10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0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1.5873282877311183</v>
      </c>
      <c r="AL108" s="396">
        <f>IF(ISTEXT(RawMaterials[[#This Row],[Unit price in quote year]]),"Check calcs",RawMaterials[[#This Row],[Unit price in quote year]]/VLOOKUP(RawMaterials[[#This Row],[Quote Year]],ChemPPI[],14,FALSE)*VLOOKUP(BasisYear,ChemPPI[],14,FALSE))</f>
        <v>2.1543464718139318</v>
      </c>
      <c r="AM108" s="397" t="str">
        <f t="shared" si="1"/>
        <v>$/kg (2016)</v>
      </c>
    </row>
    <row r="109" spans="1:39">
      <c r="A109" s="259" t="s">
        <v>1205</v>
      </c>
      <c r="B109" s="260"/>
      <c r="C109" s="351"/>
      <c r="D109" s="351"/>
      <c r="E109" s="260">
        <v>100</v>
      </c>
      <c r="F109" s="260"/>
      <c r="G109" s="351"/>
      <c r="H109" s="351"/>
      <c r="I109" s="262"/>
      <c r="J109" s="351"/>
      <c r="K109" s="351"/>
      <c r="L109" s="351"/>
      <c r="M109" s="351"/>
      <c r="N109" s="351"/>
      <c r="O109" s="351"/>
      <c r="P109" s="261">
        <v>26.5</v>
      </c>
      <c r="Q109" s="260">
        <v>1</v>
      </c>
      <c r="R109" s="260" t="s">
        <v>71</v>
      </c>
      <c r="S109" s="260">
        <v>2006</v>
      </c>
      <c r="T109" s="260" t="s">
        <v>161</v>
      </c>
      <c r="U109" s="386">
        <v>42653</v>
      </c>
      <c r="V109" s="387"/>
      <c r="W109" s="354">
        <f>COUNT(RawMaterials[[#This Row],[Lab Quantity 1]:[Lab Quantity 4]])</f>
        <v>0</v>
      </c>
      <c r="X10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9" s="392" t="e">
        <f>RawMaterials[[#This Row],[Lab Price 1]]/RawMaterials[[#This Row],[Lab Q Model Units 1]]</f>
        <v>#N/A</v>
      </c>
      <c r="AC109" s="392" t="e">
        <f>RawMaterials[[#This Row],[Lab Price 2]]/RawMaterials[[#This Row],[Lab Q Model Units 2]]</f>
        <v>#N/A</v>
      </c>
      <c r="AD109" s="392" t="e">
        <f>RawMaterials[[#This Row],[Lab Price 3]]/RawMaterials[[#This Row],[Lab Q Model Units 3]]</f>
        <v>#N/A</v>
      </c>
      <c r="AE109" s="392" t="e">
        <f>RawMaterials[[#This Row],[Lab Price 4]]/RawMaterials[[#This Row],[Lab Q Model Units 4]]</f>
        <v>#N/A</v>
      </c>
      <c r="AF109" s="392" t="str">
        <f ca="1">IF(RawMaterials[[#This Row],[Lab Quote Count]]&gt;1,SLOPE(LOG(INDIRECT("RawMaterials[@[Lab Unit P 1]:[Lab Unit P "&amp;RawMaterials[[#This Row],[Lab Quote Count]]&amp;"]]")),LOG(INDIRECT("RawMaterials[@[Lab Q Model Units 1]:[Lab Q Model Units "&amp;RawMaterials[[#This Row],[Lab Quote Count]]&amp;"]]"))),"")</f>
        <v/>
      </c>
      <c r="AG109" s="392" t="str">
        <f ca="1">IF(RawMaterials[[#This Row],[Lab Quote Count]]&gt;1,INTERCEPT(LOG(INDIRECT("RawMaterials[@[Lab Unit P 1]:[Lab Unit P "&amp;RawMaterials[[#This Row],[Lab Quote Count]]&amp;"]]")),LOG(INDIRECT("RawMaterials[@[Lab Q Model Units 1]:[Lab Q Model Units "&amp;RawMaterials[[#This Row],[Lab Quote Count]]&amp;"]]"))),"")</f>
        <v/>
      </c>
      <c r="AH109" s="393" t="str">
        <f>IF(RawMaterials[[#This Row],[Material Type]]="Metal Precursor","D13",IF(RawMaterials[[#This Row],[Material Type]]="Ligand","D13","D12"))</f>
        <v>D12</v>
      </c>
      <c r="AI109" s="394" t="str">
        <f ca="1">IF(RawMaterials[[#This Row],[Lab Quote Count]]&gt;1,10^RawMaterials[[#This Row],[Lab Log-Log Intercept]]*INDIRECT(RawMaterials[[#This Row],[Basis Cell]])^RawMaterials[[#This Row],[Lab Log-Log Slope]],"&gt;&gt;&gt; Enter 2 or more lab quotes &lt;&lt;&lt;")</f>
        <v>&gt;&gt;&gt; Enter 2 or more lab quotes &lt;&lt;&lt;</v>
      </c>
      <c r="AJ10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26.5</v>
      </c>
      <c r="AL109" s="396">
        <f>IF(ISTEXT(RawMaterials[[#This Row],[Unit price in quote year]]),"Check calcs",RawMaterials[[#This Row],[Unit price in quote year]]/VLOOKUP(RawMaterials[[#This Row],[Quote Year]],ChemPPI[],14,FALSE)*VLOOKUP(BasisYear,ChemPPI[],14,FALSE))</f>
        <v>35.966209349593505</v>
      </c>
      <c r="AM109" s="397" t="str">
        <f t="shared" si="1"/>
        <v>$/kg (2016)</v>
      </c>
    </row>
    <row r="110" spans="1:39">
      <c r="A110" s="259" t="s">
        <v>1206</v>
      </c>
      <c r="B110" s="260"/>
      <c r="C110" s="351"/>
      <c r="D110" s="351"/>
      <c r="E110" s="260">
        <v>100</v>
      </c>
      <c r="F110" s="260"/>
      <c r="G110" s="351"/>
      <c r="H110" s="351"/>
      <c r="I110" s="262"/>
      <c r="J110" s="351"/>
      <c r="K110" s="351"/>
      <c r="L110" s="351"/>
      <c r="M110" s="351"/>
      <c r="N110" s="351"/>
      <c r="O110" s="351"/>
      <c r="P110" s="261">
        <v>95.375</v>
      </c>
      <c r="Q110" s="260">
        <v>100</v>
      </c>
      <c r="R110" s="260" t="s">
        <v>20</v>
      </c>
      <c r="S110" s="260">
        <v>2006</v>
      </c>
      <c r="T110" s="260" t="s">
        <v>161</v>
      </c>
      <c r="U110" s="386">
        <v>42653</v>
      </c>
      <c r="V110" s="387"/>
      <c r="W110" s="354">
        <f>COUNT(RawMaterials[[#This Row],[Lab Quantity 1]:[Lab Quantity 4]])</f>
        <v>0</v>
      </c>
      <c r="X11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0" s="392" t="e">
        <f>RawMaterials[[#This Row],[Lab Price 1]]/RawMaterials[[#This Row],[Lab Q Model Units 1]]</f>
        <v>#N/A</v>
      </c>
      <c r="AC110" s="392" t="e">
        <f>RawMaterials[[#This Row],[Lab Price 2]]/RawMaterials[[#This Row],[Lab Q Model Units 2]]</f>
        <v>#N/A</v>
      </c>
      <c r="AD110" s="392" t="e">
        <f>RawMaterials[[#This Row],[Lab Price 3]]/RawMaterials[[#This Row],[Lab Q Model Units 3]]</f>
        <v>#N/A</v>
      </c>
      <c r="AE110" s="392" t="e">
        <f>RawMaterials[[#This Row],[Lab Price 4]]/RawMaterials[[#This Row],[Lab Q Model Units 4]]</f>
        <v>#N/A</v>
      </c>
      <c r="AF110" s="392" t="str">
        <f ca="1">IF(RawMaterials[[#This Row],[Lab Quote Count]]&gt;1,SLOPE(LOG(INDIRECT("RawMaterials[@[Lab Unit P 1]:[Lab Unit P "&amp;RawMaterials[[#This Row],[Lab Quote Count]]&amp;"]]")),LOG(INDIRECT("RawMaterials[@[Lab Q Model Units 1]:[Lab Q Model Units "&amp;RawMaterials[[#This Row],[Lab Quote Count]]&amp;"]]"))),"")</f>
        <v/>
      </c>
      <c r="AG110" s="392" t="str">
        <f ca="1">IF(RawMaterials[[#This Row],[Lab Quote Count]]&gt;1,INTERCEPT(LOG(INDIRECT("RawMaterials[@[Lab Unit P 1]:[Lab Unit P "&amp;RawMaterials[[#This Row],[Lab Quote Count]]&amp;"]]")),LOG(INDIRECT("RawMaterials[@[Lab Q Model Units 1]:[Lab Q Model Units "&amp;RawMaterials[[#This Row],[Lab Quote Count]]&amp;"]]"))),"")</f>
        <v/>
      </c>
      <c r="AH110" s="393" t="str">
        <f>IF(RawMaterials[[#This Row],[Material Type]]="Metal Precursor","D13",IF(RawMaterials[[#This Row],[Material Type]]="Ligand","D13","D12"))</f>
        <v>D12</v>
      </c>
      <c r="AI110" s="394" t="str">
        <f ca="1">IF(RawMaterials[[#This Row],[Lab Quote Count]]&gt;1,10^RawMaterials[[#This Row],[Lab Log-Log Intercept]]*INDIRECT(RawMaterials[[#This Row],[Basis Cell]])^RawMaterials[[#This Row],[Lab Log-Log Slope]],"&gt;&gt;&gt; Enter 2 or more lab quotes &lt;&lt;&lt;")</f>
        <v>&gt;&gt;&gt; Enter 2 or more lab quotes &lt;&lt;&lt;</v>
      </c>
      <c r="AJ11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2.1026588255882701</v>
      </c>
      <c r="AL110" s="396">
        <f>IF(ISTEXT(RawMaterials[[#This Row],[Unit price in quote year]]),"Check calcs",RawMaterials[[#This Row],[Unit price in quote year]]/VLOOKUP(RawMaterials[[#This Row],[Quote Year]],ChemPPI[],14,FALSE)*VLOOKUP(BasisYear,ChemPPI[],14,FALSE))</f>
        <v>2.8537610381840808</v>
      </c>
      <c r="AM110" s="397" t="str">
        <f t="shared" si="1"/>
        <v>$/kg (2016)</v>
      </c>
    </row>
    <row r="111" spans="1:39">
      <c r="A111" s="259" t="s">
        <v>1207</v>
      </c>
      <c r="B111" s="260"/>
      <c r="C111" s="351"/>
      <c r="D111" s="351"/>
      <c r="E111" s="260">
        <v>100</v>
      </c>
      <c r="F111" s="260"/>
      <c r="G111" s="351"/>
      <c r="H111" s="351"/>
      <c r="I111" s="262"/>
      <c r="J111" s="351"/>
      <c r="K111" s="351"/>
      <c r="L111" s="351"/>
      <c r="M111" s="351"/>
      <c r="N111" s="351"/>
      <c r="O111" s="351"/>
      <c r="P111" s="261">
        <v>63.875</v>
      </c>
      <c r="Q111" s="260">
        <v>100</v>
      </c>
      <c r="R111" s="260" t="s">
        <v>20</v>
      </c>
      <c r="S111" s="260">
        <v>2006</v>
      </c>
      <c r="T111" s="260" t="s">
        <v>161</v>
      </c>
      <c r="U111" s="386">
        <v>42653</v>
      </c>
      <c r="V111" s="387"/>
      <c r="W111" s="354">
        <f>COUNT(RawMaterials[[#This Row],[Lab Quantity 1]:[Lab Quantity 4]])</f>
        <v>0</v>
      </c>
      <c r="X11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1" s="392" t="e">
        <f>RawMaterials[[#This Row],[Lab Price 1]]/RawMaterials[[#This Row],[Lab Q Model Units 1]]</f>
        <v>#N/A</v>
      </c>
      <c r="AC111" s="392" t="e">
        <f>RawMaterials[[#This Row],[Lab Price 2]]/RawMaterials[[#This Row],[Lab Q Model Units 2]]</f>
        <v>#N/A</v>
      </c>
      <c r="AD111" s="392" t="e">
        <f>RawMaterials[[#This Row],[Lab Price 3]]/RawMaterials[[#This Row],[Lab Q Model Units 3]]</f>
        <v>#N/A</v>
      </c>
      <c r="AE111" s="392" t="e">
        <f>RawMaterials[[#This Row],[Lab Price 4]]/RawMaterials[[#This Row],[Lab Q Model Units 4]]</f>
        <v>#N/A</v>
      </c>
      <c r="AF111" s="392" t="str">
        <f ca="1">IF(RawMaterials[[#This Row],[Lab Quote Count]]&gt;1,SLOPE(LOG(INDIRECT("RawMaterials[@[Lab Unit P 1]:[Lab Unit P "&amp;RawMaterials[[#This Row],[Lab Quote Count]]&amp;"]]")),LOG(INDIRECT("RawMaterials[@[Lab Q Model Units 1]:[Lab Q Model Units "&amp;RawMaterials[[#This Row],[Lab Quote Count]]&amp;"]]"))),"")</f>
        <v/>
      </c>
      <c r="AG111" s="392" t="str">
        <f ca="1">IF(RawMaterials[[#This Row],[Lab Quote Count]]&gt;1,INTERCEPT(LOG(INDIRECT("RawMaterials[@[Lab Unit P 1]:[Lab Unit P "&amp;RawMaterials[[#This Row],[Lab Quote Count]]&amp;"]]")),LOG(INDIRECT("RawMaterials[@[Lab Q Model Units 1]:[Lab Q Model Units "&amp;RawMaterials[[#This Row],[Lab Quote Count]]&amp;"]]"))),"")</f>
        <v/>
      </c>
      <c r="AH111" s="393" t="str">
        <f>IF(RawMaterials[[#This Row],[Material Type]]="Metal Precursor","D13",IF(RawMaterials[[#This Row],[Material Type]]="Ligand","D13","D12"))</f>
        <v>D12</v>
      </c>
      <c r="AI111" s="394" t="str">
        <f ca="1">IF(RawMaterials[[#This Row],[Lab Quote Count]]&gt;1,10^RawMaterials[[#This Row],[Lab Log-Log Intercept]]*INDIRECT(RawMaterials[[#This Row],[Basis Cell]])^RawMaterials[[#This Row],[Lab Log-Log Slope]],"&gt;&gt;&gt; Enter 2 or more lab quotes &lt;&lt;&lt;")</f>
        <v>&gt;&gt;&gt; Enter 2 or more lab quotes &lt;&lt;&lt;</v>
      </c>
      <c r="AJ11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1.4082026997059056</v>
      </c>
      <c r="AL111" s="396">
        <f>IF(ISTEXT(RawMaterials[[#This Row],[Unit price in quote year]]),"Check calcs",RawMaterials[[#This Row],[Unit price in quote year]]/VLOOKUP(RawMaterials[[#This Row],[Quote Year]],ChemPPI[],14,FALSE)*VLOOKUP(BasisYear,ChemPPI[],14,FALSE))</f>
        <v>1.9112344567654851</v>
      </c>
      <c r="AM111" s="397" t="str">
        <f t="shared" si="1"/>
        <v>$/kg (2016)</v>
      </c>
    </row>
    <row r="112" spans="1:39">
      <c r="A112" s="259" t="s">
        <v>1208</v>
      </c>
      <c r="B112" s="260"/>
      <c r="C112" s="351"/>
      <c r="D112" s="351"/>
      <c r="E112" s="260">
        <v>100</v>
      </c>
      <c r="F112" s="260"/>
      <c r="G112" s="351"/>
      <c r="H112" s="351"/>
      <c r="I112" s="262"/>
      <c r="J112" s="351"/>
      <c r="K112" s="351"/>
      <c r="L112" s="351"/>
      <c r="M112" s="351"/>
      <c r="N112" s="351"/>
      <c r="O112" s="351"/>
      <c r="P112" s="261">
        <v>83</v>
      </c>
      <c r="Q112" s="260">
        <v>100</v>
      </c>
      <c r="R112" s="260" t="s">
        <v>20</v>
      </c>
      <c r="S112" s="260">
        <v>2006</v>
      </c>
      <c r="T112" s="260" t="s">
        <v>161</v>
      </c>
      <c r="U112" s="386">
        <v>42653</v>
      </c>
      <c r="V112" s="387"/>
      <c r="W112" s="354">
        <f>COUNT(RawMaterials[[#This Row],[Lab Quantity 1]:[Lab Quantity 4]])</f>
        <v>0</v>
      </c>
      <c r="X11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2" s="392" t="e">
        <f>RawMaterials[[#This Row],[Lab Price 1]]/RawMaterials[[#This Row],[Lab Q Model Units 1]]</f>
        <v>#N/A</v>
      </c>
      <c r="AC112" s="392" t="e">
        <f>RawMaterials[[#This Row],[Lab Price 2]]/RawMaterials[[#This Row],[Lab Q Model Units 2]]</f>
        <v>#N/A</v>
      </c>
      <c r="AD112" s="392" t="e">
        <f>RawMaterials[[#This Row],[Lab Price 3]]/RawMaterials[[#This Row],[Lab Q Model Units 3]]</f>
        <v>#N/A</v>
      </c>
      <c r="AE112" s="392" t="e">
        <f>RawMaterials[[#This Row],[Lab Price 4]]/RawMaterials[[#This Row],[Lab Q Model Units 4]]</f>
        <v>#N/A</v>
      </c>
      <c r="AF112" s="392" t="str">
        <f ca="1">IF(RawMaterials[[#This Row],[Lab Quote Count]]&gt;1,SLOPE(LOG(INDIRECT("RawMaterials[@[Lab Unit P 1]:[Lab Unit P "&amp;RawMaterials[[#This Row],[Lab Quote Count]]&amp;"]]")),LOG(INDIRECT("RawMaterials[@[Lab Q Model Units 1]:[Lab Q Model Units "&amp;RawMaterials[[#This Row],[Lab Quote Count]]&amp;"]]"))),"")</f>
        <v/>
      </c>
      <c r="AG112" s="392" t="str">
        <f ca="1">IF(RawMaterials[[#This Row],[Lab Quote Count]]&gt;1,INTERCEPT(LOG(INDIRECT("RawMaterials[@[Lab Unit P 1]:[Lab Unit P "&amp;RawMaterials[[#This Row],[Lab Quote Count]]&amp;"]]")),LOG(INDIRECT("RawMaterials[@[Lab Q Model Units 1]:[Lab Q Model Units "&amp;RawMaterials[[#This Row],[Lab Quote Count]]&amp;"]]"))),"")</f>
        <v/>
      </c>
      <c r="AH112" s="393" t="str">
        <f>IF(RawMaterials[[#This Row],[Material Type]]="Metal Precursor","D13",IF(RawMaterials[[#This Row],[Material Type]]="Ligand","D13","D12"))</f>
        <v>D12</v>
      </c>
      <c r="AI112" s="394" t="str">
        <f ca="1">IF(RawMaterials[[#This Row],[Lab Quote Count]]&gt;1,10^RawMaterials[[#This Row],[Lab Log-Log Intercept]]*INDIRECT(RawMaterials[[#This Row],[Basis Cell]])^RawMaterials[[#This Row],[Lab Log-Log Slope]],"&gt;&gt;&gt; Enter 2 or more lab quotes &lt;&lt;&lt;")</f>
        <v>&gt;&gt;&gt; Enter 2 or more lab quotes &lt;&lt;&lt;</v>
      </c>
      <c r="AJ11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1.8298367761344838</v>
      </c>
      <c r="AL112" s="396">
        <f>IF(ISTEXT(RawMaterials[[#This Row],[Unit price in quote year]]),"Check calcs",RawMaterials[[#This Row],[Unit price in quote year]]/VLOOKUP(RawMaterials[[#This Row],[Quote Year]],ChemPPI[],14,FALSE)*VLOOKUP(BasisYear,ChemPPI[],14,FALSE))</f>
        <v>2.4834827383410607</v>
      </c>
      <c r="AM112" s="397" t="str">
        <f t="shared" si="1"/>
        <v>$/kg (2016)</v>
      </c>
    </row>
    <row r="113" spans="1:39">
      <c r="A113" s="259" t="s">
        <v>1209</v>
      </c>
      <c r="B113" s="260"/>
      <c r="C113" s="351"/>
      <c r="D113" s="351"/>
      <c r="E113" s="260">
        <v>100</v>
      </c>
      <c r="F113" s="260"/>
      <c r="G113" s="351"/>
      <c r="H113" s="351"/>
      <c r="I113" s="262"/>
      <c r="J113" s="351"/>
      <c r="K113" s="351"/>
      <c r="L113" s="351"/>
      <c r="M113" s="351"/>
      <c r="N113" s="351"/>
      <c r="O113" s="351"/>
      <c r="P113" s="261">
        <v>229</v>
      </c>
      <c r="Q113" s="260">
        <v>1</v>
      </c>
      <c r="R113" s="260" t="s">
        <v>401</v>
      </c>
      <c r="S113" s="260">
        <v>2006</v>
      </c>
      <c r="T113" s="260" t="s">
        <v>161</v>
      </c>
      <c r="U113" s="386">
        <v>42653</v>
      </c>
      <c r="V113" s="387"/>
      <c r="W113" s="354">
        <f>COUNT(RawMaterials[[#This Row],[Lab Quantity 1]:[Lab Quantity 4]])</f>
        <v>0</v>
      </c>
      <c r="X11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3" s="392" t="e">
        <f>RawMaterials[[#This Row],[Lab Price 1]]/RawMaterials[[#This Row],[Lab Q Model Units 1]]</f>
        <v>#N/A</v>
      </c>
      <c r="AC113" s="392" t="e">
        <f>RawMaterials[[#This Row],[Lab Price 2]]/RawMaterials[[#This Row],[Lab Q Model Units 2]]</f>
        <v>#N/A</v>
      </c>
      <c r="AD113" s="392" t="e">
        <f>RawMaterials[[#This Row],[Lab Price 3]]/RawMaterials[[#This Row],[Lab Q Model Units 3]]</f>
        <v>#N/A</v>
      </c>
      <c r="AE113" s="392" t="e">
        <f>RawMaterials[[#This Row],[Lab Price 4]]/RawMaterials[[#This Row],[Lab Q Model Units 4]]</f>
        <v>#N/A</v>
      </c>
      <c r="AF113" s="392" t="str">
        <f ca="1">IF(RawMaterials[[#This Row],[Lab Quote Count]]&gt;1,SLOPE(LOG(INDIRECT("RawMaterials[@[Lab Unit P 1]:[Lab Unit P "&amp;RawMaterials[[#This Row],[Lab Quote Count]]&amp;"]]")),LOG(INDIRECT("RawMaterials[@[Lab Q Model Units 1]:[Lab Q Model Units "&amp;RawMaterials[[#This Row],[Lab Quote Count]]&amp;"]]"))),"")</f>
        <v/>
      </c>
      <c r="AG113" s="392" t="str">
        <f ca="1">IF(RawMaterials[[#This Row],[Lab Quote Count]]&gt;1,INTERCEPT(LOG(INDIRECT("RawMaterials[@[Lab Unit P 1]:[Lab Unit P "&amp;RawMaterials[[#This Row],[Lab Quote Count]]&amp;"]]")),LOG(INDIRECT("RawMaterials[@[Lab Q Model Units 1]:[Lab Q Model Units "&amp;RawMaterials[[#This Row],[Lab Quote Count]]&amp;"]]"))),"")</f>
        <v/>
      </c>
      <c r="AH113" s="393" t="str">
        <f>IF(RawMaterials[[#This Row],[Material Type]]="Metal Precursor","D13",IF(RawMaterials[[#This Row],[Material Type]]="Ligand","D13","D12"))</f>
        <v>D12</v>
      </c>
      <c r="AI113" s="394" t="str">
        <f ca="1">IF(RawMaterials[[#This Row],[Lab Quote Count]]&gt;1,10^RawMaterials[[#This Row],[Lab Log-Log Intercept]]*INDIRECT(RawMaterials[[#This Row],[Basis Cell]])^RawMaterials[[#This Row],[Lab Log-Log Slope]],"&gt;&gt;&gt; Enter 2 or more lab quotes &lt;&lt;&lt;")</f>
        <v>&gt;&gt;&gt; Enter 2 or more lab quotes &lt;&lt;&lt;</v>
      </c>
      <c r="AJ11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1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0.25242929020168481</v>
      </c>
      <c r="AL113" s="396">
        <f>IF(ISTEXT(RawMaterials[[#This Row],[Unit price in quote year]]),"Check calcs",RawMaterials[[#This Row],[Unit price in quote year]]/VLOOKUP(RawMaterials[[#This Row],[Quote Year]],ChemPPI[],14,FALSE)*VLOOKUP(BasisYear,ChemPPI[],14,FALSE))</f>
        <v>0.34260093197596558</v>
      </c>
      <c r="AM113" s="397" t="str">
        <f t="shared" si="1"/>
        <v>$/kg (2016)</v>
      </c>
    </row>
    <row r="114" spans="1:39">
      <c r="A114" s="259" t="s">
        <v>1210</v>
      </c>
      <c r="B114" s="260"/>
      <c r="C114" s="351"/>
      <c r="D114" s="351"/>
      <c r="E114" s="260">
        <v>100</v>
      </c>
      <c r="F114" s="260"/>
      <c r="G114" s="351"/>
      <c r="H114" s="351"/>
      <c r="I114" s="262"/>
      <c r="J114" s="351"/>
      <c r="K114" s="351"/>
      <c r="L114" s="351"/>
      <c r="M114" s="351"/>
      <c r="N114" s="351"/>
      <c r="O114" s="351"/>
      <c r="P114" s="261">
        <v>81</v>
      </c>
      <c r="Q114" s="260">
        <v>100</v>
      </c>
      <c r="R114" s="260" t="s">
        <v>20</v>
      </c>
      <c r="S114" s="260">
        <v>2006</v>
      </c>
      <c r="T114" s="260" t="s">
        <v>161</v>
      </c>
      <c r="U114" s="386">
        <v>42653</v>
      </c>
      <c r="V114" s="387"/>
      <c r="W114" s="354">
        <f>COUNT(RawMaterials[[#This Row],[Lab Quantity 1]:[Lab Quantity 4]])</f>
        <v>0</v>
      </c>
      <c r="X11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4" s="392" t="e">
        <f>RawMaterials[[#This Row],[Lab Price 1]]/RawMaterials[[#This Row],[Lab Q Model Units 1]]</f>
        <v>#N/A</v>
      </c>
      <c r="AC114" s="392" t="e">
        <f>RawMaterials[[#This Row],[Lab Price 2]]/RawMaterials[[#This Row],[Lab Q Model Units 2]]</f>
        <v>#N/A</v>
      </c>
      <c r="AD114" s="392" t="e">
        <f>RawMaterials[[#This Row],[Lab Price 3]]/RawMaterials[[#This Row],[Lab Q Model Units 3]]</f>
        <v>#N/A</v>
      </c>
      <c r="AE114" s="392" t="e">
        <f>RawMaterials[[#This Row],[Lab Price 4]]/RawMaterials[[#This Row],[Lab Q Model Units 4]]</f>
        <v>#N/A</v>
      </c>
      <c r="AF114" s="392" t="str">
        <f ca="1">IF(RawMaterials[[#This Row],[Lab Quote Count]]&gt;1,SLOPE(LOG(INDIRECT("RawMaterials[@[Lab Unit P 1]:[Lab Unit P "&amp;RawMaterials[[#This Row],[Lab Quote Count]]&amp;"]]")),LOG(INDIRECT("RawMaterials[@[Lab Q Model Units 1]:[Lab Q Model Units "&amp;RawMaterials[[#This Row],[Lab Quote Count]]&amp;"]]"))),"")</f>
        <v/>
      </c>
      <c r="AG114" s="392" t="str">
        <f ca="1">IF(RawMaterials[[#This Row],[Lab Quote Count]]&gt;1,INTERCEPT(LOG(INDIRECT("RawMaterials[@[Lab Unit P 1]:[Lab Unit P "&amp;RawMaterials[[#This Row],[Lab Quote Count]]&amp;"]]")),LOG(INDIRECT("RawMaterials[@[Lab Q Model Units 1]:[Lab Q Model Units "&amp;RawMaterials[[#This Row],[Lab Quote Count]]&amp;"]]"))),"")</f>
        <v/>
      </c>
      <c r="AH114" s="393" t="str">
        <f>IF(RawMaterials[[#This Row],[Material Type]]="Metal Precursor","D13",IF(RawMaterials[[#This Row],[Material Type]]="Ligand","D13","D12"))</f>
        <v>D12</v>
      </c>
      <c r="AI114" s="394" t="str">
        <f ca="1">IF(RawMaterials[[#This Row],[Lab Quote Count]]&gt;1,10^RawMaterials[[#This Row],[Lab Log-Log Intercept]]*INDIRECT(RawMaterials[[#This Row],[Basis Cell]])^RawMaterials[[#This Row],[Lab Log-Log Slope]],"&gt;&gt;&gt; Enter 2 or more lab quotes &lt;&lt;&lt;")</f>
        <v>&gt;&gt;&gt; Enter 2 or more lab quotes &lt;&lt;&lt;</v>
      </c>
      <c r="AJ11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1.7857443236975084</v>
      </c>
      <c r="AL114" s="396">
        <f>IF(ISTEXT(RawMaterials[[#This Row],[Unit price in quote year]]),"Check calcs",RawMaterials[[#This Row],[Unit price in quote year]]/VLOOKUP(RawMaterials[[#This Row],[Quote Year]],ChemPPI[],14,FALSE)*VLOOKUP(BasisYear,ChemPPI[],14,FALSE))</f>
        <v>2.4236397807906735</v>
      </c>
      <c r="AM114" s="397" t="str">
        <f t="shared" si="1"/>
        <v>$/kg (2016)</v>
      </c>
    </row>
    <row r="115" spans="1:39">
      <c r="A115" s="259" t="s">
        <v>1211</v>
      </c>
      <c r="B115" s="260"/>
      <c r="C115" s="351"/>
      <c r="D115" s="351"/>
      <c r="E115" s="260">
        <v>100</v>
      </c>
      <c r="F115" s="260"/>
      <c r="G115" s="351"/>
      <c r="H115" s="351"/>
      <c r="I115" s="262"/>
      <c r="J115" s="351"/>
      <c r="K115" s="351"/>
      <c r="L115" s="351"/>
      <c r="M115" s="351"/>
      <c r="N115" s="351"/>
      <c r="O115" s="351"/>
      <c r="P115" s="261">
        <v>58.75</v>
      </c>
      <c r="Q115" s="260">
        <v>100</v>
      </c>
      <c r="R115" s="260" t="s">
        <v>20</v>
      </c>
      <c r="S115" s="260">
        <v>2006</v>
      </c>
      <c r="T115" s="260" t="s">
        <v>161</v>
      </c>
      <c r="U115" s="386">
        <v>42653</v>
      </c>
      <c r="V115" s="387"/>
      <c r="W115" s="354">
        <f>COUNT(RawMaterials[[#This Row],[Lab Quantity 1]:[Lab Quantity 4]])</f>
        <v>0</v>
      </c>
      <c r="X11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5" s="392" t="e">
        <f>RawMaterials[[#This Row],[Lab Price 1]]/RawMaterials[[#This Row],[Lab Q Model Units 1]]</f>
        <v>#N/A</v>
      </c>
      <c r="AC115" s="392" t="e">
        <f>RawMaterials[[#This Row],[Lab Price 2]]/RawMaterials[[#This Row],[Lab Q Model Units 2]]</f>
        <v>#N/A</v>
      </c>
      <c r="AD115" s="392" t="e">
        <f>RawMaterials[[#This Row],[Lab Price 3]]/RawMaterials[[#This Row],[Lab Q Model Units 3]]</f>
        <v>#N/A</v>
      </c>
      <c r="AE115" s="392" t="e">
        <f>RawMaterials[[#This Row],[Lab Price 4]]/RawMaterials[[#This Row],[Lab Q Model Units 4]]</f>
        <v>#N/A</v>
      </c>
      <c r="AF115" s="392" t="str">
        <f ca="1">IF(RawMaterials[[#This Row],[Lab Quote Count]]&gt;1,SLOPE(LOG(INDIRECT("RawMaterials[@[Lab Unit P 1]:[Lab Unit P "&amp;RawMaterials[[#This Row],[Lab Quote Count]]&amp;"]]")),LOG(INDIRECT("RawMaterials[@[Lab Q Model Units 1]:[Lab Q Model Units "&amp;RawMaterials[[#This Row],[Lab Quote Count]]&amp;"]]"))),"")</f>
        <v/>
      </c>
      <c r="AG115" s="392" t="str">
        <f ca="1">IF(RawMaterials[[#This Row],[Lab Quote Count]]&gt;1,INTERCEPT(LOG(INDIRECT("RawMaterials[@[Lab Unit P 1]:[Lab Unit P "&amp;RawMaterials[[#This Row],[Lab Quote Count]]&amp;"]]")),LOG(INDIRECT("RawMaterials[@[Lab Q Model Units 1]:[Lab Q Model Units "&amp;RawMaterials[[#This Row],[Lab Quote Count]]&amp;"]]"))),"")</f>
        <v/>
      </c>
      <c r="AH115" s="393" t="str">
        <f>IF(RawMaterials[[#This Row],[Material Type]]="Metal Precursor","D13",IF(RawMaterials[[#This Row],[Material Type]]="Ligand","D13","D12"))</f>
        <v>D12</v>
      </c>
      <c r="AI115" s="394" t="str">
        <f ca="1">IF(RawMaterials[[#This Row],[Lab Quote Count]]&gt;1,10^RawMaterials[[#This Row],[Lab Log-Log Intercept]]*INDIRECT(RawMaterials[[#This Row],[Basis Cell]])^RawMaterials[[#This Row],[Lab Log-Log Slope]],"&gt;&gt;&gt; Enter 2 or more lab quotes &lt;&lt;&lt;")</f>
        <v>&gt;&gt;&gt; Enter 2 or more lab quotes &lt;&lt;&lt;</v>
      </c>
      <c r="AJ11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1.2952157903361559</v>
      </c>
      <c r="AL115" s="396">
        <f>IF(ISTEXT(RawMaterials[[#This Row],[Unit price in quote year]]),"Check calcs",RawMaterials[[#This Row],[Unit price in quote year]]/VLOOKUP(RawMaterials[[#This Row],[Quote Year]],ChemPPI[],14,FALSE)*VLOOKUP(BasisYear,ChemPPI[],14,FALSE))</f>
        <v>1.7578868780426182</v>
      </c>
      <c r="AM115" s="397" t="str">
        <f t="shared" si="1"/>
        <v>$/kg (2016)</v>
      </c>
    </row>
    <row r="116" spans="1:39">
      <c r="A116" s="259" t="s">
        <v>1212</v>
      </c>
      <c r="B116" s="260"/>
      <c r="C116" s="351"/>
      <c r="D116" s="351"/>
      <c r="E116" s="260">
        <v>100</v>
      </c>
      <c r="F116" s="260"/>
      <c r="G116" s="351"/>
      <c r="H116" s="351"/>
      <c r="I116" s="262"/>
      <c r="J116" s="351"/>
      <c r="K116" s="351"/>
      <c r="L116" s="351"/>
      <c r="M116" s="351"/>
      <c r="N116" s="351"/>
      <c r="O116" s="351"/>
      <c r="P116" s="261">
        <v>39</v>
      </c>
      <c r="Q116" s="260">
        <v>100</v>
      </c>
      <c r="R116" s="260" t="s">
        <v>20</v>
      </c>
      <c r="S116" s="260">
        <v>2006</v>
      </c>
      <c r="T116" s="260" t="s">
        <v>161</v>
      </c>
      <c r="U116" s="386">
        <v>42653</v>
      </c>
      <c r="V116" s="387"/>
      <c r="W116" s="354">
        <f>COUNT(RawMaterials[[#This Row],[Lab Quantity 1]:[Lab Quantity 4]])</f>
        <v>0</v>
      </c>
      <c r="X11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6" s="392" t="e">
        <f>RawMaterials[[#This Row],[Lab Price 1]]/RawMaterials[[#This Row],[Lab Q Model Units 1]]</f>
        <v>#N/A</v>
      </c>
      <c r="AC116" s="392" t="e">
        <f>RawMaterials[[#This Row],[Lab Price 2]]/RawMaterials[[#This Row],[Lab Q Model Units 2]]</f>
        <v>#N/A</v>
      </c>
      <c r="AD116" s="392" t="e">
        <f>RawMaterials[[#This Row],[Lab Price 3]]/RawMaterials[[#This Row],[Lab Q Model Units 3]]</f>
        <v>#N/A</v>
      </c>
      <c r="AE116" s="392" t="e">
        <f>RawMaterials[[#This Row],[Lab Price 4]]/RawMaterials[[#This Row],[Lab Q Model Units 4]]</f>
        <v>#N/A</v>
      </c>
      <c r="AF116" s="392" t="str">
        <f ca="1">IF(RawMaterials[[#This Row],[Lab Quote Count]]&gt;1,SLOPE(LOG(INDIRECT("RawMaterials[@[Lab Unit P 1]:[Lab Unit P "&amp;RawMaterials[[#This Row],[Lab Quote Count]]&amp;"]]")),LOG(INDIRECT("RawMaterials[@[Lab Q Model Units 1]:[Lab Q Model Units "&amp;RawMaterials[[#This Row],[Lab Quote Count]]&amp;"]]"))),"")</f>
        <v/>
      </c>
      <c r="AG116" s="392" t="str">
        <f ca="1">IF(RawMaterials[[#This Row],[Lab Quote Count]]&gt;1,INTERCEPT(LOG(INDIRECT("RawMaterials[@[Lab Unit P 1]:[Lab Unit P "&amp;RawMaterials[[#This Row],[Lab Quote Count]]&amp;"]]")),LOG(INDIRECT("RawMaterials[@[Lab Q Model Units 1]:[Lab Q Model Units "&amp;RawMaterials[[#This Row],[Lab Quote Count]]&amp;"]]"))),"")</f>
        <v/>
      </c>
      <c r="AH116" s="393" t="str">
        <f>IF(RawMaterials[[#This Row],[Material Type]]="Metal Precursor","D13",IF(RawMaterials[[#This Row],[Material Type]]="Ligand","D13","D12"))</f>
        <v>D12</v>
      </c>
      <c r="AI116" s="394" t="str">
        <f ca="1">IF(RawMaterials[[#This Row],[Lab Quote Count]]&gt;1,10^RawMaterials[[#This Row],[Lab Log-Log Intercept]]*INDIRECT(RawMaterials[[#This Row],[Basis Cell]])^RawMaterials[[#This Row],[Lab Log-Log Slope]],"&gt;&gt;&gt; Enter 2 or more lab quotes &lt;&lt;&lt;")</f>
        <v>&gt;&gt;&gt; Enter 2 or more lab quotes &lt;&lt;&lt;</v>
      </c>
      <c r="AJ11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0.85980282252102258</v>
      </c>
      <c r="AL116" s="396">
        <f>IF(ISTEXT(RawMaterials[[#This Row],[Unit price in quote year]]),"Check calcs",RawMaterials[[#This Row],[Unit price in quote year]]/VLOOKUP(RawMaterials[[#This Row],[Quote Year]],ChemPPI[],14,FALSE)*VLOOKUP(BasisYear,ChemPPI[],14,FALSE))</f>
        <v>1.1669376722325466</v>
      </c>
      <c r="AM116" s="397" t="str">
        <f t="shared" si="1"/>
        <v>$/kg (2016)</v>
      </c>
    </row>
    <row r="117" spans="1:39">
      <c r="A117" s="259" t="s">
        <v>1213</v>
      </c>
      <c r="B117" s="260"/>
      <c r="C117" s="351"/>
      <c r="D117" s="351"/>
      <c r="E117" s="260">
        <v>100</v>
      </c>
      <c r="F117" s="260"/>
      <c r="G117" s="351"/>
      <c r="H117" s="351"/>
      <c r="I117" s="262"/>
      <c r="J117" s="351"/>
      <c r="K117" s="351"/>
      <c r="L117" s="351"/>
      <c r="M117" s="351"/>
      <c r="N117" s="351"/>
      <c r="O117" s="351"/>
      <c r="P117" s="261">
        <v>0.95</v>
      </c>
      <c r="Q117" s="260">
        <v>1</v>
      </c>
      <c r="R117" s="260" t="s">
        <v>20</v>
      </c>
      <c r="S117" s="260">
        <v>2006</v>
      </c>
      <c r="T117" s="260" t="s">
        <v>161</v>
      </c>
      <c r="U117" s="386">
        <v>42653</v>
      </c>
      <c r="V117" s="387"/>
      <c r="W117" s="354">
        <f>COUNT(RawMaterials[[#This Row],[Lab Quantity 1]:[Lab Quantity 4]])</f>
        <v>0</v>
      </c>
      <c r="X11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7" s="392" t="e">
        <f>RawMaterials[[#This Row],[Lab Price 1]]/RawMaterials[[#This Row],[Lab Q Model Units 1]]</f>
        <v>#N/A</v>
      </c>
      <c r="AC117" s="392" t="e">
        <f>RawMaterials[[#This Row],[Lab Price 2]]/RawMaterials[[#This Row],[Lab Q Model Units 2]]</f>
        <v>#N/A</v>
      </c>
      <c r="AD117" s="392" t="e">
        <f>RawMaterials[[#This Row],[Lab Price 3]]/RawMaterials[[#This Row],[Lab Q Model Units 3]]</f>
        <v>#N/A</v>
      </c>
      <c r="AE117" s="392" t="e">
        <f>RawMaterials[[#This Row],[Lab Price 4]]/RawMaterials[[#This Row],[Lab Q Model Units 4]]</f>
        <v>#N/A</v>
      </c>
      <c r="AF117" s="392" t="str">
        <f ca="1">IF(RawMaterials[[#This Row],[Lab Quote Count]]&gt;1,SLOPE(LOG(INDIRECT("RawMaterials[@[Lab Unit P 1]:[Lab Unit P "&amp;RawMaterials[[#This Row],[Lab Quote Count]]&amp;"]]")),LOG(INDIRECT("RawMaterials[@[Lab Q Model Units 1]:[Lab Q Model Units "&amp;RawMaterials[[#This Row],[Lab Quote Count]]&amp;"]]"))),"")</f>
        <v/>
      </c>
      <c r="AG117" s="392" t="str">
        <f ca="1">IF(RawMaterials[[#This Row],[Lab Quote Count]]&gt;1,INTERCEPT(LOG(INDIRECT("RawMaterials[@[Lab Unit P 1]:[Lab Unit P "&amp;RawMaterials[[#This Row],[Lab Quote Count]]&amp;"]]")),LOG(INDIRECT("RawMaterials[@[Lab Q Model Units 1]:[Lab Q Model Units "&amp;RawMaterials[[#This Row],[Lab Quote Count]]&amp;"]]"))),"")</f>
        <v/>
      </c>
      <c r="AH117" s="393" t="str">
        <f>IF(RawMaterials[[#This Row],[Material Type]]="Metal Precursor","D13",IF(RawMaterials[[#This Row],[Material Type]]="Ligand","D13","D12"))</f>
        <v>D12</v>
      </c>
      <c r="AI117" s="394" t="str">
        <f ca="1">IF(RawMaterials[[#This Row],[Lab Quote Count]]&gt;1,10^RawMaterials[[#This Row],[Lab Log-Log Intercept]]*INDIRECT(RawMaterials[[#This Row],[Basis Cell]])^RawMaterials[[#This Row],[Lab Log-Log Slope]],"&gt;&gt;&gt; Enter 2 or more lab quotes &lt;&lt;&lt;")</f>
        <v>&gt;&gt;&gt; Enter 2 or more lab quotes &lt;&lt;&lt;</v>
      </c>
      <c r="AJ11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2.0943914907563368</v>
      </c>
      <c r="AL117" s="396">
        <f>IF(ISTEXT(RawMaterials[[#This Row],[Unit price in quote year]]),"Check calcs",RawMaterials[[#This Row],[Unit price in quote year]]/VLOOKUP(RawMaterials[[#This Row],[Quote Year]],ChemPPI[],14,FALSE)*VLOOKUP(BasisYear,ChemPPI[],14,FALSE))</f>
        <v>2.8425404836433823</v>
      </c>
      <c r="AM117" s="397" t="str">
        <f t="shared" si="1"/>
        <v>$/kg (2016)</v>
      </c>
    </row>
    <row r="118" spans="1:39">
      <c r="A118" s="259" t="s">
        <v>1214</v>
      </c>
      <c r="B118" s="260"/>
      <c r="C118" s="351"/>
      <c r="D118" s="351"/>
      <c r="E118" s="260">
        <v>100</v>
      </c>
      <c r="F118" s="260"/>
      <c r="G118" s="351"/>
      <c r="H118" s="351"/>
      <c r="I118" s="262"/>
      <c r="J118" s="351"/>
      <c r="K118" s="351"/>
      <c r="L118" s="351"/>
      <c r="M118" s="351"/>
      <c r="N118" s="351"/>
      <c r="O118" s="351"/>
      <c r="P118" s="261">
        <v>0.85</v>
      </c>
      <c r="Q118" s="260">
        <v>1</v>
      </c>
      <c r="R118" s="260" t="s">
        <v>20</v>
      </c>
      <c r="S118" s="260">
        <v>2006</v>
      </c>
      <c r="T118" s="260" t="s">
        <v>161</v>
      </c>
      <c r="U118" s="386">
        <v>42653</v>
      </c>
      <c r="V118" s="387"/>
      <c r="W118" s="354">
        <f>COUNT(RawMaterials[[#This Row],[Lab Quantity 1]:[Lab Quantity 4]])</f>
        <v>0</v>
      </c>
      <c r="X11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8" s="392" t="e">
        <f>RawMaterials[[#This Row],[Lab Price 1]]/RawMaterials[[#This Row],[Lab Q Model Units 1]]</f>
        <v>#N/A</v>
      </c>
      <c r="AC118" s="392" t="e">
        <f>RawMaterials[[#This Row],[Lab Price 2]]/RawMaterials[[#This Row],[Lab Q Model Units 2]]</f>
        <v>#N/A</v>
      </c>
      <c r="AD118" s="392" t="e">
        <f>RawMaterials[[#This Row],[Lab Price 3]]/RawMaterials[[#This Row],[Lab Q Model Units 3]]</f>
        <v>#N/A</v>
      </c>
      <c r="AE118" s="392" t="e">
        <f>RawMaterials[[#This Row],[Lab Price 4]]/RawMaterials[[#This Row],[Lab Q Model Units 4]]</f>
        <v>#N/A</v>
      </c>
      <c r="AF118" s="392" t="str">
        <f ca="1">IF(RawMaterials[[#This Row],[Lab Quote Count]]&gt;1,SLOPE(LOG(INDIRECT("RawMaterials[@[Lab Unit P 1]:[Lab Unit P "&amp;RawMaterials[[#This Row],[Lab Quote Count]]&amp;"]]")),LOG(INDIRECT("RawMaterials[@[Lab Q Model Units 1]:[Lab Q Model Units "&amp;RawMaterials[[#This Row],[Lab Quote Count]]&amp;"]]"))),"")</f>
        <v/>
      </c>
      <c r="AG118" s="392" t="str">
        <f ca="1">IF(RawMaterials[[#This Row],[Lab Quote Count]]&gt;1,INTERCEPT(LOG(INDIRECT("RawMaterials[@[Lab Unit P 1]:[Lab Unit P "&amp;RawMaterials[[#This Row],[Lab Quote Count]]&amp;"]]")),LOG(INDIRECT("RawMaterials[@[Lab Q Model Units 1]:[Lab Q Model Units "&amp;RawMaterials[[#This Row],[Lab Quote Count]]&amp;"]]"))),"")</f>
        <v/>
      </c>
      <c r="AH118" s="393" t="str">
        <f>IF(RawMaterials[[#This Row],[Material Type]]="Metal Precursor","D13",IF(RawMaterials[[#This Row],[Material Type]]="Ligand","D13","D12"))</f>
        <v>D12</v>
      </c>
      <c r="AI118" s="394" t="str">
        <f ca="1">IF(RawMaterials[[#This Row],[Lab Quote Count]]&gt;1,10^RawMaterials[[#This Row],[Lab Log-Log Intercept]]*INDIRECT(RawMaterials[[#This Row],[Basis Cell]])^RawMaterials[[#This Row],[Lab Log-Log Slope]],"&gt;&gt;&gt; Enter 2 or more lab quotes &lt;&lt;&lt;")</f>
        <v>&gt;&gt;&gt; Enter 2 or more lab quotes &lt;&lt;&lt;</v>
      </c>
      <c r="AJ11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1.8739292285714593</v>
      </c>
      <c r="AL118" s="396">
        <f>IF(ISTEXT(RawMaterials[[#This Row],[Unit price in quote year]]),"Check calcs",RawMaterials[[#This Row],[Unit price in quote year]]/VLOOKUP(RawMaterials[[#This Row],[Quote Year]],ChemPPI[],14,FALSE)*VLOOKUP(BasisYear,ChemPPI[],14,FALSE))</f>
        <v>2.5433256958914479</v>
      </c>
      <c r="AM118" s="397" t="str">
        <f t="shared" si="1"/>
        <v>$/kg (2016)</v>
      </c>
    </row>
    <row r="119" spans="1:39">
      <c r="A119" s="259" t="s">
        <v>1215</v>
      </c>
      <c r="B119" s="260"/>
      <c r="C119" s="351"/>
      <c r="D119" s="351"/>
      <c r="E119" s="260">
        <v>100</v>
      </c>
      <c r="F119" s="260"/>
      <c r="G119" s="351"/>
      <c r="H119" s="351"/>
      <c r="I119" s="262"/>
      <c r="J119" s="351"/>
      <c r="K119" s="351"/>
      <c r="L119" s="351"/>
      <c r="M119" s="351"/>
      <c r="N119" s="351"/>
      <c r="O119" s="351"/>
      <c r="P119" s="261">
        <v>0.5</v>
      </c>
      <c r="Q119" s="260">
        <v>1</v>
      </c>
      <c r="R119" s="260" t="s">
        <v>20</v>
      </c>
      <c r="S119" s="260">
        <v>2006</v>
      </c>
      <c r="T119" s="260" t="s">
        <v>161</v>
      </c>
      <c r="U119" s="386">
        <v>42653</v>
      </c>
      <c r="V119" s="387"/>
      <c r="W119" s="354">
        <f>COUNT(RawMaterials[[#This Row],[Lab Quantity 1]:[Lab Quantity 4]])</f>
        <v>0</v>
      </c>
      <c r="X11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9" s="392" t="e">
        <f>RawMaterials[[#This Row],[Lab Price 1]]/RawMaterials[[#This Row],[Lab Q Model Units 1]]</f>
        <v>#N/A</v>
      </c>
      <c r="AC119" s="392" t="e">
        <f>RawMaterials[[#This Row],[Lab Price 2]]/RawMaterials[[#This Row],[Lab Q Model Units 2]]</f>
        <v>#N/A</v>
      </c>
      <c r="AD119" s="392" t="e">
        <f>RawMaterials[[#This Row],[Lab Price 3]]/RawMaterials[[#This Row],[Lab Q Model Units 3]]</f>
        <v>#N/A</v>
      </c>
      <c r="AE119" s="392" t="e">
        <f>RawMaterials[[#This Row],[Lab Price 4]]/RawMaterials[[#This Row],[Lab Q Model Units 4]]</f>
        <v>#N/A</v>
      </c>
      <c r="AF119" s="392" t="str">
        <f ca="1">IF(RawMaterials[[#This Row],[Lab Quote Count]]&gt;1,SLOPE(LOG(INDIRECT("RawMaterials[@[Lab Unit P 1]:[Lab Unit P "&amp;RawMaterials[[#This Row],[Lab Quote Count]]&amp;"]]")),LOG(INDIRECT("RawMaterials[@[Lab Q Model Units 1]:[Lab Q Model Units "&amp;RawMaterials[[#This Row],[Lab Quote Count]]&amp;"]]"))),"")</f>
        <v/>
      </c>
      <c r="AG119" s="392" t="str">
        <f ca="1">IF(RawMaterials[[#This Row],[Lab Quote Count]]&gt;1,INTERCEPT(LOG(INDIRECT("RawMaterials[@[Lab Unit P 1]:[Lab Unit P "&amp;RawMaterials[[#This Row],[Lab Quote Count]]&amp;"]]")),LOG(INDIRECT("RawMaterials[@[Lab Q Model Units 1]:[Lab Q Model Units "&amp;RawMaterials[[#This Row],[Lab Quote Count]]&amp;"]]"))),"")</f>
        <v/>
      </c>
      <c r="AH119" s="393" t="str">
        <f>IF(RawMaterials[[#This Row],[Material Type]]="Metal Precursor","D13",IF(RawMaterials[[#This Row],[Material Type]]="Ligand","D13","D12"))</f>
        <v>D12</v>
      </c>
      <c r="AI119" s="394" t="str">
        <f ca="1">IF(RawMaterials[[#This Row],[Lab Quote Count]]&gt;1,10^RawMaterials[[#This Row],[Lab Log-Log Intercept]]*INDIRECT(RawMaterials[[#This Row],[Basis Cell]])^RawMaterials[[#This Row],[Lab Log-Log Slope]],"&gt;&gt;&gt; Enter 2 or more lab quotes &lt;&lt;&lt;")</f>
        <v>&gt;&gt;&gt; Enter 2 or more lab quotes &lt;&lt;&lt;</v>
      </c>
      <c r="AJ11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1.1023113109243878</v>
      </c>
      <c r="AL119" s="396">
        <f>IF(ISTEXT(RawMaterials[[#This Row],[Unit price in quote year]]),"Check calcs",RawMaterials[[#This Row],[Unit price in quote year]]/VLOOKUP(RawMaterials[[#This Row],[Quote Year]],ChemPPI[],14,FALSE)*VLOOKUP(BasisYear,ChemPPI[],14,FALSE))</f>
        <v>1.4960739387596749</v>
      </c>
      <c r="AM119" s="397" t="str">
        <f t="shared" si="1"/>
        <v>$/kg (2016)</v>
      </c>
    </row>
    <row r="120" spans="1:39">
      <c r="A120" s="259" t="s">
        <v>1216</v>
      </c>
      <c r="B120" s="260"/>
      <c r="C120" s="351"/>
      <c r="D120" s="351"/>
      <c r="E120" s="260">
        <v>100</v>
      </c>
      <c r="F120" s="260"/>
      <c r="G120" s="351"/>
      <c r="H120" s="351"/>
      <c r="I120" s="262"/>
      <c r="J120" s="351"/>
      <c r="K120" s="351"/>
      <c r="L120" s="351"/>
      <c r="M120" s="351"/>
      <c r="N120" s="351"/>
      <c r="O120" s="351"/>
      <c r="P120" s="261">
        <v>0.5</v>
      </c>
      <c r="Q120" s="260">
        <v>1</v>
      </c>
      <c r="R120" s="260" t="s">
        <v>20</v>
      </c>
      <c r="S120" s="260">
        <v>2006</v>
      </c>
      <c r="T120" s="260" t="s">
        <v>161</v>
      </c>
      <c r="U120" s="386">
        <v>42653</v>
      </c>
      <c r="V120" s="387"/>
      <c r="W120" s="354">
        <f>COUNT(RawMaterials[[#This Row],[Lab Quantity 1]:[Lab Quantity 4]])</f>
        <v>0</v>
      </c>
      <c r="X12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0" s="392" t="e">
        <f>RawMaterials[[#This Row],[Lab Price 1]]/RawMaterials[[#This Row],[Lab Q Model Units 1]]</f>
        <v>#N/A</v>
      </c>
      <c r="AC120" s="392" t="e">
        <f>RawMaterials[[#This Row],[Lab Price 2]]/RawMaterials[[#This Row],[Lab Q Model Units 2]]</f>
        <v>#N/A</v>
      </c>
      <c r="AD120" s="392" t="e">
        <f>RawMaterials[[#This Row],[Lab Price 3]]/RawMaterials[[#This Row],[Lab Q Model Units 3]]</f>
        <v>#N/A</v>
      </c>
      <c r="AE120" s="392" t="e">
        <f>RawMaterials[[#This Row],[Lab Price 4]]/RawMaterials[[#This Row],[Lab Q Model Units 4]]</f>
        <v>#N/A</v>
      </c>
      <c r="AF120" s="392" t="str">
        <f ca="1">IF(RawMaterials[[#This Row],[Lab Quote Count]]&gt;1,SLOPE(LOG(INDIRECT("RawMaterials[@[Lab Unit P 1]:[Lab Unit P "&amp;RawMaterials[[#This Row],[Lab Quote Count]]&amp;"]]")),LOG(INDIRECT("RawMaterials[@[Lab Q Model Units 1]:[Lab Q Model Units "&amp;RawMaterials[[#This Row],[Lab Quote Count]]&amp;"]]"))),"")</f>
        <v/>
      </c>
      <c r="AG120" s="392" t="str">
        <f ca="1">IF(RawMaterials[[#This Row],[Lab Quote Count]]&gt;1,INTERCEPT(LOG(INDIRECT("RawMaterials[@[Lab Unit P 1]:[Lab Unit P "&amp;RawMaterials[[#This Row],[Lab Quote Count]]&amp;"]]")),LOG(INDIRECT("RawMaterials[@[Lab Q Model Units 1]:[Lab Q Model Units "&amp;RawMaterials[[#This Row],[Lab Quote Count]]&amp;"]]"))),"")</f>
        <v/>
      </c>
      <c r="AH120" s="393" t="str">
        <f>IF(RawMaterials[[#This Row],[Material Type]]="Metal Precursor","D13",IF(RawMaterials[[#This Row],[Material Type]]="Ligand","D13","D12"))</f>
        <v>D12</v>
      </c>
      <c r="AI120" s="394" t="str">
        <f ca="1">IF(RawMaterials[[#This Row],[Lab Quote Count]]&gt;1,10^RawMaterials[[#This Row],[Lab Log-Log Intercept]]*INDIRECT(RawMaterials[[#This Row],[Basis Cell]])^RawMaterials[[#This Row],[Lab Log-Log Slope]],"&gt;&gt;&gt; Enter 2 or more lab quotes &lt;&lt;&lt;")</f>
        <v>&gt;&gt;&gt; Enter 2 or more lab quotes &lt;&lt;&lt;</v>
      </c>
      <c r="AJ12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1.1023113109243878</v>
      </c>
      <c r="AL120" s="396">
        <f>IF(ISTEXT(RawMaterials[[#This Row],[Unit price in quote year]]),"Check calcs",RawMaterials[[#This Row],[Unit price in quote year]]/VLOOKUP(RawMaterials[[#This Row],[Quote Year]],ChemPPI[],14,FALSE)*VLOOKUP(BasisYear,ChemPPI[],14,FALSE))</f>
        <v>1.4960739387596749</v>
      </c>
      <c r="AM120" s="397" t="str">
        <f t="shared" si="1"/>
        <v>$/kg (2016)</v>
      </c>
    </row>
    <row r="121" spans="1:39">
      <c r="A121" s="259" t="s">
        <v>1217</v>
      </c>
      <c r="B121" s="260"/>
      <c r="C121" s="351"/>
      <c r="D121" s="351"/>
      <c r="E121" s="260">
        <v>100</v>
      </c>
      <c r="F121" s="260"/>
      <c r="G121" s="351"/>
      <c r="H121" s="351"/>
      <c r="I121" s="262"/>
      <c r="J121" s="351"/>
      <c r="K121" s="351"/>
      <c r="L121" s="351"/>
      <c r="M121" s="351"/>
      <c r="N121" s="351"/>
      <c r="O121" s="351"/>
      <c r="P121" s="261">
        <v>14.625</v>
      </c>
      <c r="Q121" s="260">
        <v>100</v>
      </c>
      <c r="R121" s="260" t="s">
        <v>20</v>
      </c>
      <c r="S121" s="260">
        <v>2006</v>
      </c>
      <c r="T121" s="260" t="s">
        <v>161</v>
      </c>
      <c r="U121" s="386">
        <v>42653</v>
      </c>
      <c r="V121" s="387"/>
      <c r="W121" s="354">
        <f>COUNT(RawMaterials[[#This Row],[Lab Quantity 1]:[Lab Quantity 4]])</f>
        <v>0</v>
      </c>
      <c r="X12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1" s="392" t="e">
        <f>RawMaterials[[#This Row],[Lab Price 1]]/RawMaterials[[#This Row],[Lab Q Model Units 1]]</f>
        <v>#N/A</v>
      </c>
      <c r="AC121" s="392" t="e">
        <f>RawMaterials[[#This Row],[Lab Price 2]]/RawMaterials[[#This Row],[Lab Q Model Units 2]]</f>
        <v>#N/A</v>
      </c>
      <c r="AD121" s="392" t="e">
        <f>RawMaterials[[#This Row],[Lab Price 3]]/RawMaterials[[#This Row],[Lab Q Model Units 3]]</f>
        <v>#N/A</v>
      </c>
      <c r="AE121" s="392" t="e">
        <f>RawMaterials[[#This Row],[Lab Price 4]]/RawMaterials[[#This Row],[Lab Q Model Units 4]]</f>
        <v>#N/A</v>
      </c>
      <c r="AF121" s="392" t="str">
        <f ca="1">IF(RawMaterials[[#This Row],[Lab Quote Count]]&gt;1,SLOPE(LOG(INDIRECT("RawMaterials[@[Lab Unit P 1]:[Lab Unit P "&amp;RawMaterials[[#This Row],[Lab Quote Count]]&amp;"]]")),LOG(INDIRECT("RawMaterials[@[Lab Q Model Units 1]:[Lab Q Model Units "&amp;RawMaterials[[#This Row],[Lab Quote Count]]&amp;"]]"))),"")</f>
        <v/>
      </c>
      <c r="AG121" s="392" t="str">
        <f ca="1">IF(RawMaterials[[#This Row],[Lab Quote Count]]&gt;1,INTERCEPT(LOG(INDIRECT("RawMaterials[@[Lab Unit P 1]:[Lab Unit P "&amp;RawMaterials[[#This Row],[Lab Quote Count]]&amp;"]]")),LOG(INDIRECT("RawMaterials[@[Lab Q Model Units 1]:[Lab Q Model Units "&amp;RawMaterials[[#This Row],[Lab Quote Count]]&amp;"]]"))),"")</f>
        <v/>
      </c>
      <c r="AH121" s="393" t="str">
        <f>IF(RawMaterials[[#This Row],[Material Type]]="Metal Precursor","D13",IF(RawMaterials[[#This Row],[Material Type]]="Ligand","D13","D12"))</f>
        <v>D12</v>
      </c>
      <c r="AI121" s="394" t="str">
        <f ca="1">IF(RawMaterials[[#This Row],[Lab Quote Count]]&gt;1,10^RawMaterials[[#This Row],[Lab Log-Log Intercept]]*INDIRECT(RawMaterials[[#This Row],[Basis Cell]])^RawMaterials[[#This Row],[Lab Log-Log Slope]],"&gt;&gt;&gt; Enter 2 or more lab quotes &lt;&lt;&lt;")</f>
        <v>&gt;&gt;&gt; Enter 2 or more lab quotes &lt;&lt;&lt;</v>
      </c>
      <c r="AJ12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2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0.32242605844538347</v>
      </c>
      <c r="AL121" s="396">
        <f>IF(ISTEXT(RawMaterials[[#This Row],[Unit price in quote year]]),"Check calcs",RawMaterials[[#This Row],[Unit price in quote year]]/VLOOKUP(RawMaterials[[#This Row],[Quote Year]],ChemPPI[],14,FALSE)*VLOOKUP(BasisYear,ChemPPI[],14,FALSE))</f>
        <v>0.43760162708720501</v>
      </c>
      <c r="AM121" s="397" t="str">
        <f t="shared" si="1"/>
        <v>$/kg (2016)</v>
      </c>
    </row>
    <row r="122" spans="1:39">
      <c r="A122" s="259" t="s">
        <v>1218</v>
      </c>
      <c r="B122" s="260"/>
      <c r="C122" s="351"/>
      <c r="D122" s="351"/>
      <c r="E122" s="260">
        <v>100</v>
      </c>
      <c r="F122" s="260"/>
      <c r="G122" s="351"/>
      <c r="H122" s="351"/>
      <c r="I122" s="262"/>
      <c r="J122" s="351"/>
      <c r="K122" s="351"/>
      <c r="L122" s="351"/>
      <c r="M122" s="351"/>
      <c r="N122" s="351"/>
      <c r="O122" s="351"/>
      <c r="P122" s="261">
        <v>44</v>
      </c>
      <c r="Q122" s="260">
        <v>100</v>
      </c>
      <c r="R122" s="260" t="s">
        <v>20</v>
      </c>
      <c r="S122" s="260">
        <v>2006</v>
      </c>
      <c r="T122" s="260" t="s">
        <v>161</v>
      </c>
      <c r="U122" s="386">
        <v>42653</v>
      </c>
      <c r="V122" s="387"/>
      <c r="W122" s="354">
        <f>COUNT(RawMaterials[[#This Row],[Lab Quantity 1]:[Lab Quantity 4]])</f>
        <v>0</v>
      </c>
      <c r="X12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2" s="392" t="e">
        <f>RawMaterials[[#This Row],[Lab Price 1]]/RawMaterials[[#This Row],[Lab Q Model Units 1]]</f>
        <v>#N/A</v>
      </c>
      <c r="AC122" s="392" t="e">
        <f>RawMaterials[[#This Row],[Lab Price 2]]/RawMaterials[[#This Row],[Lab Q Model Units 2]]</f>
        <v>#N/A</v>
      </c>
      <c r="AD122" s="392" t="e">
        <f>RawMaterials[[#This Row],[Lab Price 3]]/RawMaterials[[#This Row],[Lab Q Model Units 3]]</f>
        <v>#N/A</v>
      </c>
      <c r="AE122" s="392" t="e">
        <f>RawMaterials[[#This Row],[Lab Price 4]]/RawMaterials[[#This Row],[Lab Q Model Units 4]]</f>
        <v>#N/A</v>
      </c>
      <c r="AF122" s="392" t="str">
        <f ca="1">IF(RawMaterials[[#This Row],[Lab Quote Count]]&gt;1,SLOPE(LOG(INDIRECT("RawMaterials[@[Lab Unit P 1]:[Lab Unit P "&amp;RawMaterials[[#This Row],[Lab Quote Count]]&amp;"]]")),LOG(INDIRECT("RawMaterials[@[Lab Q Model Units 1]:[Lab Q Model Units "&amp;RawMaterials[[#This Row],[Lab Quote Count]]&amp;"]]"))),"")</f>
        <v/>
      </c>
      <c r="AG122" s="392" t="str">
        <f ca="1">IF(RawMaterials[[#This Row],[Lab Quote Count]]&gt;1,INTERCEPT(LOG(INDIRECT("RawMaterials[@[Lab Unit P 1]:[Lab Unit P "&amp;RawMaterials[[#This Row],[Lab Quote Count]]&amp;"]]")),LOG(INDIRECT("RawMaterials[@[Lab Q Model Units 1]:[Lab Q Model Units "&amp;RawMaterials[[#This Row],[Lab Quote Count]]&amp;"]]"))),"")</f>
        <v/>
      </c>
      <c r="AH122" s="393" t="str">
        <f>IF(RawMaterials[[#This Row],[Material Type]]="Metal Precursor","D13",IF(RawMaterials[[#This Row],[Material Type]]="Ligand","D13","D12"))</f>
        <v>D12</v>
      </c>
      <c r="AI122" s="394" t="str">
        <f ca="1">IF(RawMaterials[[#This Row],[Lab Quote Count]]&gt;1,10^RawMaterials[[#This Row],[Lab Log-Log Intercept]]*INDIRECT(RawMaterials[[#This Row],[Basis Cell]])^RawMaterials[[#This Row],[Lab Log-Log Slope]],"&gt;&gt;&gt; Enter 2 or more lab quotes &lt;&lt;&lt;")</f>
        <v>&gt;&gt;&gt; Enter 2 or more lab quotes &lt;&lt;&lt;</v>
      </c>
      <c r="AJ12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2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0.97003395361346134</v>
      </c>
      <c r="AL122" s="396">
        <f>IF(ISTEXT(RawMaterials[[#This Row],[Unit price in quote year]]),"Check calcs",RawMaterials[[#This Row],[Unit price in quote year]]/VLOOKUP(RawMaterials[[#This Row],[Quote Year]],ChemPPI[],14,FALSE)*VLOOKUP(BasisYear,ChemPPI[],14,FALSE))</f>
        <v>1.3165450661085141</v>
      </c>
      <c r="AM122" s="397" t="str">
        <f t="shared" si="1"/>
        <v>$/kg (2016)</v>
      </c>
    </row>
    <row r="123" spans="1:39">
      <c r="A123" s="259" t="s">
        <v>1219</v>
      </c>
      <c r="B123" s="260"/>
      <c r="C123" s="351"/>
      <c r="D123" s="351"/>
      <c r="E123" s="260">
        <v>100</v>
      </c>
      <c r="F123" s="260"/>
      <c r="G123" s="351"/>
      <c r="H123" s="351"/>
      <c r="I123" s="262"/>
      <c r="J123" s="351"/>
      <c r="K123" s="351"/>
      <c r="L123" s="351"/>
      <c r="M123" s="351"/>
      <c r="N123" s="351"/>
      <c r="O123" s="351"/>
      <c r="P123" s="261">
        <v>658.75</v>
      </c>
      <c r="Q123" s="260">
        <v>1</v>
      </c>
      <c r="R123" s="260" t="s">
        <v>401</v>
      </c>
      <c r="S123" s="260">
        <v>2008</v>
      </c>
      <c r="T123" s="260" t="s">
        <v>161</v>
      </c>
      <c r="U123" s="386">
        <v>42653</v>
      </c>
      <c r="V123" s="387"/>
      <c r="W123" s="354">
        <f>COUNT(RawMaterials[[#This Row],[Lab Quantity 1]:[Lab Quantity 4]])</f>
        <v>0</v>
      </c>
      <c r="X12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3" s="392" t="e">
        <f>RawMaterials[[#This Row],[Lab Price 1]]/RawMaterials[[#This Row],[Lab Q Model Units 1]]</f>
        <v>#N/A</v>
      </c>
      <c r="AC123" s="392" t="e">
        <f>RawMaterials[[#This Row],[Lab Price 2]]/RawMaterials[[#This Row],[Lab Q Model Units 2]]</f>
        <v>#N/A</v>
      </c>
      <c r="AD123" s="392" t="e">
        <f>RawMaterials[[#This Row],[Lab Price 3]]/RawMaterials[[#This Row],[Lab Q Model Units 3]]</f>
        <v>#N/A</v>
      </c>
      <c r="AE123" s="392" t="e">
        <f>RawMaterials[[#This Row],[Lab Price 4]]/RawMaterials[[#This Row],[Lab Q Model Units 4]]</f>
        <v>#N/A</v>
      </c>
      <c r="AF123" s="392" t="str">
        <f ca="1">IF(RawMaterials[[#This Row],[Lab Quote Count]]&gt;1,SLOPE(LOG(INDIRECT("RawMaterials[@[Lab Unit P 1]:[Lab Unit P "&amp;RawMaterials[[#This Row],[Lab Quote Count]]&amp;"]]")),LOG(INDIRECT("RawMaterials[@[Lab Q Model Units 1]:[Lab Q Model Units "&amp;RawMaterials[[#This Row],[Lab Quote Count]]&amp;"]]"))),"")</f>
        <v/>
      </c>
      <c r="AG123" s="392" t="str">
        <f ca="1">IF(RawMaterials[[#This Row],[Lab Quote Count]]&gt;1,INTERCEPT(LOG(INDIRECT("RawMaterials[@[Lab Unit P 1]:[Lab Unit P "&amp;RawMaterials[[#This Row],[Lab Quote Count]]&amp;"]]")),LOG(INDIRECT("RawMaterials[@[Lab Q Model Units 1]:[Lab Q Model Units "&amp;RawMaterials[[#This Row],[Lab Quote Count]]&amp;"]]"))),"")</f>
        <v/>
      </c>
      <c r="AH123" s="393" t="str">
        <f>IF(RawMaterials[[#This Row],[Material Type]]="Metal Precursor","D13",IF(RawMaterials[[#This Row],[Material Type]]="Ligand","D13","D12"))</f>
        <v>D12</v>
      </c>
      <c r="AI123" s="394" t="str">
        <f ca="1">IF(RawMaterials[[#This Row],[Lab Quote Count]]&gt;1,10^RawMaterials[[#This Row],[Lab Log-Log Intercept]]*INDIRECT(RawMaterials[[#This Row],[Basis Cell]])^RawMaterials[[#This Row],[Lab Log-Log Slope]],"&gt;&gt;&gt; Enter 2 or more lab quotes &lt;&lt;&lt;")</f>
        <v>&gt;&gt;&gt; Enter 2 or more lab quotes &lt;&lt;&lt;</v>
      </c>
      <c r="AJ12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0.72614757607144054</v>
      </c>
      <c r="AL123" s="396">
        <f>IF(ISTEXT(RawMaterials[[#This Row],[Unit price in quote year]]),"Check calcs",RawMaterials[[#This Row],[Unit price in quote year]]/VLOOKUP(RawMaterials[[#This Row],[Quote Year]],ChemPPI[],14,FALSE)*VLOOKUP(BasisYear,ChemPPI[],14,FALSE))</f>
        <v>0.84989892672053358</v>
      </c>
      <c r="AM123" s="397" t="str">
        <f t="shared" si="1"/>
        <v>$/kg (2016)</v>
      </c>
    </row>
    <row r="124" spans="1:39">
      <c r="A124" s="259" t="s">
        <v>1220</v>
      </c>
      <c r="B124" s="260"/>
      <c r="C124" s="351"/>
      <c r="D124" s="351"/>
      <c r="E124" s="260">
        <v>100</v>
      </c>
      <c r="F124" s="260"/>
      <c r="G124" s="351"/>
      <c r="H124" s="351"/>
      <c r="I124" s="262"/>
      <c r="J124" s="351"/>
      <c r="K124" s="351"/>
      <c r="L124" s="351"/>
      <c r="M124" s="351"/>
      <c r="N124" s="351"/>
      <c r="O124" s="351"/>
      <c r="P124" s="261">
        <v>635</v>
      </c>
      <c r="Q124" s="260">
        <v>1</v>
      </c>
      <c r="R124" s="260" t="s">
        <v>401</v>
      </c>
      <c r="S124" s="260">
        <v>2008</v>
      </c>
      <c r="T124" s="260" t="s">
        <v>161</v>
      </c>
      <c r="U124" s="386">
        <v>42653</v>
      </c>
      <c r="V124" s="387"/>
      <c r="W124" s="354">
        <f>COUNT(RawMaterials[[#This Row],[Lab Quantity 1]:[Lab Quantity 4]])</f>
        <v>0</v>
      </c>
      <c r="X12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4" s="392" t="e">
        <f>RawMaterials[[#This Row],[Lab Price 1]]/RawMaterials[[#This Row],[Lab Q Model Units 1]]</f>
        <v>#N/A</v>
      </c>
      <c r="AC124" s="392" t="e">
        <f>RawMaterials[[#This Row],[Lab Price 2]]/RawMaterials[[#This Row],[Lab Q Model Units 2]]</f>
        <v>#N/A</v>
      </c>
      <c r="AD124" s="392" t="e">
        <f>RawMaterials[[#This Row],[Lab Price 3]]/RawMaterials[[#This Row],[Lab Q Model Units 3]]</f>
        <v>#N/A</v>
      </c>
      <c r="AE124" s="392" t="e">
        <f>RawMaterials[[#This Row],[Lab Price 4]]/RawMaterials[[#This Row],[Lab Q Model Units 4]]</f>
        <v>#N/A</v>
      </c>
      <c r="AF124" s="392" t="str">
        <f ca="1">IF(RawMaterials[[#This Row],[Lab Quote Count]]&gt;1,SLOPE(LOG(INDIRECT("RawMaterials[@[Lab Unit P 1]:[Lab Unit P "&amp;RawMaterials[[#This Row],[Lab Quote Count]]&amp;"]]")),LOG(INDIRECT("RawMaterials[@[Lab Q Model Units 1]:[Lab Q Model Units "&amp;RawMaterials[[#This Row],[Lab Quote Count]]&amp;"]]"))),"")</f>
        <v/>
      </c>
      <c r="AG124" s="392" t="str">
        <f ca="1">IF(RawMaterials[[#This Row],[Lab Quote Count]]&gt;1,INTERCEPT(LOG(INDIRECT("RawMaterials[@[Lab Unit P 1]:[Lab Unit P "&amp;RawMaterials[[#This Row],[Lab Quote Count]]&amp;"]]")),LOG(INDIRECT("RawMaterials[@[Lab Q Model Units 1]:[Lab Q Model Units "&amp;RawMaterials[[#This Row],[Lab Quote Count]]&amp;"]]"))),"")</f>
        <v/>
      </c>
      <c r="AH124" s="393" t="str">
        <f>IF(RawMaterials[[#This Row],[Material Type]]="Metal Precursor","D13",IF(RawMaterials[[#This Row],[Material Type]]="Ligand","D13","D12"))</f>
        <v>D12</v>
      </c>
      <c r="AI124" s="394" t="str">
        <f ca="1">IF(RawMaterials[[#This Row],[Lab Quote Count]]&gt;1,10^RawMaterials[[#This Row],[Lab Log-Log Intercept]]*INDIRECT(RawMaterials[[#This Row],[Basis Cell]])^RawMaterials[[#This Row],[Lab Log-Log Slope]],"&gt;&gt;&gt; Enter 2 or more lab quotes &lt;&lt;&lt;")</f>
        <v>&gt;&gt;&gt; Enter 2 or more lab quotes &lt;&lt;&lt;</v>
      </c>
      <c r="AJ12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0.69996768243698626</v>
      </c>
      <c r="AL124" s="396">
        <f>IF(ISTEXT(RawMaterials[[#This Row],[Unit price in quote year]]),"Check calcs",RawMaterials[[#This Row],[Unit price in quote year]]/VLOOKUP(RawMaterials[[#This Row],[Quote Year]],ChemPPI[],14,FALSE)*VLOOKUP(BasisYear,ChemPPI[],14,FALSE))</f>
        <v>0.81925740943838909</v>
      </c>
      <c r="AM124" s="397" t="str">
        <f t="shared" si="1"/>
        <v>$/kg (2016)</v>
      </c>
    </row>
    <row r="125" spans="1:39">
      <c r="A125" s="259" t="s">
        <v>1221</v>
      </c>
      <c r="B125" s="260"/>
      <c r="C125" s="351"/>
      <c r="D125" s="351"/>
      <c r="E125" s="260">
        <v>100</v>
      </c>
      <c r="F125" s="260"/>
      <c r="G125" s="351"/>
      <c r="H125" s="351"/>
      <c r="I125" s="262"/>
      <c r="J125" s="351"/>
      <c r="K125" s="351"/>
      <c r="L125" s="351"/>
      <c r="M125" s="351"/>
      <c r="N125" s="351"/>
      <c r="O125" s="351"/>
      <c r="P125" s="261">
        <v>589.66999999999996</v>
      </c>
      <c r="Q125" s="260">
        <v>1</v>
      </c>
      <c r="R125" s="260" t="s">
        <v>401</v>
      </c>
      <c r="S125" s="260">
        <v>2008</v>
      </c>
      <c r="T125" s="260" t="s">
        <v>161</v>
      </c>
      <c r="U125" s="386">
        <v>42653</v>
      </c>
      <c r="V125" s="387"/>
      <c r="W125" s="354">
        <f>COUNT(RawMaterials[[#This Row],[Lab Quantity 1]:[Lab Quantity 4]])</f>
        <v>0</v>
      </c>
      <c r="X12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5" s="392" t="e">
        <f>RawMaterials[[#This Row],[Lab Price 1]]/RawMaterials[[#This Row],[Lab Q Model Units 1]]</f>
        <v>#N/A</v>
      </c>
      <c r="AC125" s="392" t="e">
        <f>RawMaterials[[#This Row],[Lab Price 2]]/RawMaterials[[#This Row],[Lab Q Model Units 2]]</f>
        <v>#N/A</v>
      </c>
      <c r="AD125" s="392" t="e">
        <f>RawMaterials[[#This Row],[Lab Price 3]]/RawMaterials[[#This Row],[Lab Q Model Units 3]]</f>
        <v>#N/A</v>
      </c>
      <c r="AE125" s="392" t="e">
        <f>RawMaterials[[#This Row],[Lab Price 4]]/RawMaterials[[#This Row],[Lab Q Model Units 4]]</f>
        <v>#N/A</v>
      </c>
      <c r="AF125" s="392" t="str">
        <f ca="1">IF(RawMaterials[[#This Row],[Lab Quote Count]]&gt;1,SLOPE(LOG(INDIRECT("RawMaterials[@[Lab Unit P 1]:[Lab Unit P "&amp;RawMaterials[[#This Row],[Lab Quote Count]]&amp;"]]")),LOG(INDIRECT("RawMaterials[@[Lab Q Model Units 1]:[Lab Q Model Units "&amp;RawMaterials[[#This Row],[Lab Quote Count]]&amp;"]]"))),"")</f>
        <v/>
      </c>
      <c r="AG125" s="392" t="str">
        <f ca="1">IF(RawMaterials[[#This Row],[Lab Quote Count]]&gt;1,INTERCEPT(LOG(INDIRECT("RawMaterials[@[Lab Unit P 1]:[Lab Unit P "&amp;RawMaterials[[#This Row],[Lab Quote Count]]&amp;"]]")),LOG(INDIRECT("RawMaterials[@[Lab Q Model Units 1]:[Lab Q Model Units "&amp;RawMaterials[[#This Row],[Lab Quote Count]]&amp;"]]"))),"")</f>
        <v/>
      </c>
      <c r="AH125" s="393" t="str">
        <f>IF(RawMaterials[[#This Row],[Material Type]]="Metal Precursor","D13",IF(RawMaterials[[#This Row],[Material Type]]="Ligand","D13","D12"))</f>
        <v>D12</v>
      </c>
      <c r="AI125" s="394" t="str">
        <f ca="1">IF(RawMaterials[[#This Row],[Lab Quote Count]]&gt;1,10^RawMaterials[[#This Row],[Lab Log-Log Intercept]]*INDIRECT(RawMaterials[[#This Row],[Basis Cell]])^RawMaterials[[#This Row],[Lab Log-Log Slope]],"&gt;&gt;&gt; Enter 2 or more lab quotes &lt;&lt;&lt;")</f>
        <v>&gt;&gt;&gt; Enter 2 or more lab quotes &lt;&lt;&lt;</v>
      </c>
      <c r="AJ12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0.64999991071278374</v>
      </c>
      <c r="AL125" s="396">
        <f>IF(ISTEXT(RawMaterials[[#This Row],[Unit price in quote year]]),"Check calcs",RawMaterials[[#This Row],[Unit price in quote year]]/VLOOKUP(RawMaterials[[#This Row],[Quote Year]],ChemPPI[],14,FALSE)*VLOOKUP(BasisYear,ChemPPI[],14,FALSE))</f>
        <v>0.76077404192682652</v>
      </c>
      <c r="AM125" s="397" t="str">
        <f t="shared" si="1"/>
        <v>$/kg (2016)</v>
      </c>
    </row>
    <row r="126" spans="1:39">
      <c r="A126" s="259" t="s">
        <v>1222</v>
      </c>
      <c r="B126" s="260"/>
      <c r="C126" s="351"/>
      <c r="D126" s="351"/>
      <c r="E126" s="260">
        <v>100</v>
      </c>
      <c r="F126" s="260"/>
      <c r="G126" s="351"/>
      <c r="H126" s="351"/>
      <c r="I126" s="262"/>
      <c r="J126" s="351"/>
      <c r="K126" s="351"/>
      <c r="L126" s="351"/>
      <c r="M126" s="351"/>
      <c r="N126" s="351"/>
      <c r="O126" s="351"/>
      <c r="P126" s="261">
        <v>0.72249999999999903</v>
      </c>
      <c r="Q126" s="260">
        <v>1</v>
      </c>
      <c r="R126" s="260" t="s">
        <v>20</v>
      </c>
      <c r="S126" s="260">
        <v>2006</v>
      </c>
      <c r="T126" s="260" t="s">
        <v>161</v>
      </c>
      <c r="U126" s="386">
        <v>42653</v>
      </c>
      <c r="V126" s="387"/>
      <c r="W126" s="354">
        <f>COUNT(RawMaterials[[#This Row],[Lab Quantity 1]:[Lab Quantity 4]])</f>
        <v>0</v>
      </c>
      <c r="X12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6" s="392" t="e">
        <f>RawMaterials[[#This Row],[Lab Price 1]]/RawMaterials[[#This Row],[Lab Q Model Units 1]]</f>
        <v>#N/A</v>
      </c>
      <c r="AC126" s="392" t="e">
        <f>RawMaterials[[#This Row],[Lab Price 2]]/RawMaterials[[#This Row],[Lab Q Model Units 2]]</f>
        <v>#N/A</v>
      </c>
      <c r="AD126" s="392" t="e">
        <f>RawMaterials[[#This Row],[Lab Price 3]]/RawMaterials[[#This Row],[Lab Q Model Units 3]]</f>
        <v>#N/A</v>
      </c>
      <c r="AE126" s="392" t="e">
        <f>RawMaterials[[#This Row],[Lab Price 4]]/RawMaterials[[#This Row],[Lab Q Model Units 4]]</f>
        <v>#N/A</v>
      </c>
      <c r="AF126" s="392" t="str">
        <f ca="1">IF(RawMaterials[[#This Row],[Lab Quote Count]]&gt;1,SLOPE(LOG(INDIRECT("RawMaterials[@[Lab Unit P 1]:[Lab Unit P "&amp;RawMaterials[[#This Row],[Lab Quote Count]]&amp;"]]")),LOG(INDIRECT("RawMaterials[@[Lab Q Model Units 1]:[Lab Q Model Units "&amp;RawMaterials[[#This Row],[Lab Quote Count]]&amp;"]]"))),"")</f>
        <v/>
      </c>
      <c r="AG126" s="392" t="str">
        <f ca="1">IF(RawMaterials[[#This Row],[Lab Quote Count]]&gt;1,INTERCEPT(LOG(INDIRECT("RawMaterials[@[Lab Unit P 1]:[Lab Unit P "&amp;RawMaterials[[#This Row],[Lab Quote Count]]&amp;"]]")),LOG(INDIRECT("RawMaterials[@[Lab Q Model Units 1]:[Lab Q Model Units "&amp;RawMaterials[[#This Row],[Lab Quote Count]]&amp;"]]"))),"")</f>
        <v/>
      </c>
      <c r="AH126" s="393" t="str">
        <f>IF(RawMaterials[[#This Row],[Material Type]]="Metal Precursor","D13",IF(RawMaterials[[#This Row],[Material Type]]="Ligand","D13","D12"))</f>
        <v>D12</v>
      </c>
      <c r="AI126" s="394" t="str">
        <f ca="1">IF(RawMaterials[[#This Row],[Lab Quote Count]]&gt;1,10^RawMaterials[[#This Row],[Lab Log-Log Intercept]]*INDIRECT(RawMaterials[[#This Row],[Basis Cell]])^RawMaterials[[#This Row],[Lab Log-Log Slope]],"&gt;&gt;&gt; Enter 2 or more lab quotes &lt;&lt;&lt;")</f>
        <v>&gt;&gt;&gt; Enter 2 or more lab quotes &lt;&lt;&lt;</v>
      </c>
      <c r="AJ12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1.5928398442857383</v>
      </c>
      <c r="AL126" s="396">
        <f>IF(ISTEXT(RawMaterials[[#This Row],[Unit price in quote year]]),"Check calcs",RawMaterials[[#This Row],[Unit price in quote year]]/VLOOKUP(RawMaterials[[#This Row],[Quote Year]],ChemPPI[],14,FALSE)*VLOOKUP(BasisYear,ChemPPI[],14,FALSE))</f>
        <v>2.1618268415077275</v>
      </c>
      <c r="AM126" s="397" t="str">
        <f t="shared" si="1"/>
        <v>$/kg (2016)</v>
      </c>
    </row>
    <row r="127" spans="1:39">
      <c r="A127" s="259" t="s">
        <v>1223</v>
      </c>
      <c r="B127" s="260"/>
      <c r="C127" s="351"/>
      <c r="D127" s="351"/>
      <c r="E127" s="260">
        <v>100</v>
      </c>
      <c r="F127" s="260"/>
      <c r="G127" s="351"/>
      <c r="H127" s="351"/>
      <c r="I127" s="262"/>
      <c r="J127" s="351"/>
      <c r="K127" s="351"/>
      <c r="L127" s="351"/>
      <c r="M127" s="351"/>
      <c r="N127" s="351"/>
      <c r="O127" s="351"/>
      <c r="P127" s="261">
        <v>0.72499999999999998</v>
      </c>
      <c r="Q127" s="260">
        <v>1</v>
      </c>
      <c r="R127" s="260" t="s">
        <v>20</v>
      </c>
      <c r="S127" s="260">
        <v>2006</v>
      </c>
      <c r="T127" s="260" t="s">
        <v>161</v>
      </c>
      <c r="U127" s="386">
        <v>42653</v>
      </c>
      <c r="V127" s="387"/>
      <c r="W127" s="354">
        <f>COUNT(RawMaterials[[#This Row],[Lab Quantity 1]:[Lab Quantity 4]])</f>
        <v>0</v>
      </c>
      <c r="X12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7" s="392" t="e">
        <f>RawMaterials[[#This Row],[Lab Price 1]]/RawMaterials[[#This Row],[Lab Q Model Units 1]]</f>
        <v>#N/A</v>
      </c>
      <c r="AC127" s="392" t="e">
        <f>RawMaterials[[#This Row],[Lab Price 2]]/RawMaterials[[#This Row],[Lab Q Model Units 2]]</f>
        <v>#N/A</v>
      </c>
      <c r="AD127" s="392" t="e">
        <f>RawMaterials[[#This Row],[Lab Price 3]]/RawMaterials[[#This Row],[Lab Q Model Units 3]]</f>
        <v>#N/A</v>
      </c>
      <c r="AE127" s="392" t="e">
        <f>RawMaterials[[#This Row],[Lab Price 4]]/RawMaterials[[#This Row],[Lab Q Model Units 4]]</f>
        <v>#N/A</v>
      </c>
      <c r="AF127" s="392" t="str">
        <f ca="1">IF(RawMaterials[[#This Row],[Lab Quote Count]]&gt;1,SLOPE(LOG(INDIRECT("RawMaterials[@[Lab Unit P 1]:[Lab Unit P "&amp;RawMaterials[[#This Row],[Lab Quote Count]]&amp;"]]")),LOG(INDIRECT("RawMaterials[@[Lab Q Model Units 1]:[Lab Q Model Units "&amp;RawMaterials[[#This Row],[Lab Quote Count]]&amp;"]]"))),"")</f>
        <v/>
      </c>
      <c r="AG127" s="392" t="str">
        <f ca="1">IF(RawMaterials[[#This Row],[Lab Quote Count]]&gt;1,INTERCEPT(LOG(INDIRECT("RawMaterials[@[Lab Unit P 1]:[Lab Unit P "&amp;RawMaterials[[#This Row],[Lab Quote Count]]&amp;"]]")),LOG(INDIRECT("RawMaterials[@[Lab Q Model Units 1]:[Lab Q Model Units "&amp;RawMaterials[[#This Row],[Lab Quote Count]]&amp;"]]"))),"")</f>
        <v/>
      </c>
      <c r="AH127" s="393" t="str">
        <f>IF(RawMaterials[[#This Row],[Material Type]]="Metal Precursor","D13",IF(RawMaterials[[#This Row],[Material Type]]="Ligand","D13","D12"))</f>
        <v>D12</v>
      </c>
      <c r="AI127" s="394" t="str">
        <f ca="1">IF(RawMaterials[[#This Row],[Lab Quote Count]]&gt;1,10^RawMaterials[[#This Row],[Lab Log-Log Intercept]]*INDIRECT(RawMaterials[[#This Row],[Basis Cell]])^RawMaterials[[#This Row],[Lab Log-Log Slope]],"&gt;&gt;&gt; Enter 2 or more lab quotes &lt;&lt;&lt;")</f>
        <v>&gt;&gt;&gt; Enter 2 or more lab quotes &lt;&lt;&lt;</v>
      </c>
      <c r="AJ12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1.5983514008403623</v>
      </c>
      <c r="AL127" s="396">
        <f>IF(ISTEXT(RawMaterials[[#This Row],[Unit price in quote year]]),"Check calcs",RawMaterials[[#This Row],[Unit price in quote year]]/VLOOKUP(RawMaterials[[#This Row],[Quote Year]],ChemPPI[],14,FALSE)*VLOOKUP(BasisYear,ChemPPI[],14,FALSE))</f>
        <v>2.1693072112015286</v>
      </c>
      <c r="AM127" s="397" t="str">
        <f t="shared" si="1"/>
        <v>$/kg (2016)</v>
      </c>
    </row>
    <row r="128" spans="1:39">
      <c r="A128" s="259" t="s">
        <v>1224</v>
      </c>
      <c r="B128" s="260"/>
      <c r="C128" s="351"/>
      <c r="D128" s="351"/>
      <c r="E128" s="260">
        <v>100</v>
      </c>
      <c r="F128" s="260"/>
      <c r="G128" s="351"/>
      <c r="H128" s="351"/>
      <c r="I128" s="262"/>
      <c r="J128" s="351"/>
      <c r="K128" s="351"/>
      <c r="L128" s="351"/>
      <c r="M128" s="351"/>
      <c r="N128" s="351"/>
      <c r="O128" s="351"/>
      <c r="P128" s="261">
        <v>0.72750000000000004</v>
      </c>
      <c r="Q128" s="260">
        <v>1</v>
      </c>
      <c r="R128" s="260" t="s">
        <v>20</v>
      </c>
      <c r="S128" s="260">
        <v>2006</v>
      </c>
      <c r="T128" s="260" t="s">
        <v>161</v>
      </c>
      <c r="U128" s="386">
        <v>42653</v>
      </c>
      <c r="V128" s="387"/>
      <c r="W128" s="354">
        <f>COUNT(RawMaterials[[#This Row],[Lab Quantity 1]:[Lab Quantity 4]])</f>
        <v>0</v>
      </c>
      <c r="X12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8" s="392" t="e">
        <f>RawMaterials[[#This Row],[Lab Price 1]]/RawMaterials[[#This Row],[Lab Q Model Units 1]]</f>
        <v>#N/A</v>
      </c>
      <c r="AC128" s="392" t="e">
        <f>RawMaterials[[#This Row],[Lab Price 2]]/RawMaterials[[#This Row],[Lab Q Model Units 2]]</f>
        <v>#N/A</v>
      </c>
      <c r="AD128" s="392" t="e">
        <f>RawMaterials[[#This Row],[Lab Price 3]]/RawMaterials[[#This Row],[Lab Q Model Units 3]]</f>
        <v>#N/A</v>
      </c>
      <c r="AE128" s="392" t="e">
        <f>RawMaterials[[#This Row],[Lab Price 4]]/RawMaterials[[#This Row],[Lab Q Model Units 4]]</f>
        <v>#N/A</v>
      </c>
      <c r="AF128" s="392" t="str">
        <f ca="1">IF(RawMaterials[[#This Row],[Lab Quote Count]]&gt;1,SLOPE(LOG(INDIRECT("RawMaterials[@[Lab Unit P 1]:[Lab Unit P "&amp;RawMaterials[[#This Row],[Lab Quote Count]]&amp;"]]")),LOG(INDIRECT("RawMaterials[@[Lab Q Model Units 1]:[Lab Q Model Units "&amp;RawMaterials[[#This Row],[Lab Quote Count]]&amp;"]]"))),"")</f>
        <v/>
      </c>
      <c r="AG128" s="392" t="str">
        <f ca="1">IF(RawMaterials[[#This Row],[Lab Quote Count]]&gt;1,INTERCEPT(LOG(INDIRECT("RawMaterials[@[Lab Unit P 1]:[Lab Unit P "&amp;RawMaterials[[#This Row],[Lab Quote Count]]&amp;"]]")),LOG(INDIRECT("RawMaterials[@[Lab Q Model Units 1]:[Lab Q Model Units "&amp;RawMaterials[[#This Row],[Lab Quote Count]]&amp;"]]"))),"")</f>
        <v/>
      </c>
      <c r="AH128" s="393" t="str">
        <f>IF(RawMaterials[[#This Row],[Material Type]]="Metal Precursor","D13",IF(RawMaterials[[#This Row],[Material Type]]="Ligand","D13","D12"))</f>
        <v>D12</v>
      </c>
      <c r="AI128" s="394" t="str">
        <f ca="1">IF(RawMaterials[[#This Row],[Lab Quote Count]]&gt;1,10^RawMaterials[[#This Row],[Lab Log-Log Intercept]]*INDIRECT(RawMaterials[[#This Row],[Basis Cell]])^RawMaterials[[#This Row],[Lab Log-Log Slope]],"&gt;&gt;&gt; Enter 2 or more lab quotes &lt;&lt;&lt;")</f>
        <v>&gt;&gt;&gt; Enter 2 or more lab quotes &lt;&lt;&lt;</v>
      </c>
      <c r="AJ12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1.6038629573949843</v>
      </c>
      <c r="AL128" s="396">
        <f>IF(ISTEXT(RawMaterials[[#This Row],[Unit price in quote year]]),"Check calcs",RawMaterials[[#This Row],[Unit price in quote year]]/VLOOKUP(RawMaterials[[#This Row],[Quote Year]],ChemPPI[],14,FALSE)*VLOOKUP(BasisYear,ChemPPI[],14,FALSE))</f>
        <v>2.176787580895327</v>
      </c>
      <c r="AM128" s="397" t="str">
        <f t="shared" si="1"/>
        <v>$/kg (2016)</v>
      </c>
    </row>
    <row r="129" spans="1:39">
      <c r="A129" s="259" t="s">
        <v>1225</v>
      </c>
      <c r="B129" s="260"/>
      <c r="C129" s="351"/>
      <c r="D129" s="351"/>
      <c r="E129" s="260">
        <v>100</v>
      </c>
      <c r="F129" s="260"/>
      <c r="G129" s="351"/>
      <c r="H129" s="351"/>
      <c r="I129" s="262"/>
      <c r="J129" s="351"/>
      <c r="K129" s="351"/>
      <c r="L129" s="351"/>
      <c r="M129" s="351"/>
      <c r="N129" s="351"/>
      <c r="O129" s="351"/>
      <c r="P129" s="261">
        <v>0.89</v>
      </c>
      <c r="Q129" s="260">
        <v>1</v>
      </c>
      <c r="R129" s="260" t="s">
        <v>20</v>
      </c>
      <c r="S129" s="260">
        <v>2006</v>
      </c>
      <c r="T129" s="260" t="s">
        <v>161</v>
      </c>
      <c r="U129" s="386">
        <v>42653</v>
      </c>
      <c r="V129" s="387"/>
      <c r="W129" s="354">
        <f>COUNT(RawMaterials[[#This Row],[Lab Quantity 1]:[Lab Quantity 4]])</f>
        <v>0</v>
      </c>
      <c r="X12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9" s="392" t="e">
        <f>RawMaterials[[#This Row],[Lab Price 1]]/RawMaterials[[#This Row],[Lab Q Model Units 1]]</f>
        <v>#N/A</v>
      </c>
      <c r="AC129" s="392" t="e">
        <f>RawMaterials[[#This Row],[Lab Price 2]]/RawMaterials[[#This Row],[Lab Q Model Units 2]]</f>
        <v>#N/A</v>
      </c>
      <c r="AD129" s="392" t="e">
        <f>RawMaterials[[#This Row],[Lab Price 3]]/RawMaterials[[#This Row],[Lab Q Model Units 3]]</f>
        <v>#N/A</v>
      </c>
      <c r="AE129" s="392" t="e">
        <f>RawMaterials[[#This Row],[Lab Price 4]]/RawMaterials[[#This Row],[Lab Q Model Units 4]]</f>
        <v>#N/A</v>
      </c>
      <c r="AF129" s="392" t="str">
        <f ca="1">IF(RawMaterials[[#This Row],[Lab Quote Count]]&gt;1,SLOPE(LOG(INDIRECT("RawMaterials[@[Lab Unit P 1]:[Lab Unit P "&amp;RawMaterials[[#This Row],[Lab Quote Count]]&amp;"]]")),LOG(INDIRECT("RawMaterials[@[Lab Q Model Units 1]:[Lab Q Model Units "&amp;RawMaterials[[#This Row],[Lab Quote Count]]&amp;"]]"))),"")</f>
        <v/>
      </c>
      <c r="AG129" s="392" t="str">
        <f ca="1">IF(RawMaterials[[#This Row],[Lab Quote Count]]&gt;1,INTERCEPT(LOG(INDIRECT("RawMaterials[@[Lab Unit P 1]:[Lab Unit P "&amp;RawMaterials[[#This Row],[Lab Quote Count]]&amp;"]]")),LOG(INDIRECT("RawMaterials[@[Lab Q Model Units 1]:[Lab Q Model Units "&amp;RawMaterials[[#This Row],[Lab Quote Count]]&amp;"]]"))),"")</f>
        <v/>
      </c>
      <c r="AH129" s="393" t="str">
        <f>IF(RawMaterials[[#This Row],[Material Type]]="Metal Precursor","D13",IF(RawMaterials[[#This Row],[Material Type]]="Ligand","D13","D12"))</f>
        <v>D12</v>
      </c>
      <c r="AI129" s="394" t="str">
        <f ca="1">IF(RawMaterials[[#This Row],[Lab Quote Count]]&gt;1,10^RawMaterials[[#This Row],[Lab Log-Log Intercept]]*INDIRECT(RawMaterials[[#This Row],[Basis Cell]])^RawMaterials[[#This Row],[Lab Log-Log Slope]],"&gt;&gt;&gt; Enter 2 or more lab quotes &lt;&lt;&lt;")</f>
        <v>&gt;&gt;&gt; Enter 2 or more lab quotes &lt;&lt;&lt;</v>
      </c>
      <c r="AJ12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1.9621141334454104</v>
      </c>
      <c r="AL129" s="396">
        <f>IF(ISTEXT(RawMaterials[[#This Row],[Unit price in quote year]]),"Check calcs",RawMaterials[[#This Row],[Unit price in quote year]]/VLOOKUP(RawMaterials[[#This Row],[Quote Year]],ChemPPI[],14,FALSE)*VLOOKUP(BasisYear,ChemPPI[],14,FALSE))</f>
        <v>2.6630116109922217</v>
      </c>
      <c r="AM129" s="397" t="str">
        <f t="shared" si="1"/>
        <v>$/kg (2016)</v>
      </c>
    </row>
    <row r="130" spans="1:39">
      <c r="A130" s="259" t="s">
        <v>1226</v>
      </c>
      <c r="B130" s="260"/>
      <c r="C130" s="351"/>
      <c r="D130" s="351"/>
      <c r="E130" s="260">
        <v>100</v>
      </c>
      <c r="F130" s="260"/>
      <c r="G130" s="351"/>
      <c r="H130" s="351"/>
      <c r="I130" s="262"/>
      <c r="J130" s="351"/>
      <c r="K130" s="351"/>
      <c r="L130" s="351"/>
      <c r="M130" s="351"/>
      <c r="N130" s="351"/>
      <c r="O130" s="351"/>
      <c r="P130" s="261">
        <v>257.5</v>
      </c>
      <c r="Q130" s="260">
        <v>1</v>
      </c>
      <c r="R130" s="260" t="s">
        <v>401</v>
      </c>
      <c r="S130" s="260">
        <v>2008</v>
      </c>
      <c r="T130" s="260" t="s">
        <v>161</v>
      </c>
      <c r="U130" s="386">
        <v>42653</v>
      </c>
      <c r="V130" s="387"/>
      <c r="W130" s="354">
        <f>COUNT(RawMaterials[[#This Row],[Lab Quantity 1]:[Lab Quantity 4]])</f>
        <v>0</v>
      </c>
      <c r="X13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0" s="392" t="e">
        <f>RawMaterials[[#This Row],[Lab Price 1]]/RawMaterials[[#This Row],[Lab Q Model Units 1]]</f>
        <v>#N/A</v>
      </c>
      <c r="AC130" s="392" t="e">
        <f>RawMaterials[[#This Row],[Lab Price 2]]/RawMaterials[[#This Row],[Lab Q Model Units 2]]</f>
        <v>#N/A</v>
      </c>
      <c r="AD130" s="392" t="e">
        <f>RawMaterials[[#This Row],[Lab Price 3]]/RawMaterials[[#This Row],[Lab Q Model Units 3]]</f>
        <v>#N/A</v>
      </c>
      <c r="AE130" s="392" t="e">
        <f>RawMaterials[[#This Row],[Lab Price 4]]/RawMaterials[[#This Row],[Lab Q Model Units 4]]</f>
        <v>#N/A</v>
      </c>
      <c r="AF130" s="392" t="str">
        <f ca="1">IF(RawMaterials[[#This Row],[Lab Quote Count]]&gt;1,SLOPE(LOG(INDIRECT("RawMaterials[@[Lab Unit P 1]:[Lab Unit P "&amp;RawMaterials[[#This Row],[Lab Quote Count]]&amp;"]]")),LOG(INDIRECT("RawMaterials[@[Lab Q Model Units 1]:[Lab Q Model Units "&amp;RawMaterials[[#This Row],[Lab Quote Count]]&amp;"]]"))),"")</f>
        <v/>
      </c>
      <c r="AG130" s="392" t="str">
        <f ca="1">IF(RawMaterials[[#This Row],[Lab Quote Count]]&gt;1,INTERCEPT(LOG(INDIRECT("RawMaterials[@[Lab Unit P 1]:[Lab Unit P "&amp;RawMaterials[[#This Row],[Lab Quote Count]]&amp;"]]")),LOG(INDIRECT("RawMaterials[@[Lab Q Model Units 1]:[Lab Q Model Units "&amp;RawMaterials[[#This Row],[Lab Quote Count]]&amp;"]]"))),"")</f>
        <v/>
      </c>
      <c r="AH130" s="393" t="str">
        <f>IF(RawMaterials[[#This Row],[Material Type]]="Metal Precursor","D13",IF(RawMaterials[[#This Row],[Material Type]]="Ligand","D13","D12"))</f>
        <v>D12</v>
      </c>
      <c r="AI130" s="394" t="str">
        <f ca="1">IF(RawMaterials[[#This Row],[Lab Quote Count]]&gt;1,10^RawMaterials[[#This Row],[Lab Log-Log Intercept]]*INDIRECT(RawMaterials[[#This Row],[Basis Cell]])^RawMaterials[[#This Row],[Lab Log-Log Slope]],"&gt;&gt;&gt; Enter 2 or more lab quotes &lt;&lt;&lt;")</f>
        <v>&gt;&gt;&gt; Enter 2 or more lab quotes &lt;&lt;&lt;</v>
      </c>
      <c r="AJ13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3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0.28384516256302988</v>
      </c>
      <c r="AL130" s="396">
        <f>IF(ISTEXT(RawMaterials[[#This Row],[Unit price in quote year]]),"Check calcs",RawMaterials[[#This Row],[Unit price in quote year]]/VLOOKUP(RawMaterials[[#This Row],[Quote Year]],ChemPPI[],14,FALSE)*VLOOKUP(BasisYear,ChemPPI[],14,FALSE))</f>
        <v>0.33221855579588222</v>
      </c>
      <c r="AM130" s="397" t="str">
        <f t="shared" si="1"/>
        <v>$/kg (2016)</v>
      </c>
    </row>
    <row r="131" spans="1:39">
      <c r="A131" s="259" t="s">
        <v>1227</v>
      </c>
      <c r="B131" s="260"/>
      <c r="C131" s="351"/>
      <c r="D131" s="351"/>
      <c r="E131" s="260">
        <v>100</v>
      </c>
      <c r="F131" s="260"/>
      <c r="G131" s="351"/>
      <c r="H131" s="351"/>
      <c r="I131" s="262"/>
      <c r="J131" s="351"/>
      <c r="K131" s="351"/>
      <c r="L131" s="351"/>
      <c r="M131" s="351"/>
      <c r="N131" s="351"/>
      <c r="O131" s="351"/>
      <c r="P131" s="261">
        <v>0.4</v>
      </c>
      <c r="Q131" s="260">
        <v>1</v>
      </c>
      <c r="R131" s="260" t="s">
        <v>20</v>
      </c>
      <c r="S131" s="260">
        <v>2008</v>
      </c>
      <c r="T131" s="260" t="s">
        <v>161</v>
      </c>
      <c r="U131" s="386">
        <v>42653</v>
      </c>
      <c r="V131" s="387"/>
      <c r="W131" s="354">
        <f>COUNT(RawMaterials[[#This Row],[Lab Quantity 1]:[Lab Quantity 4]])</f>
        <v>0</v>
      </c>
      <c r="X13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1" s="392" t="e">
        <f>RawMaterials[[#This Row],[Lab Price 1]]/RawMaterials[[#This Row],[Lab Q Model Units 1]]</f>
        <v>#N/A</v>
      </c>
      <c r="AC131" s="392" t="e">
        <f>RawMaterials[[#This Row],[Lab Price 2]]/RawMaterials[[#This Row],[Lab Q Model Units 2]]</f>
        <v>#N/A</v>
      </c>
      <c r="AD131" s="392" t="e">
        <f>RawMaterials[[#This Row],[Lab Price 3]]/RawMaterials[[#This Row],[Lab Q Model Units 3]]</f>
        <v>#N/A</v>
      </c>
      <c r="AE131" s="392" t="e">
        <f>RawMaterials[[#This Row],[Lab Price 4]]/RawMaterials[[#This Row],[Lab Q Model Units 4]]</f>
        <v>#N/A</v>
      </c>
      <c r="AF131" s="392" t="str">
        <f ca="1">IF(RawMaterials[[#This Row],[Lab Quote Count]]&gt;1,SLOPE(LOG(INDIRECT("RawMaterials[@[Lab Unit P 1]:[Lab Unit P "&amp;RawMaterials[[#This Row],[Lab Quote Count]]&amp;"]]")),LOG(INDIRECT("RawMaterials[@[Lab Q Model Units 1]:[Lab Q Model Units "&amp;RawMaterials[[#This Row],[Lab Quote Count]]&amp;"]]"))),"")</f>
        <v/>
      </c>
      <c r="AG131" s="392" t="str">
        <f ca="1">IF(RawMaterials[[#This Row],[Lab Quote Count]]&gt;1,INTERCEPT(LOG(INDIRECT("RawMaterials[@[Lab Unit P 1]:[Lab Unit P "&amp;RawMaterials[[#This Row],[Lab Quote Count]]&amp;"]]")),LOG(INDIRECT("RawMaterials[@[Lab Q Model Units 1]:[Lab Q Model Units "&amp;RawMaterials[[#This Row],[Lab Quote Count]]&amp;"]]"))),"")</f>
        <v/>
      </c>
      <c r="AH131" s="393" t="str">
        <f>IF(RawMaterials[[#This Row],[Material Type]]="Metal Precursor","D13",IF(RawMaterials[[#This Row],[Material Type]]="Ligand","D13","D12"))</f>
        <v>D12</v>
      </c>
      <c r="AI131" s="394" t="str">
        <f ca="1">IF(RawMaterials[[#This Row],[Lab Quote Count]]&gt;1,10^RawMaterials[[#This Row],[Lab Log-Log Intercept]]*INDIRECT(RawMaterials[[#This Row],[Basis Cell]])^RawMaterials[[#This Row],[Lab Log-Log Slope]],"&gt;&gt;&gt; Enter 2 or more lab quotes &lt;&lt;&lt;")</f>
        <v>&gt;&gt;&gt; Enter 2 or more lab quotes &lt;&lt;&lt;</v>
      </c>
      <c r="AJ13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0.88184904873951031</v>
      </c>
      <c r="AL131" s="396">
        <f>IF(ISTEXT(RawMaterials[[#This Row],[Unit price in quote year]]),"Check calcs",RawMaterials[[#This Row],[Unit price in quote year]]/VLOOKUP(RawMaterials[[#This Row],[Quote Year]],ChemPPI[],14,FALSE)*VLOOKUP(BasisYear,ChemPPI[],14,FALSE))</f>
        <v>1.0321353189774982</v>
      </c>
      <c r="AM131" s="397" t="str">
        <f t="shared" si="1"/>
        <v>$/kg (2016)</v>
      </c>
    </row>
    <row r="132" spans="1:39">
      <c r="A132" s="259" t="s">
        <v>1228</v>
      </c>
      <c r="B132" s="260"/>
      <c r="C132" s="351"/>
      <c r="D132" s="351"/>
      <c r="E132" s="260">
        <v>100</v>
      </c>
      <c r="F132" s="260"/>
      <c r="G132" s="351"/>
      <c r="H132" s="351"/>
      <c r="I132" s="262"/>
      <c r="J132" s="351"/>
      <c r="K132" s="351"/>
      <c r="L132" s="351"/>
      <c r="M132" s="351"/>
      <c r="N132" s="351"/>
      <c r="O132" s="351"/>
      <c r="P132" s="261">
        <v>0.36499999999999999</v>
      </c>
      <c r="Q132" s="260">
        <v>1</v>
      </c>
      <c r="R132" s="260" t="s">
        <v>20</v>
      </c>
      <c r="S132" s="260">
        <v>2008</v>
      </c>
      <c r="T132" s="260" t="s">
        <v>161</v>
      </c>
      <c r="U132" s="386">
        <v>42653</v>
      </c>
      <c r="V132" s="387"/>
      <c r="W132" s="354">
        <f>COUNT(RawMaterials[[#This Row],[Lab Quantity 1]:[Lab Quantity 4]])</f>
        <v>0</v>
      </c>
      <c r="X13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2" s="392" t="e">
        <f>RawMaterials[[#This Row],[Lab Price 1]]/RawMaterials[[#This Row],[Lab Q Model Units 1]]</f>
        <v>#N/A</v>
      </c>
      <c r="AC132" s="392" t="e">
        <f>RawMaterials[[#This Row],[Lab Price 2]]/RawMaterials[[#This Row],[Lab Q Model Units 2]]</f>
        <v>#N/A</v>
      </c>
      <c r="AD132" s="392" t="e">
        <f>RawMaterials[[#This Row],[Lab Price 3]]/RawMaterials[[#This Row],[Lab Q Model Units 3]]</f>
        <v>#N/A</v>
      </c>
      <c r="AE132" s="392" t="e">
        <f>RawMaterials[[#This Row],[Lab Price 4]]/RawMaterials[[#This Row],[Lab Q Model Units 4]]</f>
        <v>#N/A</v>
      </c>
      <c r="AF132" s="392" t="str">
        <f ca="1">IF(RawMaterials[[#This Row],[Lab Quote Count]]&gt;1,SLOPE(LOG(INDIRECT("RawMaterials[@[Lab Unit P 1]:[Lab Unit P "&amp;RawMaterials[[#This Row],[Lab Quote Count]]&amp;"]]")),LOG(INDIRECT("RawMaterials[@[Lab Q Model Units 1]:[Lab Q Model Units "&amp;RawMaterials[[#This Row],[Lab Quote Count]]&amp;"]]"))),"")</f>
        <v/>
      </c>
      <c r="AG132" s="392" t="str">
        <f ca="1">IF(RawMaterials[[#This Row],[Lab Quote Count]]&gt;1,INTERCEPT(LOG(INDIRECT("RawMaterials[@[Lab Unit P 1]:[Lab Unit P "&amp;RawMaterials[[#This Row],[Lab Quote Count]]&amp;"]]")),LOG(INDIRECT("RawMaterials[@[Lab Q Model Units 1]:[Lab Q Model Units "&amp;RawMaterials[[#This Row],[Lab Quote Count]]&amp;"]]"))),"")</f>
        <v/>
      </c>
      <c r="AH132" s="393" t="str">
        <f>IF(RawMaterials[[#This Row],[Material Type]]="Metal Precursor","D13",IF(RawMaterials[[#This Row],[Material Type]]="Ligand","D13","D12"))</f>
        <v>D12</v>
      </c>
      <c r="AI132" s="394" t="str">
        <f ca="1">IF(RawMaterials[[#This Row],[Lab Quote Count]]&gt;1,10^RawMaterials[[#This Row],[Lab Log-Log Intercept]]*INDIRECT(RawMaterials[[#This Row],[Basis Cell]])^RawMaterials[[#This Row],[Lab Log-Log Slope]],"&gt;&gt;&gt; Enter 2 or more lab quotes &lt;&lt;&lt;")</f>
        <v>&gt;&gt;&gt; Enter 2 or more lab quotes &lt;&lt;&lt;</v>
      </c>
      <c r="AJ13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0.80468725697480314</v>
      </c>
      <c r="AL132" s="396">
        <f>IF(ISTEXT(RawMaterials[[#This Row],[Unit price in quote year]]),"Check calcs",RawMaterials[[#This Row],[Unit price in quote year]]/VLOOKUP(RawMaterials[[#This Row],[Quote Year]],ChemPPI[],14,FALSE)*VLOOKUP(BasisYear,ChemPPI[],14,FALSE))</f>
        <v>0.94182347856696702</v>
      </c>
      <c r="AM132" s="397" t="str">
        <f t="shared" si="1"/>
        <v>$/kg (2016)</v>
      </c>
    </row>
    <row r="133" spans="1:39">
      <c r="A133" s="259" t="s">
        <v>1229</v>
      </c>
      <c r="B133" s="260"/>
      <c r="C133" s="351"/>
      <c r="D133" s="351"/>
      <c r="E133" s="260">
        <v>60</v>
      </c>
      <c r="F133" s="260"/>
      <c r="G133" s="351"/>
      <c r="H133" s="351"/>
      <c r="I133" s="262"/>
      <c r="J133" s="351"/>
      <c r="K133" s="351"/>
      <c r="L133" s="351"/>
      <c r="M133" s="351"/>
      <c r="N133" s="351"/>
      <c r="O133" s="351"/>
      <c r="P133" s="261">
        <v>0.53500000000000003</v>
      </c>
      <c r="Q133" s="260">
        <v>1</v>
      </c>
      <c r="R133" s="260" t="s">
        <v>20</v>
      </c>
      <c r="S133" s="260">
        <v>2006</v>
      </c>
      <c r="T133" s="260" t="s">
        <v>161</v>
      </c>
      <c r="U133" s="386">
        <v>42653</v>
      </c>
      <c r="V133" s="387"/>
      <c r="W133" s="354">
        <f>COUNT(RawMaterials[[#This Row],[Lab Quantity 1]:[Lab Quantity 4]])</f>
        <v>0</v>
      </c>
      <c r="X13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3" s="392" t="e">
        <f>RawMaterials[[#This Row],[Lab Price 1]]/RawMaterials[[#This Row],[Lab Q Model Units 1]]</f>
        <v>#N/A</v>
      </c>
      <c r="AC133" s="392" t="e">
        <f>RawMaterials[[#This Row],[Lab Price 2]]/RawMaterials[[#This Row],[Lab Q Model Units 2]]</f>
        <v>#N/A</v>
      </c>
      <c r="AD133" s="392" t="e">
        <f>RawMaterials[[#This Row],[Lab Price 3]]/RawMaterials[[#This Row],[Lab Q Model Units 3]]</f>
        <v>#N/A</v>
      </c>
      <c r="AE133" s="392" t="e">
        <f>RawMaterials[[#This Row],[Lab Price 4]]/RawMaterials[[#This Row],[Lab Q Model Units 4]]</f>
        <v>#N/A</v>
      </c>
      <c r="AF133" s="392" t="str">
        <f ca="1">IF(RawMaterials[[#This Row],[Lab Quote Count]]&gt;1,SLOPE(LOG(INDIRECT("RawMaterials[@[Lab Unit P 1]:[Lab Unit P "&amp;RawMaterials[[#This Row],[Lab Quote Count]]&amp;"]]")),LOG(INDIRECT("RawMaterials[@[Lab Q Model Units 1]:[Lab Q Model Units "&amp;RawMaterials[[#This Row],[Lab Quote Count]]&amp;"]]"))),"")</f>
        <v/>
      </c>
      <c r="AG133" s="392" t="str">
        <f ca="1">IF(RawMaterials[[#This Row],[Lab Quote Count]]&gt;1,INTERCEPT(LOG(INDIRECT("RawMaterials[@[Lab Unit P 1]:[Lab Unit P "&amp;RawMaterials[[#This Row],[Lab Quote Count]]&amp;"]]")),LOG(INDIRECT("RawMaterials[@[Lab Q Model Units 1]:[Lab Q Model Units "&amp;RawMaterials[[#This Row],[Lab Quote Count]]&amp;"]]"))),"")</f>
        <v/>
      </c>
      <c r="AH133" s="393" t="str">
        <f>IF(RawMaterials[[#This Row],[Material Type]]="Metal Precursor","D13",IF(RawMaterials[[#This Row],[Material Type]]="Ligand","D13","D12"))</f>
        <v>D12</v>
      </c>
      <c r="AI133" s="394" t="str">
        <f ca="1">IF(RawMaterials[[#This Row],[Lab Quote Count]]&gt;1,10^RawMaterials[[#This Row],[Lab Log-Log Intercept]]*INDIRECT(RawMaterials[[#This Row],[Basis Cell]])^RawMaterials[[#This Row],[Lab Log-Log Slope]],"&gt;&gt;&gt; Enter 2 or more lab quotes &lt;&lt;&lt;")</f>
        <v>&gt;&gt;&gt; Enter 2 or more lab quotes &lt;&lt;&lt;</v>
      </c>
      <c r="AJ13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1.179473102689095</v>
      </c>
      <c r="AL133" s="396">
        <f>IF(ISTEXT(RawMaterials[[#This Row],[Unit price in quote year]]),"Check calcs",RawMaterials[[#This Row],[Unit price in quote year]]/VLOOKUP(RawMaterials[[#This Row],[Quote Year]],ChemPPI[],14,FALSE)*VLOOKUP(BasisYear,ChemPPI[],14,FALSE))</f>
        <v>1.6007991144728524</v>
      </c>
      <c r="AM133" s="397" t="str">
        <f t="shared" si="1"/>
        <v>$/kg (2016)</v>
      </c>
    </row>
    <row r="134" spans="1:39">
      <c r="A134" s="259" t="s">
        <v>1230</v>
      </c>
      <c r="B134" s="260"/>
      <c r="C134" s="351"/>
      <c r="D134" s="351"/>
      <c r="E134" s="260">
        <v>60</v>
      </c>
      <c r="F134" s="260"/>
      <c r="G134" s="351"/>
      <c r="H134" s="351"/>
      <c r="I134" s="262"/>
      <c r="J134" s="351"/>
      <c r="K134" s="351"/>
      <c r="L134" s="351"/>
      <c r="M134" s="351"/>
      <c r="N134" s="351"/>
      <c r="O134" s="351"/>
      <c r="P134" s="261">
        <v>0.60499999999999998</v>
      </c>
      <c r="Q134" s="260">
        <v>1</v>
      </c>
      <c r="R134" s="260" t="s">
        <v>20</v>
      </c>
      <c r="S134" s="260">
        <v>2006</v>
      </c>
      <c r="T134" s="260" t="s">
        <v>161</v>
      </c>
      <c r="U134" s="386">
        <v>42653</v>
      </c>
      <c r="V134" s="387"/>
      <c r="W134" s="354">
        <f>COUNT(RawMaterials[[#This Row],[Lab Quantity 1]:[Lab Quantity 4]])</f>
        <v>0</v>
      </c>
      <c r="X13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4" s="392" t="e">
        <f>RawMaterials[[#This Row],[Lab Price 1]]/RawMaterials[[#This Row],[Lab Q Model Units 1]]</f>
        <v>#N/A</v>
      </c>
      <c r="AC134" s="392" t="e">
        <f>RawMaterials[[#This Row],[Lab Price 2]]/RawMaterials[[#This Row],[Lab Q Model Units 2]]</f>
        <v>#N/A</v>
      </c>
      <c r="AD134" s="392" t="e">
        <f>RawMaterials[[#This Row],[Lab Price 3]]/RawMaterials[[#This Row],[Lab Q Model Units 3]]</f>
        <v>#N/A</v>
      </c>
      <c r="AE134" s="392" t="e">
        <f>RawMaterials[[#This Row],[Lab Price 4]]/RawMaterials[[#This Row],[Lab Q Model Units 4]]</f>
        <v>#N/A</v>
      </c>
      <c r="AF134" s="392" t="str">
        <f ca="1">IF(RawMaterials[[#This Row],[Lab Quote Count]]&gt;1,SLOPE(LOG(INDIRECT("RawMaterials[@[Lab Unit P 1]:[Lab Unit P "&amp;RawMaterials[[#This Row],[Lab Quote Count]]&amp;"]]")),LOG(INDIRECT("RawMaterials[@[Lab Q Model Units 1]:[Lab Q Model Units "&amp;RawMaterials[[#This Row],[Lab Quote Count]]&amp;"]]"))),"")</f>
        <v/>
      </c>
      <c r="AG134" s="392" t="str">
        <f ca="1">IF(RawMaterials[[#This Row],[Lab Quote Count]]&gt;1,INTERCEPT(LOG(INDIRECT("RawMaterials[@[Lab Unit P 1]:[Lab Unit P "&amp;RawMaterials[[#This Row],[Lab Quote Count]]&amp;"]]")),LOG(INDIRECT("RawMaterials[@[Lab Q Model Units 1]:[Lab Q Model Units "&amp;RawMaterials[[#This Row],[Lab Quote Count]]&amp;"]]"))),"")</f>
        <v/>
      </c>
      <c r="AH134" s="393" t="str">
        <f>IF(RawMaterials[[#This Row],[Material Type]]="Metal Precursor","D13",IF(RawMaterials[[#This Row],[Material Type]]="Ligand","D13","D12"))</f>
        <v>D12</v>
      </c>
      <c r="AI134" s="394" t="str">
        <f ca="1">IF(RawMaterials[[#This Row],[Lab Quote Count]]&gt;1,10^RawMaterials[[#This Row],[Lab Log-Log Intercept]]*INDIRECT(RawMaterials[[#This Row],[Basis Cell]])^RawMaterials[[#This Row],[Lab Log-Log Slope]],"&gt;&gt;&gt; Enter 2 or more lab quotes &lt;&lt;&lt;")</f>
        <v>&gt;&gt;&gt; Enter 2 or more lab quotes &lt;&lt;&lt;</v>
      </c>
      <c r="AJ13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1.3337966862185093</v>
      </c>
      <c r="AL134" s="396">
        <f>IF(ISTEXT(RawMaterials[[#This Row],[Unit price in quote year]]),"Check calcs",RawMaterials[[#This Row],[Unit price in quote year]]/VLOOKUP(RawMaterials[[#This Row],[Quote Year]],ChemPPI[],14,FALSE)*VLOOKUP(BasisYear,ChemPPI[],14,FALSE))</f>
        <v>1.810249465899207</v>
      </c>
      <c r="AM134" s="397" t="str">
        <f t="shared" si="1"/>
        <v>$/kg (2016)</v>
      </c>
    </row>
    <row r="135" spans="1:39">
      <c r="A135" s="259" t="s">
        <v>1231</v>
      </c>
      <c r="B135" s="260"/>
      <c r="C135" s="351"/>
      <c r="D135" s="351"/>
      <c r="E135" s="260">
        <v>70</v>
      </c>
      <c r="F135" s="260"/>
      <c r="G135" s="351"/>
      <c r="H135" s="351"/>
      <c r="I135" s="262"/>
      <c r="J135" s="351"/>
      <c r="K135" s="351"/>
      <c r="L135" s="351"/>
      <c r="M135" s="351"/>
      <c r="N135" s="351"/>
      <c r="O135" s="351"/>
      <c r="P135" s="261">
        <v>0.54249999999999998</v>
      </c>
      <c r="Q135" s="260">
        <v>1</v>
      </c>
      <c r="R135" s="260" t="s">
        <v>20</v>
      </c>
      <c r="S135" s="260">
        <v>2006</v>
      </c>
      <c r="T135" s="260" t="s">
        <v>161</v>
      </c>
      <c r="U135" s="386">
        <v>42653</v>
      </c>
      <c r="V135" s="387"/>
      <c r="W135" s="354">
        <f>COUNT(RawMaterials[[#This Row],[Lab Quantity 1]:[Lab Quantity 4]])</f>
        <v>0</v>
      </c>
      <c r="X13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5" s="392" t="e">
        <f>RawMaterials[[#This Row],[Lab Price 1]]/RawMaterials[[#This Row],[Lab Q Model Units 1]]</f>
        <v>#N/A</v>
      </c>
      <c r="AC135" s="392" t="e">
        <f>RawMaterials[[#This Row],[Lab Price 2]]/RawMaterials[[#This Row],[Lab Q Model Units 2]]</f>
        <v>#N/A</v>
      </c>
      <c r="AD135" s="392" t="e">
        <f>RawMaterials[[#This Row],[Lab Price 3]]/RawMaterials[[#This Row],[Lab Q Model Units 3]]</f>
        <v>#N/A</v>
      </c>
      <c r="AE135" s="392" t="e">
        <f>RawMaterials[[#This Row],[Lab Price 4]]/RawMaterials[[#This Row],[Lab Q Model Units 4]]</f>
        <v>#N/A</v>
      </c>
      <c r="AF135" s="392" t="str">
        <f ca="1">IF(RawMaterials[[#This Row],[Lab Quote Count]]&gt;1,SLOPE(LOG(INDIRECT("RawMaterials[@[Lab Unit P 1]:[Lab Unit P "&amp;RawMaterials[[#This Row],[Lab Quote Count]]&amp;"]]")),LOG(INDIRECT("RawMaterials[@[Lab Q Model Units 1]:[Lab Q Model Units "&amp;RawMaterials[[#This Row],[Lab Quote Count]]&amp;"]]"))),"")</f>
        <v/>
      </c>
      <c r="AG135" s="392" t="str">
        <f ca="1">IF(RawMaterials[[#This Row],[Lab Quote Count]]&gt;1,INTERCEPT(LOG(INDIRECT("RawMaterials[@[Lab Unit P 1]:[Lab Unit P "&amp;RawMaterials[[#This Row],[Lab Quote Count]]&amp;"]]")),LOG(INDIRECT("RawMaterials[@[Lab Q Model Units 1]:[Lab Q Model Units "&amp;RawMaterials[[#This Row],[Lab Quote Count]]&amp;"]]"))),"")</f>
        <v/>
      </c>
      <c r="AH135" s="393" t="str">
        <f>IF(RawMaterials[[#This Row],[Material Type]]="Metal Precursor","D13",IF(RawMaterials[[#This Row],[Material Type]]="Ligand","D13","D12"))</f>
        <v>D12</v>
      </c>
      <c r="AI135" s="394" t="str">
        <f ca="1">IF(RawMaterials[[#This Row],[Lab Quote Count]]&gt;1,10^RawMaterials[[#This Row],[Lab Log-Log Intercept]]*INDIRECT(RawMaterials[[#This Row],[Basis Cell]])^RawMaterials[[#This Row],[Lab Log-Log Slope]],"&gt;&gt;&gt; Enter 2 or more lab quotes &lt;&lt;&lt;")</f>
        <v>&gt;&gt;&gt; Enter 2 or more lab quotes &lt;&lt;&lt;</v>
      </c>
      <c r="AJ13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1.1960077723529607</v>
      </c>
      <c r="AL135" s="396">
        <f>IF(ISTEXT(RawMaterials[[#This Row],[Unit price in quote year]]),"Check calcs",RawMaterials[[#This Row],[Unit price in quote year]]/VLOOKUP(RawMaterials[[#This Row],[Quote Year]],ChemPPI[],14,FALSE)*VLOOKUP(BasisYear,ChemPPI[],14,FALSE))</f>
        <v>1.6232402235542474</v>
      </c>
      <c r="AM135" s="397" t="str">
        <f t="shared" si="1"/>
        <v>$/kg (2016)</v>
      </c>
    </row>
    <row r="136" spans="1:39">
      <c r="A136" s="259" t="s">
        <v>1232</v>
      </c>
      <c r="B136" s="260"/>
      <c r="C136" s="351"/>
      <c r="D136" s="351"/>
      <c r="E136" s="260">
        <v>100</v>
      </c>
      <c r="F136" s="260"/>
      <c r="G136" s="351"/>
      <c r="H136" s="351"/>
      <c r="I136" s="262"/>
      <c r="J136" s="351"/>
      <c r="K136" s="351"/>
      <c r="L136" s="351"/>
      <c r="M136" s="351"/>
      <c r="N136" s="351"/>
      <c r="O136" s="351"/>
      <c r="P136" s="261">
        <v>7.95</v>
      </c>
      <c r="Q136" s="260">
        <v>1</v>
      </c>
      <c r="R136" s="260" t="s">
        <v>71</v>
      </c>
      <c r="S136" s="260">
        <v>2006</v>
      </c>
      <c r="T136" s="260" t="s">
        <v>161</v>
      </c>
      <c r="U136" s="386">
        <v>42653</v>
      </c>
      <c r="V136" s="387"/>
      <c r="W136" s="354">
        <f>COUNT(RawMaterials[[#This Row],[Lab Quantity 1]:[Lab Quantity 4]])</f>
        <v>0</v>
      </c>
      <c r="X13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6" s="392" t="e">
        <f>RawMaterials[[#This Row],[Lab Price 1]]/RawMaterials[[#This Row],[Lab Q Model Units 1]]</f>
        <v>#N/A</v>
      </c>
      <c r="AC136" s="392" t="e">
        <f>RawMaterials[[#This Row],[Lab Price 2]]/RawMaterials[[#This Row],[Lab Q Model Units 2]]</f>
        <v>#N/A</v>
      </c>
      <c r="AD136" s="392" t="e">
        <f>RawMaterials[[#This Row],[Lab Price 3]]/RawMaterials[[#This Row],[Lab Q Model Units 3]]</f>
        <v>#N/A</v>
      </c>
      <c r="AE136" s="392" t="e">
        <f>RawMaterials[[#This Row],[Lab Price 4]]/RawMaterials[[#This Row],[Lab Q Model Units 4]]</f>
        <v>#N/A</v>
      </c>
      <c r="AF136" s="392" t="str">
        <f ca="1">IF(RawMaterials[[#This Row],[Lab Quote Count]]&gt;1,SLOPE(LOG(INDIRECT("RawMaterials[@[Lab Unit P 1]:[Lab Unit P "&amp;RawMaterials[[#This Row],[Lab Quote Count]]&amp;"]]")),LOG(INDIRECT("RawMaterials[@[Lab Q Model Units 1]:[Lab Q Model Units "&amp;RawMaterials[[#This Row],[Lab Quote Count]]&amp;"]]"))),"")</f>
        <v/>
      </c>
      <c r="AG136" s="392" t="str">
        <f ca="1">IF(RawMaterials[[#This Row],[Lab Quote Count]]&gt;1,INTERCEPT(LOG(INDIRECT("RawMaterials[@[Lab Unit P 1]:[Lab Unit P "&amp;RawMaterials[[#This Row],[Lab Quote Count]]&amp;"]]")),LOG(INDIRECT("RawMaterials[@[Lab Q Model Units 1]:[Lab Q Model Units "&amp;RawMaterials[[#This Row],[Lab Quote Count]]&amp;"]]"))),"")</f>
        <v/>
      </c>
      <c r="AH136" s="393" t="str">
        <f>IF(RawMaterials[[#This Row],[Material Type]]="Metal Precursor","D13",IF(RawMaterials[[#This Row],[Material Type]]="Ligand","D13","D12"))</f>
        <v>D12</v>
      </c>
      <c r="AI136" s="394" t="str">
        <f ca="1">IF(RawMaterials[[#This Row],[Lab Quote Count]]&gt;1,10^RawMaterials[[#This Row],[Lab Log-Log Intercept]]*INDIRECT(RawMaterials[[#This Row],[Basis Cell]])^RawMaterials[[#This Row],[Lab Log-Log Slope]],"&gt;&gt;&gt; Enter 2 or more lab quotes &lt;&lt;&lt;")</f>
        <v>&gt;&gt;&gt; Enter 2 or more lab quotes &lt;&lt;&lt;</v>
      </c>
      <c r="AJ13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7.95</v>
      </c>
      <c r="AL136" s="396">
        <f>IF(ISTEXT(RawMaterials[[#This Row],[Unit price in quote year]]),"Check calcs",RawMaterials[[#This Row],[Unit price in quote year]]/VLOOKUP(RawMaterials[[#This Row],[Quote Year]],ChemPPI[],14,FALSE)*VLOOKUP(BasisYear,ChemPPI[],14,FALSE))</f>
        <v>10.78986280487805</v>
      </c>
      <c r="AM136" s="397" t="str">
        <f t="shared" si="1"/>
        <v>$/kg (2016)</v>
      </c>
    </row>
    <row r="137" spans="1:39">
      <c r="A137" s="259" t="s">
        <v>1233</v>
      </c>
      <c r="B137" s="260"/>
      <c r="C137" s="351"/>
      <c r="D137" s="351"/>
      <c r="E137" s="260">
        <v>100</v>
      </c>
      <c r="F137" s="260"/>
      <c r="G137" s="351"/>
      <c r="H137" s="351"/>
      <c r="I137" s="262"/>
      <c r="J137" s="351"/>
      <c r="K137" s="351"/>
      <c r="L137" s="351"/>
      <c r="M137" s="351"/>
      <c r="N137" s="351"/>
      <c r="O137" s="351"/>
      <c r="P137" s="261">
        <v>11.45</v>
      </c>
      <c r="Q137" s="260">
        <v>1</v>
      </c>
      <c r="R137" s="260" t="s">
        <v>71</v>
      </c>
      <c r="S137" s="260">
        <v>2006</v>
      </c>
      <c r="T137" s="260" t="s">
        <v>161</v>
      </c>
      <c r="U137" s="386">
        <v>42653</v>
      </c>
      <c r="V137" s="387"/>
      <c r="W137" s="354">
        <f>COUNT(RawMaterials[[#This Row],[Lab Quantity 1]:[Lab Quantity 4]])</f>
        <v>0</v>
      </c>
      <c r="X13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7" s="392" t="e">
        <f>RawMaterials[[#This Row],[Lab Price 1]]/RawMaterials[[#This Row],[Lab Q Model Units 1]]</f>
        <v>#N/A</v>
      </c>
      <c r="AC137" s="392" t="e">
        <f>RawMaterials[[#This Row],[Lab Price 2]]/RawMaterials[[#This Row],[Lab Q Model Units 2]]</f>
        <v>#N/A</v>
      </c>
      <c r="AD137" s="392" t="e">
        <f>RawMaterials[[#This Row],[Lab Price 3]]/RawMaterials[[#This Row],[Lab Q Model Units 3]]</f>
        <v>#N/A</v>
      </c>
      <c r="AE137" s="392" t="e">
        <f>RawMaterials[[#This Row],[Lab Price 4]]/RawMaterials[[#This Row],[Lab Q Model Units 4]]</f>
        <v>#N/A</v>
      </c>
      <c r="AF137" s="392" t="str">
        <f ca="1">IF(RawMaterials[[#This Row],[Lab Quote Count]]&gt;1,SLOPE(LOG(INDIRECT("RawMaterials[@[Lab Unit P 1]:[Lab Unit P "&amp;RawMaterials[[#This Row],[Lab Quote Count]]&amp;"]]")),LOG(INDIRECT("RawMaterials[@[Lab Q Model Units 1]:[Lab Q Model Units "&amp;RawMaterials[[#This Row],[Lab Quote Count]]&amp;"]]"))),"")</f>
        <v/>
      </c>
      <c r="AG137" s="392" t="str">
        <f ca="1">IF(RawMaterials[[#This Row],[Lab Quote Count]]&gt;1,INTERCEPT(LOG(INDIRECT("RawMaterials[@[Lab Unit P 1]:[Lab Unit P "&amp;RawMaterials[[#This Row],[Lab Quote Count]]&amp;"]]")),LOG(INDIRECT("RawMaterials[@[Lab Q Model Units 1]:[Lab Q Model Units "&amp;RawMaterials[[#This Row],[Lab Quote Count]]&amp;"]]"))),"")</f>
        <v/>
      </c>
      <c r="AH137" s="393" t="str">
        <f>IF(RawMaterials[[#This Row],[Material Type]]="Metal Precursor","D13",IF(RawMaterials[[#This Row],[Material Type]]="Ligand","D13","D12"))</f>
        <v>D12</v>
      </c>
      <c r="AI137" s="394" t="str">
        <f ca="1">IF(RawMaterials[[#This Row],[Lab Quote Count]]&gt;1,10^RawMaterials[[#This Row],[Lab Log-Log Intercept]]*INDIRECT(RawMaterials[[#This Row],[Basis Cell]])^RawMaterials[[#This Row],[Lab Log-Log Slope]],"&gt;&gt;&gt; Enter 2 or more lab quotes &lt;&lt;&lt;")</f>
        <v>&gt;&gt;&gt; Enter 2 or more lab quotes &lt;&lt;&lt;</v>
      </c>
      <c r="AJ13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11.45</v>
      </c>
      <c r="AL137" s="396">
        <f>IF(ISTEXT(RawMaterials[[#This Row],[Unit price in quote year]]),"Check calcs",RawMaterials[[#This Row],[Unit price in quote year]]/VLOOKUP(RawMaterials[[#This Row],[Quote Year]],ChemPPI[],14,FALSE)*VLOOKUP(BasisYear,ChemPPI[],14,FALSE))</f>
        <v>15.5401168699187</v>
      </c>
      <c r="AM137" s="397" t="str">
        <f t="shared" si="1"/>
        <v>$/kg (2016)</v>
      </c>
    </row>
    <row r="138" spans="1:39">
      <c r="A138" s="259" t="s">
        <v>1234</v>
      </c>
      <c r="B138" s="260"/>
      <c r="C138" s="351"/>
      <c r="D138" s="351"/>
      <c r="E138" s="260">
        <v>100</v>
      </c>
      <c r="F138" s="260"/>
      <c r="G138" s="351"/>
      <c r="H138" s="351"/>
      <c r="I138" s="262"/>
      <c r="J138" s="351"/>
      <c r="K138" s="351"/>
      <c r="L138" s="351"/>
      <c r="M138" s="351"/>
      <c r="N138" s="351"/>
      <c r="O138" s="351"/>
      <c r="P138" s="261">
        <v>0.75</v>
      </c>
      <c r="Q138" s="260">
        <v>1</v>
      </c>
      <c r="R138" s="260" t="s">
        <v>20</v>
      </c>
      <c r="S138" s="260">
        <v>2006</v>
      </c>
      <c r="T138" s="260" t="s">
        <v>161</v>
      </c>
      <c r="U138" s="386">
        <v>42653</v>
      </c>
      <c r="V138" s="387"/>
      <c r="W138" s="354">
        <f>COUNT(RawMaterials[[#This Row],[Lab Quantity 1]:[Lab Quantity 4]])</f>
        <v>0</v>
      </c>
      <c r="X13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8" s="392" t="e">
        <f>RawMaterials[[#This Row],[Lab Price 1]]/RawMaterials[[#This Row],[Lab Q Model Units 1]]</f>
        <v>#N/A</v>
      </c>
      <c r="AC138" s="392" t="e">
        <f>RawMaterials[[#This Row],[Lab Price 2]]/RawMaterials[[#This Row],[Lab Q Model Units 2]]</f>
        <v>#N/A</v>
      </c>
      <c r="AD138" s="392" t="e">
        <f>RawMaterials[[#This Row],[Lab Price 3]]/RawMaterials[[#This Row],[Lab Q Model Units 3]]</f>
        <v>#N/A</v>
      </c>
      <c r="AE138" s="392" t="e">
        <f>RawMaterials[[#This Row],[Lab Price 4]]/RawMaterials[[#This Row],[Lab Q Model Units 4]]</f>
        <v>#N/A</v>
      </c>
      <c r="AF138" s="392" t="str">
        <f ca="1">IF(RawMaterials[[#This Row],[Lab Quote Count]]&gt;1,SLOPE(LOG(INDIRECT("RawMaterials[@[Lab Unit P 1]:[Lab Unit P "&amp;RawMaterials[[#This Row],[Lab Quote Count]]&amp;"]]")),LOG(INDIRECT("RawMaterials[@[Lab Q Model Units 1]:[Lab Q Model Units "&amp;RawMaterials[[#This Row],[Lab Quote Count]]&amp;"]]"))),"")</f>
        <v/>
      </c>
      <c r="AG138" s="392" t="str">
        <f ca="1">IF(RawMaterials[[#This Row],[Lab Quote Count]]&gt;1,INTERCEPT(LOG(INDIRECT("RawMaterials[@[Lab Unit P 1]:[Lab Unit P "&amp;RawMaterials[[#This Row],[Lab Quote Count]]&amp;"]]")),LOG(INDIRECT("RawMaterials[@[Lab Q Model Units 1]:[Lab Q Model Units "&amp;RawMaterials[[#This Row],[Lab Quote Count]]&amp;"]]"))),"")</f>
        <v/>
      </c>
      <c r="AH138" s="393" t="str">
        <f>IF(RawMaterials[[#This Row],[Material Type]]="Metal Precursor","D13",IF(RawMaterials[[#This Row],[Material Type]]="Ligand","D13","D12"))</f>
        <v>D12</v>
      </c>
      <c r="AI138" s="394" t="str">
        <f ca="1">IF(RawMaterials[[#This Row],[Lab Quote Count]]&gt;1,10^RawMaterials[[#This Row],[Lab Log-Log Intercept]]*INDIRECT(RawMaterials[[#This Row],[Basis Cell]])^RawMaterials[[#This Row],[Lab Log-Log Slope]],"&gt;&gt;&gt; Enter 2 or more lab quotes &lt;&lt;&lt;")</f>
        <v>&gt;&gt;&gt; Enter 2 or more lab quotes &lt;&lt;&lt;</v>
      </c>
      <c r="AJ13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1.6534669663865817</v>
      </c>
      <c r="AL138" s="396">
        <f>IF(ISTEXT(RawMaterials[[#This Row],[Unit price in quote year]]),"Check calcs",RawMaterials[[#This Row],[Unit price in quote year]]/VLOOKUP(RawMaterials[[#This Row],[Quote Year]],ChemPPI[],14,FALSE)*VLOOKUP(BasisYear,ChemPPI[],14,FALSE))</f>
        <v>2.2441109081395125</v>
      </c>
      <c r="AM138" s="397" t="str">
        <f t="shared" si="1"/>
        <v>$/kg (2016)</v>
      </c>
    </row>
    <row r="139" spans="1:39">
      <c r="A139" s="259" t="s">
        <v>1235</v>
      </c>
      <c r="B139" s="260"/>
      <c r="C139" s="351"/>
      <c r="D139" s="351"/>
      <c r="E139" s="260">
        <v>100</v>
      </c>
      <c r="F139" s="260"/>
      <c r="G139" s="351"/>
      <c r="H139" s="351"/>
      <c r="I139" s="262"/>
      <c r="J139" s="351"/>
      <c r="K139" s="351"/>
      <c r="L139" s="351"/>
      <c r="M139" s="351"/>
      <c r="N139" s="351"/>
      <c r="O139" s="351"/>
      <c r="P139" s="261">
        <v>0.47</v>
      </c>
      <c r="Q139" s="260">
        <v>1</v>
      </c>
      <c r="R139" s="260" t="s">
        <v>20</v>
      </c>
      <c r="S139" s="260">
        <v>2006</v>
      </c>
      <c r="T139" s="260" t="s">
        <v>161</v>
      </c>
      <c r="U139" s="386">
        <v>42653</v>
      </c>
      <c r="V139" s="387"/>
      <c r="W139" s="354">
        <f>COUNT(RawMaterials[[#This Row],[Lab Quantity 1]:[Lab Quantity 4]])</f>
        <v>0</v>
      </c>
      <c r="X13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9" s="392" t="e">
        <f>RawMaterials[[#This Row],[Lab Price 1]]/RawMaterials[[#This Row],[Lab Q Model Units 1]]</f>
        <v>#N/A</v>
      </c>
      <c r="AC139" s="392" t="e">
        <f>RawMaterials[[#This Row],[Lab Price 2]]/RawMaterials[[#This Row],[Lab Q Model Units 2]]</f>
        <v>#N/A</v>
      </c>
      <c r="AD139" s="392" t="e">
        <f>RawMaterials[[#This Row],[Lab Price 3]]/RawMaterials[[#This Row],[Lab Q Model Units 3]]</f>
        <v>#N/A</v>
      </c>
      <c r="AE139" s="392" t="e">
        <f>RawMaterials[[#This Row],[Lab Price 4]]/RawMaterials[[#This Row],[Lab Q Model Units 4]]</f>
        <v>#N/A</v>
      </c>
      <c r="AF139" s="392" t="str">
        <f ca="1">IF(RawMaterials[[#This Row],[Lab Quote Count]]&gt;1,SLOPE(LOG(INDIRECT("RawMaterials[@[Lab Unit P 1]:[Lab Unit P "&amp;RawMaterials[[#This Row],[Lab Quote Count]]&amp;"]]")),LOG(INDIRECT("RawMaterials[@[Lab Q Model Units 1]:[Lab Q Model Units "&amp;RawMaterials[[#This Row],[Lab Quote Count]]&amp;"]]"))),"")</f>
        <v/>
      </c>
      <c r="AG139" s="392" t="str">
        <f ca="1">IF(RawMaterials[[#This Row],[Lab Quote Count]]&gt;1,INTERCEPT(LOG(INDIRECT("RawMaterials[@[Lab Unit P 1]:[Lab Unit P "&amp;RawMaterials[[#This Row],[Lab Quote Count]]&amp;"]]")),LOG(INDIRECT("RawMaterials[@[Lab Q Model Units 1]:[Lab Q Model Units "&amp;RawMaterials[[#This Row],[Lab Quote Count]]&amp;"]]"))),"")</f>
        <v/>
      </c>
      <c r="AH139" s="393" t="str">
        <f>IF(RawMaterials[[#This Row],[Material Type]]="Metal Precursor","D13",IF(RawMaterials[[#This Row],[Material Type]]="Ligand","D13","D12"))</f>
        <v>D12</v>
      </c>
      <c r="AI139" s="394" t="str">
        <f ca="1">IF(RawMaterials[[#This Row],[Lab Quote Count]]&gt;1,10^RawMaterials[[#This Row],[Lab Log-Log Intercept]]*INDIRECT(RawMaterials[[#This Row],[Basis Cell]])^RawMaterials[[#This Row],[Lab Log-Log Slope]],"&gt;&gt;&gt; Enter 2 or more lab quotes &lt;&lt;&lt;")</f>
        <v>&gt;&gt;&gt; Enter 2 or more lab quotes &lt;&lt;&lt;</v>
      </c>
      <c r="AJ13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1.0361726322689244</v>
      </c>
      <c r="AL139" s="396">
        <f>IF(ISTEXT(RawMaterials[[#This Row],[Unit price in quote year]]),"Check calcs",RawMaterials[[#This Row],[Unit price in quote year]]/VLOOKUP(RawMaterials[[#This Row],[Quote Year]],ChemPPI[],14,FALSE)*VLOOKUP(BasisYear,ChemPPI[],14,FALSE))</f>
        <v>1.4063095024340944</v>
      </c>
      <c r="AM139" s="397" t="str">
        <f t="shared" si="1"/>
        <v>$/kg (2016)</v>
      </c>
    </row>
    <row r="140" spans="1:39">
      <c r="A140" s="259" t="s">
        <v>1236</v>
      </c>
      <c r="B140" s="260"/>
      <c r="C140" s="351"/>
      <c r="D140" s="351"/>
      <c r="E140" s="260">
        <v>100</v>
      </c>
      <c r="F140" s="260"/>
      <c r="G140" s="351"/>
      <c r="H140" s="351"/>
      <c r="I140" s="262"/>
      <c r="J140" s="351"/>
      <c r="K140" s="351"/>
      <c r="L140" s="351"/>
      <c r="M140" s="351"/>
      <c r="N140" s="351"/>
      <c r="O140" s="351"/>
      <c r="P140" s="261">
        <v>0.55000000000000004</v>
      </c>
      <c r="Q140" s="260">
        <v>1</v>
      </c>
      <c r="R140" s="260" t="s">
        <v>20</v>
      </c>
      <c r="S140" s="260">
        <v>2006</v>
      </c>
      <c r="T140" s="260" t="s">
        <v>161</v>
      </c>
      <c r="U140" s="386">
        <v>42653</v>
      </c>
      <c r="V140" s="387"/>
      <c r="W140" s="354">
        <f>COUNT(RawMaterials[[#This Row],[Lab Quantity 1]:[Lab Quantity 4]])</f>
        <v>0</v>
      </c>
      <c r="X14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0" s="392" t="e">
        <f>RawMaterials[[#This Row],[Lab Price 1]]/RawMaterials[[#This Row],[Lab Q Model Units 1]]</f>
        <v>#N/A</v>
      </c>
      <c r="AC140" s="392" t="e">
        <f>RawMaterials[[#This Row],[Lab Price 2]]/RawMaterials[[#This Row],[Lab Q Model Units 2]]</f>
        <v>#N/A</v>
      </c>
      <c r="AD140" s="392" t="e">
        <f>RawMaterials[[#This Row],[Lab Price 3]]/RawMaterials[[#This Row],[Lab Q Model Units 3]]</f>
        <v>#N/A</v>
      </c>
      <c r="AE140" s="392" t="e">
        <f>RawMaterials[[#This Row],[Lab Price 4]]/RawMaterials[[#This Row],[Lab Q Model Units 4]]</f>
        <v>#N/A</v>
      </c>
      <c r="AF140" s="392" t="str">
        <f ca="1">IF(RawMaterials[[#This Row],[Lab Quote Count]]&gt;1,SLOPE(LOG(INDIRECT("RawMaterials[@[Lab Unit P 1]:[Lab Unit P "&amp;RawMaterials[[#This Row],[Lab Quote Count]]&amp;"]]")),LOG(INDIRECT("RawMaterials[@[Lab Q Model Units 1]:[Lab Q Model Units "&amp;RawMaterials[[#This Row],[Lab Quote Count]]&amp;"]]"))),"")</f>
        <v/>
      </c>
      <c r="AG140" s="392" t="str">
        <f ca="1">IF(RawMaterials[[#This Row],[Lab Quote Count]]&gt;1,INTERCEPT(LOG(INDIRECT("RawMaterials[@[Lab Unit P 1]:[Lab Unit P "&amp;RawMaterials[[#This Row],[Lab Quote Count]]&amp;"]]")),LOG(INDIRECT("RawMaterials[@[Lab Q Model Units 1]:[Lab Q Model Units "&amp;RawMaterials[[#This Row],[Lab Quote Count]]&amp;"]]"))),"")</f>
        <v/>
      </c>
      <c r="AH140" s="393" t="str">
        <f>IF(RawMaterials[[#This Row],[Material Type]]="Metal Precursor","D13",IF(RawMaterials[[#This Row],[Material Type]]="Ligand","D13","D12"))</f>
        <v>D12</v>
      </c>
      <c r="AI140" s="394" t="str">
        <f ca="1">IF(RawMaterials[[#This Row],[Lab Quote Count]]&gt;1,10^RawMaterials[[#This Row],[Lab Log-Log Intercept]]*INDIRECT(RawMaterials[[#This Row],[Basis Cell]])^RawMaterials[[#This Row],[Lab Log-Log Slope]],"&gt;&gt;&gt; Enter 2 or more lab quotes &lt;&lt;&lt;")</f>
        <v>&gt;&gt;&gt; Enter 2 or more lab quotes &lt;&lt;&lt;</v>
      </c>
      <c r="AJ14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1.2125424420168267</v>
      </c>
      <c r="AL140" s="396">
        <f>IF(ISTEXT(RawMaterials[[#This Row],[Unit price in quote year]]),"Check calcs",RawMaterials[[#This Row],[Unit price in quote year]]/VLOOKUP(RawMaterials[[#This Row],[Quote Year]],ChemPPI[],14,FALSE)*VLOOKUP(BasisYear,ChemPPI[],14,FALSE))</f>
        <v>1.6456813326356425</v>
      </c>
      <c r="AM140" s="397" t="str">
        <f t="shared" si="1"/>
        <v>$/kg (2016)</v>
      </c>
    </row>
    <row r="141" spans="1:39">
      <c r="A141" s="259" t="s">
        <v>1237</v>
      </c>
      <c r="B141" s="260"/>
      <c r="C141" s="351"/>
      <c r="D141" s="351"/>
      <c r="E141" s="260">
        <v>100</v>
      </c>
      <c r="F141" s="260"/>
      <c r="G141" s="351"/>
      <c r="H141" s="351"/>
      <c r="I141" s="262"/>
      <c r="J141" s="351"/>
      <c r="K141" s="351"/>
      <c r="L141" s="351"/>
      <c r="M141" s="351"/>
      <c r="N141" s="351"/>
      <c r="O141" s="351"/>
      <c r="P141" s="261">
        <v>3.2</v>
      </c>
      <c r="Q141" s="260">
        <v>1</v>
      </c>
      <c r="R141" s="260" t="s">
        <v>71</v>
      </c>
      <c r="S141" s="260">
        <v>2006</v>
      </c>
      <c r="T141" s="260" t="s">
        <v>161</v>
      </c>
      <c r="U141" s="386">
        <v>42653</v>
      </c>
      <c r="V141" s="387"/>
      <c r="W141" s="354">
        <f>COUNT(RawMaterials[[#This Row],[Lab Quantity 1]:[Lab Quantity 4]])</f>
        <v>0</v>
      </c>
      <c r="X14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1" s="392" t="e">
        <f>RawMaterials[[#This Row],[Lab Price 1]]/RawMaterials[[#This Row],[Lab Q Model Units 1]]</f>
        <v>#N/A</v>
      </c>
      <c r="AC141" s="392" t="e">
        <f>RawMaterials[[#This Row],[Lab Price 2]]/RawMaterials[[#This Row],[Lab Q Model Units 2]]</f>
        <v>#N/A</v>
      </c>
      <c r="AD141" s="392" t="e">
        <f>RawMaterials[[#This Row],[Lab Price 3]]/RawMaterials[[#This Row],[Lab Q Model Units 3]]</f>
        <v>#N/A</v>
      </c>
      <c r="AE141" s="392" t="e">
        <f>RawMaterials[[#This Row],[Lab Price 4]]/RawMaterials[[#This Row],[Lab Q Model Units 4]]</f>
        <v>#N/A</v>
      </c>
      <c r="AF141" s="392" t="str">
        <f ca="1">IF(RawMaterials[[#This Row],[Lab Quote Count]]&gt;1,SLOPE(LOG(INDIRECT("RawMaterials[@[Lab Unit P 1]:[Lab Unit P "&amp;RawMaterials[[#This Row],[Lab Quote Count]]&amp;"]]")),LOG(INDIRECT("RawMaterials[@[Lab Q Model Units 1]:[Lab Q Model Units "&amp;RawMaterials[[#This Row],[Lab Quote Count]]&amp;"]]"))),"")</f>
        <v/>
      </c>
      <c r="AG141" s="392" t="str">
        <f ca="1">IF(RawMaterials[[#This Row],[Lab Quote Count]]&gt;1,INTERCEPT(LOG(INDIRECT("RawMaterials[@[Lab Unit P 1]:[Lab Unit P "&amp;RawMaterials[[#This Row],[Lab Quote Count]]&amp;"]]")),LOG(INDIRECT("RawMaterials[@[Lab Q Model Units 1]:[Lab Q Model Units "&amp;RawMaterials[[#This Row],[Lab Quote Count]]&amp;"]]"))),"")</f>
        <v/>
      </c>
      <c r="AH141" s="393" t="str">
        <f>IF(RawMaterials[[#This Row],[Material Type]]="Metal Precursor","D13",IF(RawMaterials[[#This Row],[Material Type]]="Ligand","D13","D12"))</f>
        <v>D12</v>
      </c>
      <c r="AI141" s="394" t="str">
        <f ca="1">IF(RawMaterials[[#This Row],[Lab Quote Count]]&gt;1,10^RawMaterials[[#This Row],[Lab Log-Log Intercept]]*INDIRECT(RawMaterials[[#This Row],[Basis Cell]])^RawMaterials[[#This Row],[Lab Log-Log Slope]],"&gt;&gt;&gt; Enter 2 or more lab quotes &lt;&lt;&lt;")</f>
        <v>&gt;&gt;&gt; Enter 2 or more lab quotes &lt;&lt;&lt;</v>
      </c>
      <c r="AJ14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3.2</v>
      </c>
      <c r="AL141" s="396">
        <f>IF(ISTEXT(RawMaterials[[#This Row],[Unit price in quote year]]),"Check calcs",RawMaterials[[#This Row],[Unit price in quote year]]/VLOOKUP(RawMaterials[[#This Row],[Quote Year]],ChemPPI[],14,FALSE)*VLOOKUP(BasisYear,ChemPPI[],14,FALSE))</f>
        <v>4.3430894308943095</v>
      </c>
      <c r="AM141" s="397" t="str">
        <f t="shared" si="1"/>
        <v>$/kg (2016)</v>
      </c>
    </row>
    <row r="142" spans="1:39">
      <c r="A142" s="352" t="s">
        <v>175</v>
      </c>
      <c r="B142" s="354"/>
      <c r="C142" s="353"/>
      <c r="D142" s="353"/>
      <c r="E142" s="354">
        <v>100</v>
      </c>
      <c r="F142" s="354"/>
      <c r="G142" s="353"/>
      <c r="H142" s="353"/>
      <c r="I142" s="355"/>
      <c r="J142" s="353"/>
      <c r="K142" s="353"/>
      <c r="L142" s="353"/>
      <c r="M142" s="353"/>
      <c r="N142" s="353"/>
      <c r="O142" s="353"/>
      <c r="P142" s="356">
        <v>29.6</v>
      </c>
      <c r="Q142" s="260">
        <v>1</v>
      </c>
      <c r="R142" s="354" t="s">
        <v>20</v>
      </c>
      <c r="S142" s="354">
        <v>2018</v>
      </c>
      <c r="T142" s="354" t="s">
        <v>1094</v>
      </c>
      <c r="U142" s="400">
        <v>43339</v>
      </c>
      <c r="V142" s="387" t="s">
        <v>1705</v>
      </c>
      <c r="W142" s="354">
        <f>COUNT(RawMaterials[[#This Row],[Lab Quantity 1]:[Lab Quantity 4]])</f>
        <v>0</v>
      </c>
      <c r="X14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2" s="392" t="e">
        <f>RawMaterials[[#This Row],[Lab Price 1]]/RawMaterials[[#This Row],[Lab Q Model Units 1]]</f>
        <v>#N/A</v>
      </c>
      <c r="AC142" s="392" t="e">
        <f>RawMaterials[[#This Row],[Lab Price 2]]/RawMaterials[[#This Row],[Lab Q Model Units 2]]</f>
        <v>#N/A</v>
      </c>
      <c r="AD142" s="392" t="e">
        <f>RawMaterials[[#This Row],[Lab Price 3]]/RawMaterials[[#This Row],[Lab Q Model Units 3]]</f>
        <v>#N/A</v>
      </c>
      <c r="AE142" s="392" t="e">
        <f>RawMaterials[[#This Row],[Lab Price 4]]/RawMaterials[[#This Row],[Lab Q Model Units 4]]</f>
        <v>#N/A</v>
      </c>
      <c r="AF142" s="392" t="str">
        <f ca="1">IF(RawMaterials[[#This Row],[Lab Quote Count]]&gt;1,SLOPE(LOG(INDIRECT("RawMaterials[@[Lab Unit P 1]:[Lab Unit P "&amp;RawMaterials[[#This Row],[Lab Quote Count]]&amp;"]]")),LOG(INDIRECT("RawMaterials[@[Lab Q Model Units 1]:[Lab Q Model Units "&amp;RawMaterials[[#This Row],[Lab Quote Count]]&amp;"]]"))),"")</f>
        <v/>
      </c>
      <c r="AG142" s="392" t="str">
        <f ca="1">IF(RawMaterials[[#This Row],[Lab Quote Count]]&gt;1,INTERCEPT(LOG(INDIRECT("RawMaterials[@[Lab Unit P 1]:[Lab Unit P "&amp;RawMaterials[[#This Row],[Lab Quote Count]]&amp;"]]")),LOG(INDIRECT("RawMaterials[@[Lab Q Model Units 1]:[Lab Q Model Units "&amp;RawMaterials[[#This Row],[Lab Quote Count]]&amp;"]]"))),"")</f>
        <v/>
      </c>
      <c r="AH142" s="393" t="str">
        <f>IF(RawMaterials[[#This Row],[Material Type]]="Metal Precursor","D13",IF(RawMaterials[[#This Row],[Material Type]]="Ligand","D13","D12"))</f>
        <v>D12</v>
      </c>
      <c r="AI142" s="394" t="str">
        <f ca="1">IF(RawMaterials[[#This Row],[Lab Quote Count]]&gt;1,10^RawMaterials[[#This Row],[Lab Log-Log Intercept]]*INDIRECT(RawMaterials[[#This Row],[Basis Cell]])^RawMaterials[[#This Row],[Lab Log-Log Slope]],"&gt;&gt;&gt; Enter 2 or more lab quotes &lt;&lt;&lt;")</f>
        <v>&gt;&gt;&gt; Enter 2 or more lab quotes &lt;&lt;&lt;</v>
      </c>
      <c r="AJ14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65.25682960672377</v>
      </c>
      <c r="AL142" s="396">
        <f>IF(ISTEXT(RawMaterials[[#This Row],[Unit price in quote year]]),"Check calcs",RawMaterials[[#This Row],[Unit price in quote year]]/VLOOKUP(RawMaterials[[#This Row],[Quote Year]],ChemPPI[],14,FALSE)*VLOOKUP(BasisYear,ChemPPI[],14,FALSE))</f>
        <v>60.07099292210318</v>
      </c>
      <c r="AM142" s="397" t="str">
        <f t="shared" si="1"/>
        <v>$/kg (2016)</v>
      </c>
    </row>
    <row r="143" spans="1:39">
      <c r="A143" s="352" t="s">
        <v>178</v>
      </c>
      <c r="B143" s="354"/>
      <c r="C143" s="353"/>
      <c r="D143" s="353"/>
      <c r="E143" s="354">
        <v>100</v>
      </c>
      <c r="F143" s="354"/>
      <c r="G143" s="353"/>
      <c r="H143" s="353"/>
      <c r="I143" s="355"/>
      <c r="J143" s="353"/>
      <c r="K143" s="353"/>
      <c r="L143" s="353"/>
      <c r="M143" s="353"/>
      <c r="N143" s="353"/>
      <c r="O143" s="353"/>
      <c r="P143" s="356">
        <v>2.75</v>
      </c>
      <c r="Q143" s="260">
        <v>1</v>
      </c>
      <c r="R143" s="354" t="s">
        <v>20</v>
      </c>
      <c r="S143" s="354">
        <v>2018</v>
      </c>
      <c r="T143" s="354" t="s">
        <v>1094</v>
      </c>
      <c r="U143" s="400">
        <v>43339</v>
      </c>
      <c r="V143" s="387" t="s">
        <v>1705</v>
      </c>
      <c r="W143" s="354">
        <f>COUNT(RawMaterials[[#This Row],[Lab Quantity 1]:[Lab Quantity 4]])</f>
        <v>0</v>
      </c>
      <c r="X14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3" s="392" t="e">
        <f>RawMaterials[[#This Row],[Lab Price 1]]/RawMaterials[[#This Row],[Lab Q Model Units 1]]</f>
        <v>#N/A</v>
      </c>
      <c r="AC143" s="392" t="e">
        <f>RawMaterials[[#This Row],[Lab Price 2]]/RawMaterials[[#This Row],[Lab Q Model Units 2]]</f>
        <v>#N/A</v>
      </c>
      <c r="AD143" s="392" t="e">
        <f>RawMaterials[[#This Row],[Lab Price 3]]/RawMaterials[[#This Row],[Lab Q Model Units 3]]</f>
        <v>#N/A</v>
      </c>
      <c r="AE143" s="392" t="e">
        <f>RawMaterials[[#This Row],[Lab Price 4]]/RawMaterials[[#This Row],[Lab Q Model Units 4]]</f>
        <v>#N/A</v>
      </c>
      <c r="AF143" s="392" t="str">
        <f ca="1">IF(RawMaterials[[#This Row],[Lab Quote Count]]&gt;1,SLOPE(LOG(INDIRECT("RawMaterials[@[Lab Unit P 1]:[Lab Unit P "&amp;RawMaterials[[#This Row],[Lab Quote Count]]&amp;"]]")),LOG(INDIRECT("RawMaterials[@[Lab Q Model Units 1]:[Lab Q Model Units "&amp;RawMaterials[[#This Row],[Lab Quote Count]]&amp;"]]"))),"")</f>
        <v/>
      </c>
      <c r="AG143" s="392" t="str">
        <f ca="1">IF(RawMaterials[[#This Row],[Lab Quote Count]]&gt;1,INTERCEPT(LOG(INDIRECT("RawMaterials[@[Lab Unit P 1]:[Lab Unit P "&amp;RawMaterials[[#This Row],[Lab Quote Count]]&amp;"]]")),LOG(INDIRECT("RawMaterials[@[Lab Q Model Units 1]:[Lab Q Model Units "&amp;RawMaterials[[#This Row],[Lab Quote Count]]&amp;"]]"))),"")</f>
        <v/>
      </c>
      <c r="AH143" s="393" t="str">
        <f>IF(RawMaterials[[#This Row],[Material Type]]="Metal Precursor","D13",IF(RawMaterials[[#This Row],[Material Type]]="Ligand","D13","D12"))</f>
        <v>D12</v>
      </c>
      <c r="AI143" s="394" t="str">
        <f ca="1">IF(RawMaterials[[#This Row],[Lab Quote Count]]&gt;1,10^RawMaterials[[#This Row],[Lab Log-Log Intercept]]*INDIRECT(RawMaterials[[#This Row],[Basis Cell]])^RawMaterials[[#This Row],[Lab Log-Log Slope]],"&gt;&gt;&gt; Enter 2 or more lab quotes &lt;&lt;&lt;")</f>
        <v>&gt;&gt;&gt; Enter 2 or more lab quotes &lt;&lt;&lt;</v>
      </c>
      <c r="AJ14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6.0627122100841335</v>
      </c>
      <c r="AL143" s="396">
        <f>IF(ISTEXT(RawMaterials[[#This Row],[Unit price in quote year]]),"Check calcs",RawMaterials[[#This Row],[Unit price in quote year]]/VLOOKUP(RawMaterials[[#This Row],[Quote Year]],ChemPPI[],14,FALSE)*VLOOKUP(BasisYear,ChemPPI[],14,FALSE))</f>
        <v>5.5809199505332341</v>
      </c>
      <c r="AM143" s="397" t="str">
        <f t="shared" si="1"/>
        <v>$/kg (2016)</v>
      </c>
    </row>
    <row r="144" spans="1:39">
      <c r="A144" s="259" t="s">
        <v>1238</v>
      </c>
      <c r="B144" s="260"/>
      <c r="C144" s="351"/>
      <c r="D144" s="351"/>
      <c r="E144" s="260">
        <v>100</v>
      </c>
      <c r="F144" s="260"/>
      <c r="G144" s="351"/>
      <c r="H144" s="351"/>
      <c r="I144" s="262"/>
      <c r="J144" s="351"/>
      <c r="K144" s="351"/>
      <c r="L144" s="351"/>
      <c r="M144" s="351"/>
      <c r="N144" s="351"/>
      <c r="O144" s="351"/>
      <c r="P144" s="261">
        <v>10</v>
      </c>
      <c r="Q144" s="260">
        <v>1</v>
      </c>
      <c r="R144" s="260" t="s">
        <v>20</v>
      </c>
      <c r="S144" s="260">
        <v>2006</v>
      </c>
      <c r="T144" s="260" t="s">
        <v>161</v>
      </c>
      <c r="U144" s="386">
        <v>42653</v>
      </c>
      <c r="V144" s="387"/>
      <c r="W144" s="354">
        <f>COUNT(RawMaterials[[#This Row],[Lab Quantity 1]:[Lab Quantity 4]])</f>
        <v>0</v>
      </c>
      <c r="X14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4" s="392" t="e">
        <f>RawMaterials[[#This Row],[Lab Price 1]]/RawMaterials[[#This Row],[Lab Q Model Units 1]]</f>
        <v>#N/A</v>
      </c>
      <c r="AC144" s="392" t="e">
        <f>RawMaterials[[#This Row],[Lab Price 2]]/RawMaterials[[#This Row],[Lab Q Model Units 2]]</f>
        <v>#N/A</v>
      </c>
      <c r="AD144" s="392" t="e">
        <f>RawMaterials[[#This Row],[Lab Price 3]]/RawMaterials[[#This Row],[Lab Q Model Units 3]]</f>
        <v>#N/A</v>
      </c>
      <c r="AE144" s="392" t="e">
        <f>RawMaterials[[#This Row],[Lab Price 4]]/RawMaterials[[#This Row],[Lab Q Model Units 4]]</f>
        <v>#N/A</v>
      </c>
      <c r="AF144" s="392" t="str">
        <f ca="1">IF(RawMaterials[[#This Row],[Lab Quote Count]]&gt;1,SLOPE(LOG(INDIRECT("RawMaterials[@[Lab Unit P 1]:[Lab Unit P "&amp;RawMaterials[[#This Row],[Lab Quote Count]]&amp;"]]")),LOG(INDIRECT("RawMaterials[@[Lab Q Model Units 1]:[Lab Q Model Units "&amp;RawMaterials[[#This Row],[Lab Quote Count]]&amp;"]]"))),"")</f>
        <v/>
      </c>
      <c r="AG144" s="392" t="str">
        <f ca="1">IF(RawMaterials[[#This Row],[Lab Quote Count]]&gt;1,INTERCEPT(LOG(INDIRECT("RawMaterials[@[Lab Unit P 1]:[Lab Unit P "&amp;RawMaterials[[#This Row],[Lab Quote Count]]&amp;"]]")),LOG(INDIRECT("RawMaterials[@[Lab Q Model Units 1]:[Lab Q Model Units "&amp;RawMaterials[[#This Row],[Lab Quote Count]]&amp;"]]"))),"")</f>
        <v/>
      </c>
      <c r="AH144" s="393" t="str">
        <f>IF(RawMaterials[[#This Row],[Material Type]]="Metal Precursor","D13",IF(RawMaterials[[#This Row],[Material Type]]="Ligand","D13","D12"))</f>
        <v>D12</v>
      </c>
      <c r="AI144" s="394" t="str">
        <f ca="1">IF(RawMaterials[[#This Row],[Lab Quote Count]]&gt;1,10^RawMaterials[[#This Row],[Lab Log-Log Intercept]]*INDIRECT(RawMaterials[[#This Row],[Basis Cell]])^RawMaterials[[#This Row],[Lab Log-Log Slope]],"&gt;&gt;&gt; Enter 2 or more lab quotes &lt;&lt;&lt;")</f>
        <v>&gt;&gt;&gt; Enter 2 or more lab quotes &lt;&lt;&lt;</v>
      </c>
      <c r="AJ14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22.046226218487757</v>
      </c>
      <c r="AL144" s="396">
        <f>IF(ISTEXT(RawMaterials[[#This Row],[Unit price in quote year]]),"Check calcs",RawMaterials[[#This Row],[Unit price in quote year]]/VLOOKUP(RawMaterials[[#This Row],[Quote Year]],ChemPPI[],14,FALSE)*VLOOKUP(BasisYear,ChemPPI[],14,FALSE))</f>
        <v>29.921478775193499</v>
      </c>
      <c r="AM144" s="397" t="str">
        <f t="shared" ref="AM144:AM207" si="2">CurrencySymbol&amp;"/"&amp;OutMassUnit&amp;" ("&amp;BasisYear&amp;")"</f>
        <v>$/kg (2016)</v>
      </c>
    </row>
    <row r="145" spans="1:39">
      <c r="A145" s="259" t="s">
        <v>1239</v>
      </c>
      <c r="B145" s="260"/>
      <c r="C145" s="351"/>
      <c r="D145" s="351"/>
      <c r="E145" s="260">
        <v>100</v>
      </c>
      <c r="F145" s="260"/>
      <c r="G145" s="351"/>
      <c r="H145" s="351"/>
      <c r="I145" s="262"/>
      <c r="J145" s="351"/>
      <c r="K145" s="351"/>
      <c r="L145" s="351"/>
      <c r="M145" s="351"/>
      <c r="N145" s="351"/>
      <c r="O145" s="351"/>
      <c r="P145" s="261">
        <v>1.77</v>
      </c>
      <c r="Q145" s="260">
        <v>1</v>
      </c>
      <c r="R145" s="260" t="s">
        <v>20</v>
      </c>
      <c r="S145" s="260">
        <v>2006</v>
      </c>
      <c r="T145" s="260" t="s">
        <v>161</v>
      </c>
      <c r="U145" s="386">
        <v>42653</v>
      </c>
      <c r="V145" s="387"/>
      <c r="W145" s="354">
        <f>COUNT(RawMaterials[[#This Row],[Lab Quantity 1]:[Lab Quantity 4]])</f>
        <v>0</v>
      </c>
      <c r="X14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5" s="392" t="e">
        <f>RawMaterials[[#This Row],[Lab Price 1]]/RawMaterials[[#This Row],[Lab Q Model Units 1]]</f>
        <v>#N/A</v>
      </c>
      <c r="AC145" s="392" t="e">
        <f>RawMaterials[[#This Row],[Lab Price 2]]/RawMaterials[[#This Row],[Lab Q Model Units 2]]</f>
        <v>#N/A</v>
      </c>
      <c r="AD145" s="392" t="e">
        <f>RawMaterials[[#This Row],[Lab Price 3]]/RawMaterials[[#This Row],[Lab Q Model Units 3]]</f>
        <v>#N/A</v>
      </c>
      <c r="AE145" s="392" t="e">
        <f>RawMaterials[[#This Row],[Lab Price 4]]/RawMaterials[[#This Row],[Lab Q Model Units 4]]</f>
        <v>#N/A</v>
      </c>
      <c r="AF145" s="392" t="str">
        <f ca="1">IF(RawMaterials[[#This Row],[Lab Quote Count]]&gt;1,SLOPE(LOG(INDIRECT("RawMaterials[@[Lab Unit P 1]:[Lab Unit P "&amp;RawMaterials[[#This Row],[Lab Quote Count]]&amp;"]]")),LOG(INDIRECT("RawMaterials[@[Lab Q Model Units 1]:[Lab Q Model Units "&amp;RawMaterials[[#This Row],[Lab Quote Count]]&amp;"]]"))),"")</f>
        <v/>
      </c>
      <c r="AG145" s="392" t="str">
        <f ca="1">IF(RawMaterials[[#This Row],[Lab Quote Count]]&gt;1,INTERCEPT(LOG(INDIRECT("RawMaterials[@[Lab Unit P 1]:[Lab Unit P "&amp;RawMaterials[[#This Row],[Lab Quote Count]]&amp;"]]")),LOG(INDIRECT("RawMaterials[@[Lab Q Model Units 1]:[Lab Q Model Units "&amp;RawMaterials[[#This Row],[Lab Quote Count]]&amp;"]]"))),"")</f>
        <v/>
      </c>
      <c r="AH145" s="393" t="str">
        <f>IF(RawMaterials[[#This Row],[Material Type]]="Metal Precursor","D13",IF(RawMaterials[[#This Row],[Material Type]]="Ligand","D13","D12"))</f>
        <v>D12</v>
      </c>
      <c r="AI145" s="394" t="str">
        <f ca="1">IF(RawMaterials[[#This Row],[Lab Quote Count]]&gt;1,10^RawMaterials[[#This Row],[Lab Log-Log Intercept]]*INDIRECT(RawMaterials[[#This Row],[Basis Cell]])^RawMaterials[[#This Row],[Lab Log-Log Slope]],"&gt;&gt;&gt; Enter 2 or more lab quotes &lt;&lt;&lt;")</f>
        <v>&gt;&gt;&gt; Enter 2 or more lab quotes &lt;&lt;&lt;</v>
      </c>
      <c r="AJ14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3.9021820406723329</v>
      </c>
      <c r="AL145" s="396">
        <f>IF(ISTEXT(RawMaterials[[#This Row],[Unit price in quote year]]),"Check calcs",RawMaterials[[#This Row],[Unit price in quote year]]/VLOOKUP(RawMaterials[[#This Row],[Quote Year]],ChemPPI[],14,FALSE)*VLOOKUP(BasisYear,ChemPPI[],14,FALSE))</f>
        <v>5.296101743209249</v>
      </c>
      <c r="AM145" s="397" t="str">
        <f t="shared" si="2"/>
        <v>$/kg (2016)</v>
      </c>
    </row>
    <row r="146" spans="1:39">
      <c r="A146" s="259" t="s">
        <v>1240</v>
      </c>
      <c r="B146" s="260"/>
      <c r="C146" s="351"/>
      <c r="D146" s="351"/>
      <c r="E146" s="260">
        <v>100</v>
      </c>
      <c r="F146" s="260"/>
      <c r="G146" s="351"/>
      <c r="H146" s="351"/>
      <c r="I146" s="262"/>
      <c r="J146" s="351"/>
      <c r="K146" s="351"/>
      <c r="L146" s="351"/>
      <c r="M146" s="351"/>
      <c r="N146" s="351"/>
      <c r="O146" s="351"/>
      <c r="P146" s="261">
        <v>1.54</v>
      </c>
      <c r="Q146" s="260">
        <v>1</v>
      </c>
      <c r="R146" s="260" t="s">
        <v>20</v>
      </c>
      <c r="S146" s="260">
        <v>2006</v>
      </c>
      <c r="T146" s="260" t="s">
        <v>161</v>
      </c>
      <c r="U146" s="386">
        <v>42653</v>
      </c>
      <c r="V146" s="387"/>
      <c r="W146" s="354">
        <f>COUNT(RawMaterials[[#This Row],[Lab Quantity 1]:[Lab Quantity 4]])</f>
        <v>0</v>
      </c>
      <c r="X14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6" s="392" t="e">
        <f>RawMaterials[[#This Row],[Lab Price 1]]/RawMaterials[[#This Row],[Lab Q Model Units 1]]</f>
        <v>#N/A</v>
      </c>
      <c r="AC146" s="392" t="e">
        <f>RawMaterials[[#This Row],[Lab Price 2]]/RawMaterials[[#This Row],[Lab Q Model Units 2]]</f>
        <v>#N/A</v>
      </c>
      <c r="AD146" s="392" t="e">
        <f>RawMaterials[[#This Row],[Lab Price 3]]/RawMaterials[[#This Row],[Lab Q Model Units 3]]</f>
        <v>#N/A</v>
      </c>
      <c r="AE146" s="392" t="e">
        <f>RawMaterials[[#This Row],[Lab Price 4]]/RawMaterials[[#This Row],[Lab Q Model Units 4]]</f>
        <v>#N/A</v>
      </c>
      <c r="AF146" s="392" t="str">
        <f ca="1">IF(RawMaterials[[#This Row],[Lab Quote Count]]&gt;1,SLOPE(LOG(INDIRECT("RawMaterials[@[Lab Unit P 1]:[Lab Unit P "&amp;RawMaterials[[#This Row],[Lab Quote Count]]&amp;"]]")),LOG(INDIRECT("RawMaterials[@[Lab Q Model Units 1]:[Lab Q Model Units "&amp;RawMaterials[[#This Row],[Lab Quote Count]]&amp;"]]"))),"")</f>
        <v/>
      </c>
      <c r="AG146" s="392" t="str">
        <f ca="1">IF(RawMaterials[[#This Row],[Lab Quote Count]]&gt;1,INTERCEPT(LOG(INDIRECT("RawMaterials[@[Lab Unit P 1]:[Lab Unit P "&amp;RawMaterials[[#This Row],[Lab Quote Count]]&amp;"]]")),LOG(INDIRECT("RawMaterials[@[Lab Q Model Units 1]:[Lab Q Model Units "&amp;RawMaterials[[#This Row],[Lab Quote Count]]&amp;"]]"))),"")</f>
        <v/>
      </c>
      <c r="AH146" s="393" t="str">
        <f>IF(RawMaterials[[#This Row],[Material Type]]="Metal Precursor","D13",IF(RawMaterials[[#This Row],[Material Type]]="Ligand","D13","D12"))</f>
        <v>D12</v>
      </c>
      <c r="AI146" s="394" t="str">
        <f ca="1">IF(RawMaterials[[#This Row],[Lab Quote Count]]&gt;1,10^RawMaterials[[#This Row],[Lab Log-Log Intercept]]*INDIRECT(RawMaterials[[#This Row],[Basis Cell]])^RawMaterials[[#This Row],[Lab Log-Log Slope]],"&gt;&gt;&gt; Enter 2 or more lab quotes &lt;&lt;&lt;")</f>
        <v>&gt;&gt;&gt; Enter 2 or more lab quotes &lt;&lt;&lt;</v>
      </c>
      <c r="AJ14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3.3951188376471149</v>
      </c>
      <c r="AL146" s="396">
        <f>IF(ISTEXT(RawMaterials[[#This Row],[Unit price in quote year]]),"Check calcs",RawMaterials[[#This Row],[Unit price in quote year]]/VLOOKUP(RawMaterials[[#This Row],[Quote Year]],ChemPPI[],14,FALSE)*VLOOKUP(BasisYear,ChemPPI[],14,FALSE))</f>
        <v>4.6079077313797994</v>
      </c>
      <c r="AM146" s="397" t="str">
        <f t="shared" si="2"/>
        <v>$/kg (2016)</v>
      </c>
    </row>
    <row r="147" spans="1:39">
      <c r="A147" s="259" t="s">
        <v>1241</v>
      </c>
      <c r="B147" s="260"/>
      <c r="C147" s="351"/>
      <c r="D147" s="351"/>
      <c r="E147" s="260">
        <v>100</v>
      </c>
      <c r="F147" s="260"/>
      <c r="G147" s="351"/>
      <c r="H147" s="351"/>
      <c r="I147" s="262"/>
      <c r="J147" s="351"/>
      <c r="K147" s="351"/>
      <c r="L147" s="351"/>
      <c r="M147" s="351"/>
      <c r="N147" s="351"/>
      <c r="O147" s="351"/>
      <c r="P147" s="261">
        <v>0.61499999999999999</v>
      </c>
      <c r="Q147" s="260">
        <v>1</v>
      </c>
      <c r="R147" s="260" t="s">
        <v>20</v>
      </c>
      <c r="S147" s="260">
        <v>2006</v>
      </c>
      <c r="T147" s="260" t="s">
        <v>161</v>
      </c>
      <c r="U147" s="386">
        <v>42653</v>
      </c>
      <c r="V147" s="387"/>
      <c r="W147" s="354">
        <f>COUNT(RawMaterials[[#This Row],[Lab Quantity 1]:[Lab Quantity 4]])</f>
        <v>0</v>
      </c>
      <c r="X14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7" s="392" t="e">
        <f>RawMaterials[[#This Row],[Lab Price 1]]/RawMaterials[[#This Row],[Lab Q Model Units 1]]</f>
        <v>#N/A</v>
      </c>
      <c r="AC147" s="392" t="e">
        <f>RawMaterials[[#This Row],[Lab Price 2]]/RawMaterials[[#This Row],[Lab Q Model Units 2]]</f>
        <v>#N/A</v>
      </c>
      <c r="AD147" s="392" t="e">
        <f>RawMaterials[[#This Row],[Lab Price 3]]/RawMaterials[[#This Row],[Lab Q Model Units 3]]</f>
        <v>#N/A</v>
      </c>
      <c r="AE147" s="392" t="e">
        <f>RawMaterials[[#This Row],[Lab Price 4]]/RawMaterials[[#This Row],[Lab Q Model Units 4]]</f>
        <v>#N/A</v>
      </c>
      <c r="AF147" s="392" t="str">
        <f ca="1">IF(RawMaterials[[#This Row],[Lab Quote Count]]&gt;1,SLOPE(LOG(INDIRECT("RawMaterials[@[Lab Unit P 1]:[Lab Unit P "&amp;RawMaterials[[#This Row],[Lab Quote Count]]&amp;"]]")),LOG(INDIRECT("RawMaterials[@[Lab Q Model Units 1]:[Lab Q Model Units "&amp;RawMaterials[[#This Row],[Lab Quote Count]]&amp;"]]"))),"")</f>
        <v/>
      </c>
      <c r="AG147" s="392" t="str">
        <f ca="1">IF(RawMaterials[[#This Row],[Lab Quote Count]]&gt;1,INTERCEPT(LOG(INDIRECT("RawMaterials[@[Lab Unit P 1]:[Lab Unit P "&amp;RawMaterials[[#This Row],[Lab Quote Count]]&amp;"]]")),LOG(INDIRECT("RawMaterials[@[Lab Q Model Units 1]:[Lab Q Model Units "&amp;RawMaterials[[#This Row],[Lab Quote Count]]&amp;"]]"))),"")</f>
        <v/>
      </c>
      <c r="AH147" s="393" t="str">
        <f>IF(RawMaterials[[#This Row],[Material Type]]="Metal Precursor","D13",IF(RawMaterials[[#This Row],[Material Type]]="Ligand","D13","D12"))</f>
        <v>D12</v>
      </c>
      <c r="AI147" s="394" t="str">
        <f ca="1">IF(RawMaterials[[#This Row],[Lab Quote Count]]&gt;1,10^RawMaterials[[#This Row],[Lab Log-Log Intercept]]*INDIRECT(RawMaterials[[#This Row],[Basis Cell]])^RawMaterials[[#This Row],[Lab Log-Log Slope]],"&gt;&gt;&gt; Enter 2 or more lab quotes &lt;&lt;&lt;")</f>
        <v>&gt;&gt;&gt; Enter 2 or more lab quotes &lt;&lt;&lt;</v>
      </c>
      <c r="AJ14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1.3558429124369971</v>
      </c>
      <c r="AL147" s="396">
        <f>IF(ISTEXT(RawMaterials[[#This Row],[Unit price in quote year]]),"Check calcs",RawMaterials[[#This Row],[Unit price in quote year]]/VLOOKUP(RawMaterials[[#This Row],[Quote Year]],ChemPPI[],14,FALSE)*VLOOKUP(BasisYear,ChemPPI[],14,FALSE))</f>
        <v>1.8401709446744001</v>
      </c>
      <c r="AM147" s="397" t="str">
        <f t="shared" si="2"/>
        <v>$/kg (2016)</v>
      </c>
    </row>
    <row r="148" spans="1:39">
      <c r="A148" s="259" t="s">
        <v>1242</v>
      </c>
      <c r="B148" s="260"/>
      <c r="C148" s="351"/>
      <c r="D148" s="351">
        <v>0.77900000000000003</v>
      </c>
      <c r="E148" s="260">
        <v>100</v>
      </c>
      <c r="F148" s="260"/>
      <c r="G148" s="351"/>
      <c r="H148" s="351"/>
      <c r="I148" s="262"/>
      <c r="J148" s="351"/>
      <c r="K148" s="351"/>
      <c r="L148" s="351"/>
      <c r="M148" s="351"/>
      <c r="N148" s="351"/>
      <c r="O148" s="351"/>
      <c r="P148" s="261">
        <v>2.2250000000000001</v>
      </c>
      <c r="Q148" s="260">
        <v>1</v>
      </c>
      <c r="R148" s="260" t="s">
        <v>85</v>
      </c>
      <c r="S148" s="260">
        <v>2006</v>
      </c>
      <c r="T148" s="260" t="s">
        <v>161</v>
      </c>
      <c r="U148" s="386">
        <v>42653</v>
      </c>
      <c r="V148" s="387"/>
      <c r="W148" s="354">
        <f>COUNT(RawMaterials[[#This Row],[Lab Quantity 1]:[Lab Quantity 4]])</f>
        <v>0</v>
      </c>
      <c r="X14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8" s="392" t="e">
        <f>RawMaterials[[#This Row],[Lab Price 1]]/RawMaterials[[#This Row],[Lab Q Model Units 1]]</f>
        <v>#N/A</v>
      </c>
      <c r="AC148" s="392" t="e">
        <f>RawMaterials[[#This Row],[Lab Price 2]]/RawMaterials[[#This Row],[Lab Q Model Units 2]]</f>
        <v>#N/A</v>
      </c>
      <c r="AD148" s="392" t="e">
        <f>RawMaterials[[#This Row],[Lab Price 3]]/RawMaterials[[#This Row],[Lab Q Model Units 3]]</f>
        <v>#N/A</v>
      </c>
      <c r="AE148" s="392" t="e">
        <f>RawMaterials[[#This Row],[Lab Price 4]]/RawMaterials[[#This Row],[Lab Q Model Units 4]]</f>
        <v>#N/A</v>
      </c>
      <c r="AF148" s="392" t="str">
        <f ca="1">IF(RawMaterials[[#This Row],[Lab Quote Count]]&gt;1,SLOPE(LOG(INDIRECT("RawMaterials[@[Lab Unit P 1]:[Lab Unit P "&amp;RawMaterials[[#This Row],[Lab Quote Count]]&amp;"]]")),LOG(INDIRECT("RawMaterials[@[Lab Q Model Units 1]:[Lab Q Model Units "&amp;RawMaterials[[#This Row],[Lab Quote Count]]&amp;"]]"))),"")</f>
        <v/>
      </c>
      <c r="AG148" s="392" t="str">
        <f ca="1">IF(RawMaterials[[#This Row],[Lab Quote Count]]&gt;1,INTERCEPT(LOG(INDIRECT("RawMaterials[@[Lab Unit P 1]:[Lab Unit P "&amp;RawMaterials[[#This Row],[Lab Quote Count]]&amp;"]]")),LOG(INDIRECT("RawMaterials[@[Lab Q Model Units 1]:[Lab Q Model Units "&amp;RawMaterials[[#This Row],[Lab Quote Count]]&amp;"]]"))),"")</f>
        <v/>
      </c>
      <c r="AH148" s="393" t="str">
        <f>IF(RawMaterials[[#This Row],[Material Type]]="Metal Precursor","D13",IF(RawMaterials[[#This Row],[Material Type]]="Ligand","D13","D12"))</f>
        <v>D12</v>
      </c>
      <c r="AI148" s="394" t="str">
        <f ca="1">IF(RawMaterials[[#This Row],[Lab Quote Count]]&gt;1,10^RawMaterials[[#This Row],[Lab Log-Log Intercept]]*INDIRECT(RawMaterials[[#This Row],[Basis Cell]])^RawMaterials[[#This Row],[Lab Log-Log Slope]],"&gt;&gt;&gt; Enter 2 or more lab quotes &lt;&lt;&lt;")</f>
        <v>&gt;&gt;&gt; Enter 2 or more lab quotes &lt;&lt;&lt;</v>
      </c>
      <c r="AJ14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2.9488357797360001</v>
      </c>
      <c r="AK14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0.75453506610639309</v>
      </c>
      <c r="AL148" s="396">
        <f>IF(ISTEXT(RawMaterials[[#This Row],[Unit price in quote year]]),"Check calcs",RawMaterials[[#This Row],[Unit price in quote year]]/VLOOKUP(RawMaterials[[#This Row],[Quote Year]],ChemPPI[],14,FALSE)*VLOOKUP(BasisYear,ChemPPI[],14,FALSE))</f>
        <v>1.0240666471393172</v>
      </c>
      <c r="AM148" s="397" t="str">
        <f t="shared" si="2"/>
        <v>$/kg (2016)</v>
      </c>
    </row>
    <row r="149" spans="1:39">
      <c r="A149" s="259" t="s">
        <v>1243</v>
      </c>
      <c r="B149" s="260"/>
      <c r="C149" s="351"/>
      <c r="D149" s="351"/>
      <c r="E149" s="260">
        <v>100</v>
      </c>
      <c r="F149" s="260"/>
      <c r="G149" s="351"/>
      <c r="H149" s="351"/>
      <c r="I149" s="262"/>
      <c r="J149" s="351"/>
      <c r="K149" s="351"/>
      <c r="L149" s="351"/>
      <c r="M149" s="351"/>
      <c r="N149" s="351"/>
      <c r="O149" s="351"/>
      <c r="P149" s="261">
        <v>0.28499999999999998</v>
      </c>
      <c r="Q149" s="260">
        <v>1</v>
      </c>
      <c r="R149" s="260" t="s">
        <v>20</v>
      </c>
      <c r="S149" s="260">
        <v>2006</v>
      </c>
      <c r="T149" s="260" t="s">
        <v>161</v>
      </c>
      <c r="U149" s="386">
        <v>42653</v>
      </c>
      <c r="V149" s="387"/>
      <c r="W149" s="354">
        <f>COUNT(RawMaterials[[#This Row],[Lab Quantity 1]:[Lab Quantity 4]])</f>
        <v>0</v>
      </c>
      <c r="X14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9" s="392" t="e">
        <f>RawMaterials[[#This Row],[Lab Price 1]]/RawMaterials[[#This Row],[Lab Q Model Units 1]]</f>
        <v>#N/A</v>
      </c>
      <c r="AC149" s="392" t="e">
        <f>RawMaterials[[#This Row],[Lab Price 2]]/RawMaterials[[#This Row],[Lab Q Model Units 2]]</f>
        <v>#N/A</v>
      </c>
      <c r="AD149" s="392" t="e">
        <f>RawMaterials[[#This Row],[Lab Price 3]]/RawMaterials[[#This Row],[Lab Q Model Units 3]]</f>
        <v>#N/A</v>
      </c>
      <c r="AE149" s="392" t="e">
        <f>RawMaterials[[#This Row],[Lab Price 4]]/RawMaterials[[#This Row],[Lab Q Model Units 4]]</f>
        <v>#N/A</v>
      </c>
      <c r="AF149" s="392" t="str">
        <f ca="1">IF(RawMaterials[[#This Row],[Lab Quote Count]]&gt;1,SLOPE(LOG(INDIRECT("RawMaterials[@[Lab Unit P 1]:[Lab Unit P "&amp;RawMaterials[[#This Row],[Lab Quote Count]]&amp;"]]")),LOG(INDIRECT("RawMaterials[@[Lab Q Model Units 1]:[Lab Q Model Units "&amp;RawMaterials[[#This Row],[Lab Quote Count]]&amp;"]]"))),"")</f>
        <v/>
      </c>
      <c r="AG149" s="392" t="str">
        <f ca="1">IF(RawMaterials[[#This Row],[Lab Quote Count]]&gt;1,INTERCEPT(LOG(INDIRECT("RawMaterials[@[Lab Unit P 1]:[Lab Unit P "&amp;RawMaterials[[#This Row],[Lab Quote Count]]&amp;"]]")),LOG(INDIRECT("RawMaterials[@[Lab Q Model Units 1]:[Lab Q Model Units "&amp;RawMaterials[[#This Row],[Lab Quote Count]]&amp;"]]"))),"")</f>
        <v/>
      </c>
      <c r="AH149" s="393" t="str">
        <f>IF(RawMaterials[[#This Row],[Material Type]]="Metal Precursor","D13",IF(RawMaterials[[#This Row],[Material Type]]="Ligand","D13","D12"))</f>
        <v>D12</v>
      </c>
      <c r="AI149" s="394" t="str">
        <f ca="1">IF(RawMaterials[[#This Row],[Lab Quote Count]]&gt;1,10^RawMaterials[[#This Row],[Lab Log-Log Intercept]]*INDIRECT(RawMaterials[[#This Row],[Basis Cell]])^RawMaterials[[#This Row],[Lab Log-Log Slope]],"&gt;&gt;&gt; Enter 2 or more lab quotes &lt;&lt;&lt;")</f>
        <v>&gt;&gt;&gt; Enter 2 or more lab quotes &lt;&lt;&lt;</v>
      </c>
      <c r="AJ14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0.62831744722690097</v>
      </c>
      <c r="AL149" s="396">
        <f>IF(ISTEXT(RawMaterials[[#This Row],[Unit price in quote year]]),"Check calcs",RawMaterials[[#This Row],[Unit price in quote year]]/VLOOKUP(RawMaterials[[#This Row],[Quote Year]],ChemPPI[],14,FALSE)*VLOOKUP(BasisYear,ChemPPI[],14,FALSE))</f>
        <v>0.85276214509301462</v>
      </c>
      <c r="AM149" s="397" t="str">
        <f t="shared" si="2"/>
        <v>$/kg (2016)</v>
      </c>
    </row>
    <row r="150" spans="1:39">
      <c r="A150" s="259" t="s">
        <v>1244</v>
      </c>
      <c r="B150" s="260"/>
      <c r="C150" s="351"/>
      <c r="D150" s="351"/>
      <c r="E150" s="260">
        <v>100</v>
      </c>
      <c r="F150" s="260"/>
      <c r="G150" s="351"/>
      <c r="H150" s="351"/>
      <c r="I150" s="262"/>
      <c r="J150" s="351"/>
      <c r="K150" s="351"/>
      <c r="L150" s="351"/>
      <c r="M150" s="351"/>
      <c r="N150" s="351"/>
      <c r="O150" s="351"/>
      <c r="P150" s="261">
        <v>0.55000000000000004</v>
      </c>
      <c r="Q150" s="260">
        <v>1</v>
      </c>
      <c r="R150" s="260" t="s">
        <v>20</v>
      </c>
      <c r="S150" s="260">
        <v>2006</v>
      </c>
      <c r="T150" s="260" t="s">
        <v>161</v>
      </c>
      <c r="U150" s="386">
        <v>42653</v>
      </c>
      <c r="V150" s="387"/>
      <c r="W150" s="354">
        <f>COUNT(RawMaterials[[#This Row],[Lab Quantity 1]:[Lab Quantity 4]])</f>
        <v>0</v>
      </c>
      <c r="X15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0" s="392" t="e">
        <f>RawMaterials[[#This Row],[Lab Price 1]]/RawMaterials[[#This Row],[Lab Q Model Units 1]]</f>
        <v>#N/A</v>
      </c>
      <c r="AC150" s="392" t="e">
        <f>RawMaterials[[#This Row],[Lab Price 2]]/RawMaterials[[#This Row],[Lab Q Model Units 2]]</f>
        <v>#N/A</v>
      </c>
      <c r="AD150" s="392" t="e">
        <f>RawMaterials[[#This Row],[Lab Price 3]]/RawMaterials[[#This Row],[Lab Q Model Units 3]]</f>
        <v>#N/A</v>
      </c>
      <c r="AE150" s="392" t="e">
        <f>RawMaterials[[#This Row],[Lab Price 4]]/RawMaterials[[#This Row],[Lab Q Model Units 4]]</f>
        <v>#N/A</v>
      </c>
      <c r="AF150" s="392" t="str">
        <f ca="1">IF(RawMaterials[[#This Row],[Lab Quote Count]]&gt;1,SLOPE(LOG(INDIRECT("RawMaterials[@[Lab Unit P 1]:[Lab Unit P "&amp;RawMaterials[[#This Row],[Lab Quote Count]]&amp;"]]")),LOG(INDIRECT("RawMaterials[@[Lab Q Model Units 1]:[Lab Q Model Units "&amp;RawMaterials[[#This Row],[Lab Quote Count]]&amp;"]]"))),"")</f>
        <v/>
      </c>
      <c r="AG150" s="392" t="str">
        <f ca="1">IF(RawMaterials[[#This Row],[Lab Quote Count]]&gt;1,INTERCEPT(LOG(INDIRECT("RawMaterials[@[Lab Unit P 1]:[Lab Unit P "&amp;RawMaterials[[#This Row],[Lab Quote Count]]&amp;"]]")),LOG(INDIRECT("RawMaterials[@[Lab Q Model Units 1]:[Lab Q Model Units "&amp;RawMaterials[[#This Row],[Lab Quote Count]]&amp;"]]"))),"")</f>
        <v/>
      </c>
      <c r="AH150" s="393" t="str">
        <f>IF(RawMaterials[[#This Row],[Material Type]]="Metal Precursor","D13",IF(RawMaterials[[#This Row],[Material Type]]="Ligand","D13","D12"))</f>
        <v>D12</v>
      </c>
      <c r="AI150" s="394" t="str">
        <f ca="1">IF(RawMaterials[[#This Row],[Lab Quote Count]]&gt;1,10^RawMaterials[[#This Row],[Lab Log-Log Intercept]]*INDIRECT(RawMaterials[[#This Row],[Basis Cell]])^RawMaterials[[#This Row],[Lab Log-Log Slope]],"&gt;&gt;&gt; Enter 2 or more lab quotes &lt;&lt;&lt;")</f>
        <v>&gt;&gt;&gt; Enter 2 or more lab quotes &lt;&lt;&lt;</v>
      </c>
      <c r="AJ15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1.2125424420168267</v>
      </c>
      <c r="AL150" s="396">
        <f>IF(ISTEXT(RawMaterials[[#This Row],[Unit price in quote year]]),"Check calcs",RawMaterials[[#This Row],[Unit price in quote year]]/VLOOKUP(RawMaterials[[#This Row],[Quote Year]],ChemPPI[],14,FALSE)*VLOOKUP(BasisYear,ChemPPI[],14,FALSE))</f>
        <v>1.6456813326356425</v>
      </c>
      <c r="AM150" s="397" t="str">
        <f t="shared" si="2"/>
        <v>$/kg (2016)</v>
      </c>
    </row>
    <row r="151" spans="1:39">
      <c r="A151" s="259" t="s">
        <v>1245</v>
      </c>
      <c r="B151" s="260"/>
      <c r="C151" s="351"/>
      <c r="D151" s="351"/>
      <c r="E151" s="260">
        <v>100</v>
      </c>
      <c r="F151" s="260"/>
      <c r="G151" s="351"/>
      <c r="H151" s="351"/>
      <c r="I151" s="262"/>
      <c r="J151" s="351"/>
      <c r="K151" s="351"/>
      <c r="L151" s="351"/>
      <c r="M151" s="351"/>
      <c r="N151" s="351"/>
      <c r="O151" s="351"/>
      <c r="P151" s="261">
        <v>0.91</v>
      </c>
      <c r="Q151" s="260">
        <v>1</v>
      </c>
      <c r="R151" s="260" t="s">
        <v>20</v>
      </c>
      <c r="S151" s="260">
        <v>2006</v>
      </c>
      <c r="T151" s="260" t="s">
        <v>161</v>
      </c>
      <c r="U151" s="386">
        <v>42653</v>
      </c>
      <c r="V151" s="387"/>
      <c r="W151" s="354">
        <f>COUNT(RawMaterials[[#This Row],[Lab Quantity 1]:[Lab Quantity 4]])</f>
        <v>0</v>
      </c>
      <c r="X15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1" s="392" t="e">
        <f>RawMaterials[[#This Row],[Lab Price 1]]/RawMaterials[[#This Row],[Lab Q Model Units 1]]</f>
        <v>#N/A</v>
      </c>
      <c r="AC151" s="392" t="e">
        <f>RawMaterials[[#This Row],[Lab Price 2]]/RawMaterials[[#This Row],[Lab Q Model Units 2]]</f>
        <v>#N/A</v>
      </c>
      <c r="AD151" s="392" t="e">
        <f>RawMaterials[[#This Row],[Lab Price 3]]/RawMaterials[[#This Row],[Lab Q Model Units 3]]</f>
        <v>#N/A</v>
      </c>
      <c r="AE151" s="392" t="e">
        <f>RawMaterials[[#This Row],[Lab Price 4]]/RawMaterials[[#This Row],[Lab Q Model Units 4]]</f>
        <v>#N/A</v>
      </c>
      <c r="AF151" s="392" t="str">
        <f ca="1">IF(RawMaterials[[#This Row],[Lab Quote Count]]&gt;1,SLOPE(LOG(INDIRECT("RawMaterials[@[Lab Unit P 1]:[Lab Unit P "&amp;RawMaterials[[#This Row],[Lab Quote Count]]&amp;"]]")),LOG(INDIRECT("RawMaterials[@[Lab Q Model Units 1]:[Lab Q Model Units "&amp;RawMaterials[[#This Row],[Lab Quote Count]]&amp;"]]"))),"")</f>
        <v/>
      </c>
      <c r="AG151" s="392" t="str">
        <f ca="1">IF(RawMaterials[[#This Row],[Lab Quote Count]]&gt;1,INTERCEPT(LOG(INDIRECT("RawMaterials[@[Lab Unit P 1]:[Lab Unit P "&amp;RawMaterials[[#This Row],[Lab Quote Count]]&amp;"]]")),LOG(INDIRECT("RawMaterials[@[Lab Q Model Units 1]:[Lab Q Model Units "&amp;RawMaterials[[#This Row],[Lab Quote Count]]&amp;"]]"))),"")</f>
        <v/>
      </c>
      <c r="AH151" s="393" t="str">
        <f>IF(RawMaterials[[#This Row],[Material Type]]="Metal Precursor","D13",IF(RawMaterials[[#This Row],[Material Type]]="Ligand","D13","D12"))</f>
        <v>D12</v>
      </c>
      <c r="AI151" s="394" t="str">
        <f ca="1">IF(RawMaterials[[#This Row],[Lab Quote Count]]&gt;1,10^RawMaterials[[#This Row],[Lab Log-Log Intercept]]*INDIRECT(RawMaterials[[#This Row],[Basis Cell]])^RawMaterials[[#This Row],[Lab Log-Log Slope]],"&gt;&gt;&gt; Enter 2 or more lab quotes &lt;&lt;&lt;")</f>
        <v>&gt;&gt;&gt; Enter 2 or more lab quotes &lt;&lt;&lt;</v>
      </c>
      <c r="AJ15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2.0062065858823859</v>
      </c>
      <c r="AL151" s="396">
        <f>IF(ISTEXT(RawMaterials[[#This Row],[Unit price in quote year]]),"Check calcs",RawMaterials[[#This Row],[Unit price in quote year]]/VLOOKUP(RawMaterials[[#This Row],[Quote Year]],ChemPPI[],14,FALSE)*VLOOKUP(BasisYear,ChemPPI[],14,FALSE))</f>
        <v>2.7228545685426084</v>
      </c>
      <c r="AM151" s="397" t="str">
        <f t="shared" si="2"/>
        <v>$/kg (2016)</v>
      </c>
    </row>
    <row r="152" spans="1:39">
      <c r="A152" s="259" t="s">
        <v>1246</v>
      </c>
      <c r="B152" s="260"/>
      <c r="C152" s="351"/>
      <c r="D152" s="351"/>
      <c r="E152" s="260">
        <v>100</v>
      </c>
      <c r="F152" s="260"/>
      <c r="G152" s="351"/>
      <c r="H152" s="351"/>
      <c r="I152" s="262"/>
      <c r="J152" s="351"/>
      <c r="K152" s="351"/>
      <c r="L152" s="351"/>
      <c r="M152" s="351"/>
      <c r="N152" s="351"/>
      <c r="O152" s="351"/>
      <c r="P152" s="261">
        <v>0.39</v>
      </c>
      <c r="Q152" s="260">
        <v>1</v>
      </c>
      <c r="R152" s="260" t="s">
        <v>20</v>
      </c>
      <c r="S152" s="260">
        <v>2006</v>
      </c>
      <c r="T152" s="260" t="s">
        <v>161</v>
      </c>
      <c r="U152" s="386">
        <v>42653</v>
      </c>
      <c r="V152" s="387"/>
      <c r="W152" s="354">
        <f>COUNT(RawMaterials[[#This Row],[Lab Quantity 1]:[Lab Quantity 4]])</f>
        <v>0</v>
      </c>
      <c r="X15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2" s="392" t="e">
        <f>RawMaterials[[#This Row],[Lab Price 1]]/RawMaterials[[#This Row],[Lab Q Model Units 1]]</f>
        <v>#N/A</v>
      </c>
      <c r="AC152" s="392" t="e">
        <f>RawMaterials[[#This Row],[Lab Price 2]]/RawMaterials[[#This Row],[Lab Q Model Units 2]]</f>
        <v>#N/A</v>
      </c>
      <c r="AD152" s="392" t="e">
        <f>RawMaterials[[#This Row],[Lab Price 3]]/RawMaterials[[#This Row],[Lab Q Model Units 3]]</f>
        <v>#N/A</v>
      </c>
      <c r="AE152" s="392" t="e">
        <f>RawMaterials[[#This Row],[Lab Price 4]]/RawMaterials[[#This Row],[Lab Q Model Units 4]]</f>
        <v>#N/A</v>
      </c>
      <c r="AF152" s="392" t="str">
        <f ca="1">IF(RawMaterials[[#This Row],[Lab Quote Count]]&gt;1,SLOPE(LOG(INDIRECT("RawMaterials[@[Lab Unit P 1]:[Lab Unit P "&amp;RawMaterials[[#This Row],[Lab Quote Count]]&amp;"]]")),LOG(INDIRECT("RawMaterials[@[Lab Q Model Units 1]:[Lab Q Model Units "&amp;RawMaterials[[#This Row],[Lab Quote Count]]&amp;"]]"))),"")</f>
        <v/>
      </c>
      <c r="AG152" s="392" t="str">
        <f ca="1">IF(RawMaterials[[#This Row],[Lab Quote Count]]&gt;1,INTERCEPT(LOG(INDIRECT("RawMaterials[@[Lab Unit P 1]:[Lab Unit P "&amp;RawMaterials[[#This Row],[Lab Quote Count]]&amp;"]]")),LOG(INDIRECT("RawMaterials[@[Lab Q Model Units 1]:[Lab Q Model Units "&amp;RawMaterials[[#This Row],[Lab Quote Count]]&amp;"]]"))),"")</f>
        <v/>
      </c>
      <c r="AH152" s="393" t="str">
        <f>IF(RawMaterials[[#This Row],[Material Type]]="Metal Precursor","D13",IF(RawMaterials[[#This Row],[Material Type]]="Ligand","D13","D12"))</f>
        <v>D12</v>
      </c>
      <c r="AI152" s="394" t="str">
        <f ca="1">IF(RawMaterials[[#This Row],[Lab Quote Count]]&gt;1,10^RawMaterials[[#This Row],[Lab Log-Log Intercept]]*INDIRECT(RawMaterials[[#This Row],[Basis Cell]])^RawMaterials[[#This Row],[Lab Log-Log Slope]],"&gt;&gt;&gt; Enter 2 or more lab quotes &lt;&lt;&lt;")</f>
        <v>&gt;&gt;&gt; Enter 2 or more lab quotes &lt;&lt;&lt;</v>
      </c>
      <c r="AJ15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0.85980282252102258</v>
      </c>
      <c r="AL152" s="396">
        <f>IF(ISTEXT(RawMaterials[[#This Row],[Unit price in quote year]]),"Check calcs",RawMaterials[[#This Row],[Unit price in quote year]]/VLOOKUP(RawMaterials[[#This Row],[Quote Year]],ChemPPI[],14,FALSE)*VLOOKUP(BasisYear,ChemPPI[],14,FALSE))</f>
        <v>1.1669376722325466</v>
      </c>
      <c r="AM152" s="397" t="str">
        <f t="shared" si="2"/>
        <v>$/kg (2016)</v>
      </c>
    </row>
    <row r="153" spans="1:39">
      <c r="A153" s="259" t="s">
        <v>1247</v>
      </c>
      <c r="B153" s="260"/>
      <c r="C153" s="351"/>
      <c r="D153" s="351"/>
      <c r="E153" s="260">
        <v>100</v>
      </c>
      <c r="F153" s="260"/>
      <c r="G153" s="351"/>
      <c r="H153" s="351"/>
      <c r="I153" s="262"/>
      <c r="J153" s="351"/>
      <c r="K153" s="351"/>
      <c r="L153" s="351"/>
      <c r="M153" s="351"/>
      <c r="N153" s="351"/>
      <c r="O153" s="351"/>
      <c r="P153" s="261">
        <v>0.70499999999999996</v>
      </c>
      <c r="Q153" s="260">
        <v>1</v>
      </c>
      <c r="R153" s="260" t="s">
        <v>20</v>
      </c>
      <c r="S153" s="260">
        <v>2006</v>
      </c>
      <c r="T153" s="260" t="s">
        <v>161</v>
      </c>
      <c r="U153" s="386">
        <v>42653</v>
      </c>
      <c r="V153" s="387"/>
      <c r="W153" s="354">
        <f>COUNT(RawMaterials[[#This Row],[Lab Quantity 1]:[Lab Quantity 4]])</f>
        <v>0</v>
      </c>
      <c r="X15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3" s="392" t="e">
        <f>RawMaterials[[#This Row],[Lab Price 1]]/RawMaterials[[#This Row],[Lab Q Model Units 1]]</f>
        <v>#N/A</v>
      </c>
      <c r="AC153" s="392" t="e">
        <f>RawMaterials[[#This Row],[Lab Price 2]]/RawMaterials[[#This Row],[Lab Q Model Units 2]]</f>
        <v>#N/A</v>
      </c>
      <c r="AD153" s="392" t="e">
        <f>RawMaterials[[#This Row],[Lab Price 3]]/RawMaterials[[#This Row],[Lab Q Model Units 3]]</f>
        <v>#N/A</v>
      </c>
      <c r="AE153" s="392" t="e">
        <f>RawMaterials[[#This Row],[Lab Price 4]]/RawMaterials[[#This Row],[Lab Q Model Units 4]]</f>
        <v>#N/A</v>
      </c>
      <c r="AF153" s="392" t="str">
        <f ca="1">IF(RawMaterials[[#This Row],[Lab Quote Count]]&gt;1,SLOPE(LOG(INDIRECT("RawMaterials[@[Lab Unit P 1]:[Lab Unit P "&amp;RawMaterials[[#This Row],[Lab Quote Count]]&amp;"]]")),LOG(INDIRECT("RawMaterials[@[Lab Q Model Units 1]:[Lab Q Model Units "&amp;RawMaterials[[#This Row],[Lab Quote Count]]&amp;"]]"))),"")</f>
        <v/>
      </c>
      <c r="AG153" s="392" t="str">
        <f ca="1">IF(RawMaterials[[#This Row],[Lab Quote Count]]&gt;1,INTERCEPT(LOG(INDIRECT("RawMaterials[@[Lab Unit P 1]:[Lab Unit P "&amp;RawMaterials[[#This Row],[Lab Quote Count]]&amp;"]]")),LOG(INDIRECT("RawMaterials[@[Lab Q Model Units 1]:[Lab Q Model Units "&amp;RawMaterials[[#This Row],[Lab Quote Count]]&amp;"]]"))),"")</f>
        <v/>
      </c>
      <c r="AH153" s="393" t="str">
        <f>IF(RawMaterials[[#This Row],[Material Type]]="Metal Precursor","D13",IF(RawMaterials[[#This Row],[Material Type]]="Ligand","D13","D12"))</f>
        <v>D12</v>
      </c>
      <c r="AI153" s="394" t="str">
        <f ca="1">IF(RawMaterials[[#This Row],[Lab Quote Count]]&gt;1,10^RawMaterials[[#This Row],[Lab Log-Log Intercept]]*INDIRECT(RawMaterials[[#This Row],[Basis Cell]])^RawMaterials[[#This Row],[Lab Log-Log Slope]],"&gt;&gt;&gt; Enter 2 or more lab quotes &lt;&lt;&lt;")</f>
        <v>&gt;&gt;&gt; Enter 2 or more lab quotes &lt;&lt;&lt;</v>
      </c>
      <c r="AJ15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1.5542589484033869</v>
      </c>
      <c r="AL153" s="396">
        <f>IF(ISTEXT(RawMaterials[[#This Row],[Unit price in quote year]]),"Check calcs",RawMaterials[[#This Row],[Unit price in quote year]]/VLOOKUP(RawMaterials[[#This Row],[Quote Year]],ChemPPI[],14,FALSE)*VLOOKUP(BasisYear,ChemPPI[],14,FALSE))</f>
        <v>2.1094642536511419</v>
      </c>
      <c r="AM153" s="397" t="str">
        <f t="shared" si="2"/>
        <v>$/kg (2016)</v>
      </c>
    </row>
    <row r="154" spans="1:39">
      <c r="A154" s="259" t="s">
        <v>1248</v>
      </c>
      <c r="B154" s="260"/>
      <c r="C154" s="351"/>
      <c r="D154" s="351"/>
      <c r="E154" s="260">
        <v>100</v>
      </c>
      <c r="F154" s="260"/>
      <c r="G154" s="351"/>
      <c r="H154" s="351"/>
      <c r="I154" s="262"/>
      <c r="J154" s="351"/>
      <c r="K154" s="351"/>
      <c r="L154" s="351"/>
      <c r="M154" s="351"/>
      <c r="N154" s="351"/>
      <c r="O154" s="351"/>
      <c r="P154" s="261">
        <v>9.8000000000000007</v>
      </c>
      <c r="Q154" s="260">
        <v>1</v>
      </c>
      <c r="R154" s="260" t="s">
        <v>71</v>
      </c>
      <c r="S154" s="260">
        <v>2006</v>
      </c>
      <c r="T154" s="260" t="s">
        <v>161</v>
      </c>
      <c r="U154" s="386">
        <v>42653</v>
      </c>
      <c r="V154" s="387"/>
      <c r="W154" s="354">
        <f>COUNT(RawMaterials[[#This Row],[Lab Quantity 1]:[Lab Quantity 4]])</f>
        <v>0</v>
      </c>
      <c r="X15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4" s="392" t="e">
        <f>RawMaterials[[#This Row],[Lab Price 1]]/RawMaterials[[#This Row],[Lab Q Model Units 1]]</f>
        <v>#N/A</v>
      </c>
      <c r="AC154" s="392" t="e">
        <f>RawMaterials[[#This Row],[Lab Price 2]]/RawMaterials[[#This Row],[Lab Q Model Units 2]]</f>
        <v>#N/A</v>
      </c>
      <c r="AD154" s="392" t="e">
        <f>RawMaterials[[#This Row],[Lab Price 3]]/RawMaterials[[#This Row],[Lab Q Model Units 3]]</f>
        <v>#N/A</v>
      </c>
      <c r="AE154" s="392" t="e">
        <f>RawMaterials[[#This Row],[Lab Price 4]]/RawMaterials[[#This Row],[Lab Q Model Units 4]]</f>
        <v>#N/A</v>
      </c>
      <c r="AF154" s="392" t="str">
        <f ca="1">IF(RawMaterials[[#This Row],[Lab Quote Count]]&gt;1,SLOPE(LOG(INDIRECT("RawMaterials[@[Lab Unit P 1]:[Lab Unit P "&amp;RawMaterials[[#This Row],[Lab Quote Count]]&amp;"]]")),LOG(INDIRECT("RawMaterials[@[Lab Q Model Units 1]:[Lab Q Model Units "&amp;RawMaterials[[#This Row],[Lab Quote Count]]&amp;"]]"))),"")</f>
        <v/>
      </c>
      <c r="AG154" s="392" t="str">
        <f ca="1">IF(RawMaterials[[#This Row],[Lab Quote Count]]&gt;1,INTERCEPT(LOG(INDIRECT("RawMaterials[@[Lab Unit P 1]:[Lab Unit P "&amp;RawMaterials[[#This Row],[Lab Quote Count]]&amp;"]]")),LOG(INDIRECT("RawMaterials[@[Lab Q Model Units 1]:[Lab Q Model Units "&amp;RawMaterials[[#This Row],[Lab Quote Count]]&amp;"]]"))),"")</f>
        <v/>
      </c>
      <c r="AH154" s="393" t="str">
        <f>IF(RawMaterials[[#This Row],[Material Type]]="Metal Precursor","D13",IF(RawMaterials[[#This Row],[Material Type]]="Ligand","D13","D12"))</f>
        <v>D12</v>
      </c>
      <c r="AI154" s="394" t="str">
        <f ca="1">IF(RawMaterials[[#This Row],[Lab Quote Count]]&gt;1,10^RawMaterials[[#This Row],[Lab Log-Log Intercept]]*INDIRECT(RawMaterials[[#This Row],[Basis Cell]])^RawMaterials[[#This Row],[Lab Log-Log Slope]],"&gt;&gt;&gt; Enter 2 or more lab quotes &lt;&lt;&lt;")</f>
        <v>&gt;&gt;&gt; Enter 2 or more lab quotes &lt;&lt;&lt;</v>
      </c>
      <c r="AJ15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9.8000000000000007</v>
      </c>
      <c r="AL154" s="396">
        <f>IF(ISTEXT(RawMaterials[[#This Row],[Unit price in quote year]]),"Check calcs",RawMaterials[[#This Row],[Unit price in quote year]]/VLOOKUP(RawMaterials[[#This Row],[Quote Year]],ChemPPI[],14,FALSE)*VLOOKUP(BasisYear,ChemPPI[],14,FALSE))</f>
        <v>13.300711382113825</v>
      </c>
      <c r="AM154" s="397" t="str">
        <f t="shared" si="2"/>
        <v>$/kg (2016)</v>
      </c>
    </row>
    <row r="155" spans="1:39">
      <c r="A155" s="259" t="s">
        <v>1249</v>
      </c>
      <c r="B155" s="260"/>
      <c r="C155" s="351"/>
      <c r="D155" s="351"/>
      <c r="E155" s="260">
        <v>100</v>
      </c>
      <c r="F155" s="260"/>
      <c r="G155" s="351"/>
      <c r="H155" s="351"/>
      <c r="I155" s="262"/>
      <c r="J155" s="351"/>
      <c r="K155" s="351"/>
      <c r="L155" s="351"/>
      <c r="M155" s="351"/>
      <c r="N155" s="351"/>
      <c r="O155" s="351"/>
      <c r="P155" s="261">
        <v>180</v>
      </c>
      <c r="Q155" s="260">
        <v>1</v>
      </c>
      <c r="R155" s="260" t="s">
        <v>71</v>
      </c>
      <c r="S155" s="260">
        <v>2006</v>
      </c>
      <c r="T155" s="260" t="s">
        <v>161</v>
      </c>
      <c r="U155" s="386">
        <v>42653</v>
      </c>
      <c r="V155" s="387"/>
      <c r="W155" s="354">
        <f>COUNT(RawMaterials[[#This Row],[Lab Quantity 1]:[Lab Quantity 4]])</f>
        <v>0</v>
      </c>
      <c r="X15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5" s="392" t="e">
        <f>RawMaterials[[#This Row],[Lab Price 1]]/RawMaterials[[#This Row],[Lab Q Model Units 1]]</f>
        <v>#N/A</v>
      </c>
      <c r="AC155" s="392" t="e">
        <f>RawMaterials[[#This Row],[Lab Price 2]]/RawMaterials[[#This Row],[Lab Q Model Units 2]]</f>
        <v>#N/A</v>
      </c>
      <c r="AD155" s="392" t="e">
        <f>RawMaterials[[#This Row],[Lab Price 3]]/RawMaterials[[#This Row],[Lab Q Model Units 3]]</f>
        <v>#N/A</v>
      </c>
      <c r="AE155" s="392" t="e">
        <f>RawMaterials[[#This Row],[Lab Price 4]]/RawMaterials[[#This Row],[Lab Q Model Units 4]]</f>
        <v>#N/A</v>
      </c>
      <c r="AF155" s="392" t="str">
        <f ca="1">IF(RawMaterials[[#This Row],[Lab Quote Count]]&gt;1,SLOPE(LOG(INDIRECT("RawMaterials[@[Lab Unit P 1]:[Lab Unit P "&amp;RawMaterials[[#This Row],[Lab Quote Count]]&amp;"]]")),LOG(INDIRECT("RawMaterials[@[Lab Q Model Units 1]:[Lab Q Model Units "&amp;RawMaterials[[#This Row],[Lab Quote Count]]&amp;"]]"))),"")</f>
        <v/>
      </c>
      <c r="AG155" s="392" t="str">
        <f ca="1">IF(RawMaterials[[#This Row],[Lab Quote Count]]&gt;1,INTERCEPT(LOG(INDIRECT("RawMaterials[@[Lab Unit P 1]:[Lab Unit P "&amp;RawMaterials[[#This Row],[Lab Quote Count]]&amp;"]]")),LOG(INDIRECT("RawMaterials[@[Lab Q Model Units 1]:[Lab Q Model Units "&amp;RawMaterials[[#This Row],[Lab Quote Count]]&amp;"]]"))),"")</f>
        <v/>
      </c>
      <c r="AH155" s="393" t="str">
        <f>IF(RawMaterials[[#This Row],[Material Type]]="Metal Precursor","D13",IF(RawMaterials[[#This Row],[Material Type]]="Ligand","D13","D12"))</f>
        <v>D12</v>
      </c>
      <c r="AI155" s="394" t="str">
        <f ca="1">IF(RawMaterials[[#This Row],[Lab Quote Count]]&gt;1,10^RawMaterials[[#This Row],[Lab Log-Log Intercept]]*INDIRECT(RawMaterials[[#This Row],[Basis Cell]])^RawMaterials[[#This Row],[Lab Log-Log Slope]],"&gt;&gt;&gt; Enter 2 or more lab quotes &lt;&lt;&lt;")</f>
        <v>&gt;&gt;&gt; Enter 2 or more lab quotes &lt;&lt;&lt;</v>
      </c>
      <c r="AJ15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180</v>
      </c>
      <c r="AL155" s="396">
        <f>IF(ISTEXT(RawMaterials[[#This Row],[Unit price in quote year]]),"Check calcs",RawMaterials[[#This Row],[Unit price in quote year]]/VLOOKUP(RawMaterials[[#This Row],[Quote Year]],ChemPPI[],14,FALSE)*VLOOKUP(BasisYear,ChemPPI[],14,FALSE))</f>
        <v>244.29878048780492</v>
      </c>
      <c r="AM155" s="397" t="str">
        <f t="shared" si="2"/>
        <v>$/kg (2016)</v>
      </c>
    </row>
    <row r="156" spans="1:39">
      <c r="A156" s="259" t="s">
        <v>1250</v>
      </c>
      <c r="B156" s="260"/>
      <c r="C156" s="351"/>
      <c r="D156" s="351"/>
      <c r="E156" s="260">
        <v>100</v>
      </c>
      <c r="F156" s="260"/>
      <c r="G156" s="351"/>
      <c r="H156" s="351"/>
      <c r="I156" s="262"/>
      <c r="J156" s="351"/>
      <c r="K156" s="351"/>
      <c r="L156" s="351"/>
      <c r="M156" s="351"/>
      <c r="N156" s="351"/>
      <c r="O156" s="351"/>
      <c r="P156" s="261">
        <v>84</v>
      </c>
      <c r="Q156" s="260">
        <v>1</v>
      </c>
      <c r="R156" s="260" t="s">
        <v>71</v>
      </c>
      <c r="S156" s="260">
        <v>2006</v>
      </c>
      <c r="T156" s="260" t="s">
        <v>161</v>
      </c>
      <c r="U156" s="386">
        <v>42653</v>
      </c>
      <c r="V156" s="387"/>
      <c r="W156" s="354">
        <f>COUNT(RawMaterials[[#This Row],[Lab Quantity 1]:[Lab Quantity 4]])</f>
        <v>0</v>
      </c>
      <c r="X15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6" s="392" t="e">
        <f>RawMaterials[[#This Row],[Lab Price 1]]/RawMaterials[[#This Row],[Lab Q Model Units 1]]</f>
        <v>#N/A</v>
      </c>
      <c r="AC156" s="392" t="e">
        <f>RawMaterials[[#This Row],[Lab Price 2]]/RawMaterials[[#This Row],[Lab Q Model Units 2]]</f>
        <v>#N/A</v>
      </c>
      <c r="AD156" s="392" t="e">
        <f>RawMaterials[[#This Row],[Lab Price 3]]/RawMaterials[[#This Row],[Lab Q Model Units 3]]</f>
        <v>#N/A</v>
      </c>
      <c r="AE156" s="392" t="e">
        <f>RawMaterials[[#This Row],[Lab Price 4]]/RawMaterials[[#This Row],[Lab Q Model Units 4]]</f>
        <v>#N/A</v>
      </c>
      <c r="AF156" s="392" t="str">
        <f ca="1">IF(RawMaterials[[#This Row],[Lab Quote Count]]&gt;1,SLOPE(LOG(INDIRECT("RawMaterials[@[Lab Unit P 1]:[Lab Unit P "&amp;RawMaterials[[#This Row],[Lab Quote Count]]&amp;"]]")),LOG(INDIRECT("RawMaterials[@[Lab Q Model Units 1]:[Lab Q Model Units "&amp;RawMaterials[[#This Row],[Lab Quote Count]]&amp;"]]"))),"")</f>
        <v/>
      </c>
      <c r="AG156" s="392" t="str">
        <f ca="1">IF(RawMaterials[[#This Row],[Lab Quote Count]]&gt;1,INTERCEPT(LOG(INDIRECT("RawMaterials[@[Lab Unit P 1]:[Lab Unit P "&amp;RawMaterials[[#This Row],[Lab Quote Count]]&amp;"]]")),LOG(INDIRECT("RawMaterials[@[Lab Q Model Units 1]:[Lab Q Model Units "&amp;RawMaterials[[#This Row],[Lab Quote Count]]&amp;"]]"))),"")</f>
        <v/>
      </c>
      <c r="AH156" s="393" t="str">
        <f>IF(RawMaterials[[#This Row],[Material Type]]="Metal Precursor","D13",IF(RawMaterials[[#This Row],[Material Type]]="Ligand","D13","D12"))</f>
        <v>D12</v>
      </c>
      <c r="AI156" s="394" t="str">
        <f ca="1">IF(RawMaterials[[#This Row],[Lab Quote Count]]&gt;1,10^RawMaterials[[#This Row],[Lab Log-Log Intercept]]*INDIRECT(RawMaterials[[#This Row],[Basis Cell]])^RawMaterials[[#This Row],[Lab Log-Log Slope]],"&gt;&gt;&gt; Enter 2 or more lab quotes &lt;&lt;&lt;")</f>
        <v>&gt;&gt;&gt; Enter 2 or more lab quotes &lt;&lt;&lt;</v>
      </c>
      <c r="AJ15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84</v>
      </c>
      <c r="AL156" s="396">
        <f>IF(ISTEXT(RawMaterials[[#This Row],[Unit price in quote year]]),"Check calcs",RawMaterials[[#This Row],[Unit price in quote year]]/VLOOKUP(RawMaterials[[#This Row],[Quote Year]],ChemPPI[],14,FALSE)*VLOOKUP(BasisYear,ChemPPI[],14,FALSE))</f>
        <v>114.00609756097563</v>
      </c>
      <c r="AM156" s="397" t="str">
        <f t="shared" si="2"/>
        <v>$/kg (2016)</v>
      </c>
    </row>
    <row r="157" spans="1:39">
      <c r="A157" s="259" t="s">
        <v>1251</v>
      </c>
      <c r="B157" s="260"/>
      <c r="C157" s="351"/>
      <c r="D157" s="351"/>
      <c r="E157" s="260">
        <v>100</v>
      </c>
      <c r="F157" s="260"/>
      <c r="G157" s="351"/>
      <c r="H157" s="351"/>
      <c r="I157" s="262"/>
      <c r="J157" s="351"/>
      <c r="K157" s="351"/>
      <c r="L157" s="351"/>
      <c r="M157" s="351"/>
      <c r="N157" s="351"/>
      <c r="O157" s="351"/>
      <c r="P157" s="261">
        <v>1500</v>
      </c>
      <c r="Q157" s="260">
        <v>1</v>
      </c>
      <c r="R157" s="260" t="s">
        <v>401</v>
      </c>
      <c r="S157" s="260">
        <v>2006</v>
      </c>
      <c r="T157" s="260" t="s">
        <v>161</v>
      </c>
      <c r="U157" s="386">
        <v>42653</v>
      </c>
      <c r="V157" s="387"/>
      <c r="W157" s="354">
        <f>COUNT(RawMaterials[[#This Row],[Lab Quantity 1]:[Lab Quantity 4]])</f>
        <v>0</v>
      </c>
      <c r="X15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7" s="392" t="e">
        <f>RawMaterials[[#This Row],[Lab Price 1]]/RawMaterials[[#This Row],[Lab Q Model Units 1]]</f>
        <v>#N/A</v>
      </c>
      <c r="AC157" s="392" t="e">
        <f>RawMaterials[[#This Row],[Lab Price 2]]/RawMaterials[[#This Row],[Lab Q Model Units 2]]</f>
        <v>#N/A</v>
      </c>
      <c r="AD157" s="392" t="e">
        <f>RawMaterials[[#This Row],[Lab Price 3]]/RawMaterials[[#This Row],[Lab Q Model Units 3]]</f>
        <v>#N/A</v>
      </c>
      <c r="AE157" s="392" t="e">
        <f>RawMaterials[[#This Row],[Lab Price 4]]/RawMaterials[[#This Row],[Lab Q Model Units 4]]</f>
        <v>#N/A</v>
      </c>
      <c r="AF157" s="392" t="str">
        <f ca="1">IF(RawMaterials[[#This Row],[Lab Quote Count]]&gt;1,SLOPE(LOG(INDIRECT("RawMaterials[@[Lab Unit P 1]:[Lab Unit P "&amp;RawMaterials[[#This Row],[Lab Quote Count]]&amp;"]]")),LOG(INDIRECT("RawMaterials[@[Lab Q Model Units 1]:[Lab Q Model Units "&amp;RawMaterials[[#This Row],[Lab Quote Count]]&amp;"]]"))),"")</f>
        <v/>
      </c>
      <c r="AG157" s="392" t="str">
        <f ca="1">IF(RawMaterials[[#This Row],[Lab Quote Count]]&gt;1,INTERCEPT(LOG(INDIRECT("RawMaterials[@[Lab Unit P 1]:[Lab Unit P "&amp;RawMaterials[[#This Row],[Lab Quote Count]]&amp;"]]")),LOG(INDIRECT("RawMaterials[@[Lab Q Model Units 1]:[Lab Q Model Units "&amp;RawMaterials[[#This Row],[Lab Quote Count]]&amp;"]]"))),"")</f>
        <v/>
      </c>
      <c r="AH157" s="393" t="str">
        <f>IF(RawMaterials[[#This Row],[Material Type]]="Metal Precursor","D13",IF(RawMaterials[[#This Row],[Material Type]]="Ligand","D13","D12"))</f>
        <v>D12</v>
      </c>
      <c r="AI157" s="394" t="str">
        <f ca="1">IF(RawMaterials[[#This Row],[Lab Quote Count]]&gt;1,10^RawMaterials[[#This Row],[Lab Log-Log Intercept]]*INDIRECT(RawMaterials[[#This Row],[Basis Cell]])^RawMaterials[[#This Row],[Lab Log-Log Slope]],"&gt;&gt;&gt; Enter 2 or more lab quotes &lt;&lt;&lt;")</f>
        <v>&gt;&gt;&gt; Enter 2 or more lab quotes &lt;&lt;&lt;</v>
      </c>
      <c r="AJ15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5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1.6534669663865817</v>
      </c>
      <c r="AL157" s="396">
        <f>IF(ISTEXT(RawMaterials[[#This Row],[Unit price in quote year]]),"Check calcs",RawMaterials[[#This Row],[Unit price in quote year]]/VLOOKUP(RawMaterials[[#This Row],[Quote Year]],ChemPPI[],14,FALSE)*VLOOKUP(BasisYear,ChemPPI[],14,FALSE))</f>
        <v>2.2441109081395125</v>
      </c>
      <c r="AM157" s="397" t="str">
        <f t="shared" si="2"/>
        <v>$/kg (2016)</v>
      </c>
    </row>
    <row r="158" spans="1:39">
      <c r="A158" s="259" t="s">
        <v>1252</v>
      </c>
      <c r="B158" s="260"/>
      <c r="C158" s="351"/>
      <c r="D158" s="351"/>
      <c r="E158" s="260">
        <v>100</v>
      </c>
      <c r="F158" s="260"/>
      <c r="G158" s="351"/>
      <c r="H158" s="351"/>
      <c r="I158" s="262"/>
      <c r="J158" s="351"/>
      <c r="K158" s="351"/>
      <c r="L158" s="351"/>
      <c r="M158" s="351"/>
      <c r="N158" s="351"/>
      <c r="O158" s="351"/>
      <c r="P158" s="261">
        <v>1.6</v>
      </c>
      <c r="Q158" s="260">
        <v>1</v>
      </c>
      <c r="R158" s="260" t="s">
        <v>20</v>
      </c>
      <c r="S158" s="260">
        <v>2008</v>
      </c>
      <c r="T158" s="260" t="s">
        <v>161</v>
      </c>
      <c r="U158" s="386">
        <v>42653</v>
      </c>
      <c r="V158" s="387"/>
      <c r="W158" s="354">
        <f>COUNT(RawMaterials[[#This Row],[Lab Quantity 1]:[Lab Quantity 4]])</f>
        <v>0</v>
      </c>
      <c r="X15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8" s="392" t="e">
        <f>RawMaterials[[#This Row],[Lab Price 1]]/RawMaterials[[#This Row],[Lab Q Model Units 1]]</f>
        <v>#N/A</v>
      </c>
      <c r="AC158" s="392" t="e">
        <f>RawMaterials[[#This Row],[Lab Price 2]]/RawMaterials[[#This Row],[Lab Q Model Units 2]]</f>
        <v>#N/A</v>
      </c>
      <c r="AD158" s="392" t="e">
        <f>RawMaterials[[#This Row],[Lab Price 3]]/RawMaterials[[#This Row],[Lab Q Model Units 3]]</f>
        <v>#N/A</v>
      </c>
      <c r="AE158" s="392" t="e">
        <f>RawMaterials[[#This Row],[Lab Price 4]]/RawMaterials[[#This Row],[Lab Q Model Units 4]]</f>
        <v>#N/A</v>
      </c>
      <c r="AF158" s="392" t="str">
        <f ca="1">IF(RawMaterials[[#This Row],[Lab Quote Count]]&gt;1,SLOPE(LOG(INDIRECT("RawMaterials[@[Lab Unit P 1]:[Lab Unit P "&amp;RawMaterials[[#This Row],[Lab Quote Count]]&amp;"]]")),LOG(INDIRECT("RawMaterials[@[Lab Q Model Units 1]:[Lab Q Model Units "&amp;RawMaterials[[#This Row],[Lab Quote Count]]&amp;"]]"))),"")</f>
        <v/>
      </c>
      <c r="AG158" s="392" t="str">
        <f ca="1">IF(RawMaterials[[#This Row],[Lab Quote Count]]&gt;1,INTERCEPT(LOG(INDIRECT("RawMaterials[@[Lab Unit P 1]:[Lab Unit P "&amp;RawMaterials[[#This Row],[Lab Quote Count]]&amp;"]]")),LOG(INDIRECT("RawMaterials[@[Lab Q Model Units 1]:[Lab Q Model Units "&amp;RawMaterials[[#This Row],[Lab Quote Count]]&amp;"]]"))),"")</f>
        <v/>
      </c>
      <c r="AH158" s="393" t="str">
        <f>IF(RawMaterials[[#This Row],[Material Type]]="Metal Precursor","D13",IF(RawMaterials[[#This Row],[Material Type]]="Ligand","D13","D12"))</f>
        <v>D12</v>
      </c>
      <c r="AI158" s="394" t="str">
        <f ca="1">IF(RawMaterials[[#This Row],[Lab Quote Count]]&gt;1,10^RawMaterials[[#This Row],[Lab Log-Log Intercept]]*INDIRECT(RawMaterials[[#This Row],[Basis Cell]])^RawMaterials[[#This Row],[Lab Log-Log Slope]],"&gt;&gt;&gt; Enter 2 or more lab quotes &lt;&lt;&lt;")</f>
        <v>&gt;&gt;&gt; Enter 2 or more lab quotes &lt;&lt;&lt;</v>
      </c>
      <c r="AJ15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3.5273961949580412</v>
      </c>
      <c r="AL158" s="396">
        <f>IF(ISTEXT(RawMaterials[[#This Row],[Unit price in quote year]]),"Check calcs",RawMaterials[[#This Row],[Unit price in quote year]]/VLOOKUP(RawMaterials[[#This Row],[Quote Year]],ChemPPI[],14,FALSE)*VLOOKUP(BasisYear,ChemPPI[],14,FALSE))</f>
        <v>4.1285412759099929</v>
      </c>
      <c r="AM158" s="397" t="str">
        <f t="shared" si="2"/>
        <v>$/kg (2016)</v>
      </c>
    </row>
    <row r="159" spans="1:39">
      <c r="A159" s="259" t="s">
        <v>1253</v>
      </c>
      <c r="B159" s="260"/>
      <c r="C159" s="351"/>
      <c r="D159" s="351"/>
      <c r="E159" s="260">
        <v>100</v>
      </c>
      <c r="F159" s="260"/>
      <c r="G159" s="351"/>
      <c r="H159" s="351"/>
      <c r="I159" s="262"/>
      <c r="J159" s="351"/>
      <c r="K159" s="351"/>
      <c r="L159" s="351"/>
      <c r="M159" s="351"/>
      <c r="N159" s="351"/>
      <c r="O159" s="351"/>
      <c r="P159" s="261">
        <v>1.675</v>
      </c>
      <c r="Q159" s="260">
        <v>1</v>
      </c>
      <c r="R159" s="260" t="s">
        <v>20</v>
      </c>
      <c r="S159" s="260">
        <v>2008</v>
      </c>
      <c r="T159" s="260" t="s">
        <v>161</v>
      </c>
      <c r="U159" s="386">
        <v>42653</v>
      </c>
      <c r="V159" s="387"/>
      <c r="W159" s="354">
        <f>COUNT(RawMaterials[[#This Row],[Lab Quantity 1]:[Lab Quantity 4]])</f>
        <v>0</v>
      </c>
      <c r="X15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9" s="392" t="e">
        <f>RawMaterials[[#This Row],[Lab Price 1]]/RawMaterials[[#This Row],[Lab Q Model Units 1]]</f>
        <v>#N/A</v>
      </c>
      <c r="AC159" s="392" t="e">
        <f>RawMaterials[[#This Row],[Lab Price 2]]/RawMaterials[[#This Row],[Lab Q Model Units 2]]</f>
        <v>#N/A</v>
      </c>
      <c r="AD159" s="392" t="e">
        <f>RawMaterials[[#This Row],[Lab Price 3]]/RawMaterials[[#This Row],[Lab Q Model Units 3]]</f>
        <v>#N/A</v>
      </c>
      <c r="AE159" s="392" t="e">
        <f>RawMaterials[[#This Row],[Lab Price 4]]/RawMaterials[[#This Row],[Lab Q Model Units 4]]</f>
        <v>#N/A</v>
      </c>
      <c r="AF159" s="392" t="str">
        <f ca="1">IF(RawMaterials[[#This Row],[Lab Quote Count]]&gt;1,SLOPE(LOG(INDIRECT("RawMaterials[@[Lab Unit P 1]:[Lab Unit P "&amp;RawMaterials[[#This Row],[Lab Quote Count]]&amp;"]]")),LOG(INDIRECT("RawMaterials[@[Lab Q Model Units 1]:[Lab Q Model Units "&amp;RawMaterials[[#This Row],[Lab Quote Count]]&amp;"]]"))),"")</f>
        <v/>
      </c>
      <c r="AG159" s="392" t="str">
        <f ca="1">IF(RawMaterials[[#This Row],[Lab Quote Count]]&gt;1,INTERCEPT(LOG(INDIRECT("RawMaterials[@[Lab Unit P 1]:[Lab Unit P "&amp;RawMaterials[[#This Row],[Lab Quote Count]]&amp;"]]")),LOG(INDIRECT("RawMaterials[@[Lab Q Model Units 1]:[Lab Q Model Units "&amp;RawMaterials[[#This Row],[Lab Quote Count]]&amp;"]]"))),"")</f>
        <v/>
      </c>
      <c r="AH159" s="393" t="str">
        <f>IF(RawMaterials[[#This Row],[Material Type]]="Metal Precursor","D13",IF(RawMaterials[[#This Row],[Material Type]]="Ligand","D13","D12"))</f>
        <v>D12</v>
      </c>
      <c r="AI159" s="394" t="str">
        <f ca="1">IF(RawMaterials[[#This Row],[Lab Quote Count]]&gt;1,10^RawMaterials[[#This Row],[Lab Log-Log Intercept]]*INDIRECT(RawMaterials[[#This Row],[Basis Cell]])^RawMaterials[[#This Row],[Lab Log-Log Slope]],"&gt;&gt;&gt; Enter 2 or more lab quotes &lt;&lt;&lt;")</f>
        <v>&gt;&gt;&gt; Enter 2 or more lab quotes &lt;&lt;&lt;</v>
      </c>
      <c r="AJ15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3.6927428915966996</v>
      </c>
      <c r="AL159" s="396">
        <f>IF(ISTEXT(RawMaterials[[#This Row],[Unit price in quote year]]),"Check calcs",RawMaterials[[#This Row],[Unit price in quote year]]/VLOOKUP(RawMaterials[[#This Row],[Quote Year]],ChemPPI[],14,FALSE)*VLOOKUP(BasisYear,ChemPPI[],14,FALSE))</f>
        <v>4.3220666482182741</v>
      </c>
      <c r="AM159" s="397" t="str">
        <f t="shared" si="2"/>
        <v>$/kg (2016)</v>
      </c>
    </row>
    <row r="160" spans="1:39">
      <c r="A160" s="259" t="s">
        <v>1254</v>
      </c>
      <c r="B160" s="260"/>
      <c r="C160" s="351"/>
      <c r="D160" s="351"/>
      <c r="E160" s="260">
        <v>100</v>
      </c>
      <c r="F160" s="260"/>
      <c r="G160" s="351"/>
      <c r="H160" s="351"/>
      <c r="I160" s="262"/>
      <c r="J160" s="351"/>
      <c r="K160" s="351"/>
      <c r="L160" s="351"/>
      <c r="M160" s="351"/>
      <c r="N160" s="351"/>
      <c r="O160" s="351"/>
      <c r="P160" s="261">
        <v>1.56</v>
      </c>
      <c r="Q160" s="260">
        <v>1</v>
      </c>
      <c r="R160" s="260" t="s">
        <v>20</v>
      </c>
      <c r="S160" s="260">
        <v>2008</v>
      </c>
      <c r="T160" s="260" t="s">
        <v>161</v>
      </c>
      <c r="U160" s="386">
        <v>42653</v>
      </c>
      <c r="V160" s="387"/>
      <c r="W160" s="354">
        <f>COUNT(RawMaterials[[#This Row],[Lab Quantity 1]:[Lab Quantity 4]])</f>
        <v>0</v>
      </c>
      <c r="X16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0" s="392" t="e">
        <f>RawMaterials[[#This Row],[Lab Price 1]]/RawMaterials[[#This Row],[Lab Q Model Units 1]]</f>
        <v>#N/A</v>
      </c>
      <c r="AC160" s="392" t="e">
        <f>RawMaterials[[#This Row],[Lab Price 2]]/RawMaterials[[#This Row],[Lab Q Model Units 2]]</f>
        <v>#N/A</v>
      </c>
      <c r="AD160" s="392" t="e">
        <f>RawMaterials[[#This Row],[Lab Price 3]]/RawMaterials[[#This Row],[Lab Q Model Units 3]]</f>
        <v>#N/A</v>
      </c>
      <c r="AE160" s="392" t="e">
        <f>RawMaterials[[#This Row],[Lab Price 4]]/RawMaterials[[#This Row],[Lab Q Model Units 4]]</f>
        <v>#N/A</v>
      </c>
      <c r="AF160" s="392" t="str">
        <f ca="1">IF(RawMaterials[[#This Row],[Lab Quote Count]]&gt;1,SLOPE(LOG(INDIRECT("RawMaterials[@[Lab Unit P 1]:[Lab Unit P "&amp;RawMaterials[[#This Row],[Lab Quote Count]]&amp;"]]")),LOG(INDIRECT("RawMaterials[@[Lab Q Model Units 1]:[Lab Q Model Units "&amp;RawMaterials[[#This Row],[Lab Quote Count]]&amp;"]]"))),"")</f>
        <v/>
      </c>
      <c r="AG160" s="392" t="str">
        <f ca="1">IF(RawMaterials[[#This Row],[Lab Quote Count]]&gt;1,INTERCEPT(LOG(INDIRECT("RawMaterials[@[Lab Unit P 1]:[Lab Unit P "&amp;RawMaterials[[#This Row],[Lab Quote Count]]&amp;"]]")),LOG(INDIRECT("RawMaterials[@[Lab Q Model Units 1]:[Lab Q Model Units "&amp;RawMaterials[[#This Row],[Lab Quote Count]]&amp;"]]"))),"")</f>
        <v/>
      </c>
      <c r="AH160" s="393" t="str">
        <f>IF(RawMaterials[[#This Row],[Material Type]]="Metal Precursor","D13",IF(RawMaterials[[#This Row],[Material Type]]="Ligand","D13","D12"))</f>
        <v>D12</v>
      </c>
      <c r="AI160" s="394" t="str">
        <f ca="1">IF(RawMaterials[[#This Row],[Lab Quote Count]]&gt;1,10^RawMaterials[[#This Row],[Lab Log-Log Intercept]]*INDIRECT(RawMaterials[[#This Row],[Basis Cell]])^RawMaterials[[#This Row],[Lab Log-Log Slope]],"&gt;&gt;&gt; Enter 2 or more lab quotes &lt;&lt;&lt;")</f>
        <v>&gt;&gt;&gt; Enter 2 or more lab quotes &lt;&lt;&lt;</v>
      </c>
      <c r="AJ16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3.4392112900840903</v>
      </c>
      <c r="AL160" s="396">
        <f>IF(ISTEXT(RawMaterials[[#This Row],[Unit price in quote year]]),"Check calcs",RawMaterials[[#This Row],[Unit price in quote year]]/VLOOKUP(RawMaterials[[#This Row],[Quote Year]],ChemPPI[],14,FALSE)*VLOOKUP(BasisYear,ChemPPI[],14,FALSE))</f>
        <v>4.0253277440122428</v>
      </c>
      <c r="AM160" s="397" t="str">
        <f t="shared" si="2"/>
        <v>$/kg (2016)</v>
      </c>
    </row>
    <row r="161" spans="1:39">
      <c r="A161" s="259" t="s">
        <v>1255</v>
      </c>
      <c r="B161" s="260"/>
      <c r="C161" s="351"/>
      <c r="D161" s="351"/>
      <c r="E161" s="260">
        <v>100</v>
      </c>
      <c r="F161" s="260"/>
      <c r="G161" s="351"/>
      <c r="H161" s="351"/>
      <c r="I161" s="262"/>
      <c r="J161" s="351"/>
      <c r="K161" s="351"/>
      <c r="L161" s="351"/>
      <c r="M161" s="351"/>
      <c r="N161" s="351"/>
      <c r="O161" s="351"/>
      <c r="P161" s="261">
        <v>4.3</v>
      </c>
      <c r="Q161" s="260">
        <v>1</v>
      </c>
      <c r="R161" s="260" t="s">
        <v>20</v>
      </c>
      <c r="S161" s="260">
        <v>2006</v>
      </c>
      <c r="T161" s="260" t="s">
        <v>161</v>
      </c>
      <c r="U161" s="386">
        <v>42653</v>
      </c>
      <c r="V161" s="387"/>
      <c r="W161" s="354">
        <f>COUNT(RawMaterials[[#This Row],[Lab Quantity 1]:[Lab Quantity 4]])</f>
        <v>0</v>
      </c>
      <c r="X16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1" s="392" t="e">
        <f>RawMaterials[[#This Row],[Lab Price 1]]/RawMaterials[[#This Row],[Lab Q Model Units 1]]</f>
        <v>#N/A</v>
      </c>
      <c r="AC161" s="392" t="e">
        <f>RawMaterials[[#This Row],[Lab Price 2]]/RawMaterials[[#This Row],[Lab Q Model Units 2]]</f>
        <v>#N/A</v>
      </c>
      <c r="AD161" s="392" t="e">
        <f>RawMaterials[[#This Row],[Lab Price 3]]/RawMaterials[[#This Row],[Lab Q Model Units 3]]</f>
        <v>#N/A</v>
      </c>
      <c r="AE161" s="392" t="e">
        <f>RawMaterials[[#This Row],[Lab Price 4]]/RawMaterials[[#This Row],[Lab Q Model Units 4]]</f>
        <v>#N/A</v>
      </c>
      <c r="AF161" s="392" t="str">
        <f ca="1">IF(RawMaterials[[#This Row],[Lab Quote Count]]&gt;1,SLOPE(LOG(INDIRECT("RawMaterials[@[Lab Unit P 1]:[Lab Unit P "&amp;RawMaterials[[#This Row],[Lab Quote Count]]&amp;"]]")),LOG(INDIRECT("RawMaterials[@[Lab Q Model Units 1]:[Lab Q Model Units "&amp;RawMaterials[[#This Row],[Lab Quote Count]]&amp;"]]"))),"")</f>
        <v/>
      </c>
      <c r="AG161" s="392" t="str">
        <f ca="1">IF(RawMaterials[[#This Row],[Lab Quote Count]]&gt;1,INTERCEPT(LOG(INDIRECT("RawMaterials[@[Lab Unit P 1]:[Lab Unit P "&amp;RawMaterials[[#This Row],[Lab Quote Count]]&amp;"]]")),LOG(INDIRECT("RawMaterials[@[Lab Q Model Units 1]:[Lab Q Model Units "&amp;RawMaterials[[#This Row],[Lab Quote Count]]&amp;"]]"))),"")</f>
        <v/>
      </c>
      <c r="AH161" s="393" t="str">
        <f>IF(RawMaterials[[#This Row],[Material Type]]="Metal Precursor","D13",IF(RawMaterials[[#This Row],[Material Type]]="Ligand","D13","D12"))</f>
        <v>D12</v>
      </c>
      <c r="AI161" s="394" t="str">
        <f ca="1">IF(RawMaterials[[#This Row],[Lab Quote Count]]&gt;1,10^RawMaterials[[#This Row],[Lab Log-Log Intercept]]*INDIRECT(RawMaterials[[#This Row],[Basis Cell]])^RawMaterials[[#This Row],[Lab Log-Log Slope]],"&gt;&gt;&gt; Enter 2 or more lab quotes &lt;&lt;&lt;")</f>
        <v>&gt;&gt;&gt; Enter 2 or more lab quotes &lt;&lt;&lt;</v>
      </c>
      <c r="AJ16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9.4798772739497359</v>
      </c>
      <c r="AL161" s="396">
        <f>IF(ISTEXT(RawMaterials[[#This Row],[Unit price in quote year]]),"Check calcs",RawMaterials[[#This Row],[Unit price in quote year]]/VLOOKUP(RawMaterials[[#This Row],[Quote Year]],ChemPPI[],14,FALSE)*VLOOKUP(BasisYear,ChemPPI[],14,FALSE))</f>
        <v>12.866235873333206</v>
      </c>
      <c r="AM161" s="397" t="str">
        <f t="shared" si="2"/>
        <v>$/kg (2016)</v>
      </c>
    </row>
    <row r="162" spans="1:39">
      <c r="A162" s="259" t="s">
        <v>1256</v>
      </c>
      <c r="B162" s="260"/>
      <c r="C162" s="351"/>
      <c r="D162" s="351"/>
      <c r="E162" s="260">
        <v>100</v>
      </c>
      <c r="F162" s="260"/>
      <c r="G162" s="351"/>
      <c r="H162" s="351"/>
      <c r="I162" s="262"/>
      <c r="J162" s="351"/>
      <c r="K162" s="351"/>
      <c r="L162" s="351"/>
      <c r="M162" s="351"/>
      <c r="N162" s="351"/>
      <c r="O162" s="351"/>
      <c r="P162" s="261">
        <v>0.625</v>
      </c>
      <c r="Q162" s="260">
        <v>1</v>
      </c>
      <c r="R162" s="260" t="s">
        <v>20</v>
      </c>
      <c r="S162" s="260">
        <v>2008</v>
      </c>
      <c r="T162" s="260" t="s">
        <v>161</v>
      </c>
      <c r="U162" s="386">
        <v>42653</v>
      </c>
      <c r="V162" s="387"/>
      <c r="W162" s="354">
        <f>COUNT(RawMaterials[[#This Row],[Lab Quantity 1]:[Lab Quantity 4]])</f>
        <v>0</v>
      </c>
      <c r="X16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2" s="392" t="e">
        <f>RawMaterials[[#This Row],[Lab Price 1]]/RawMaterials[[#This Row],[Lab Q Model Units 1]]</f>
        <v>#N/A</v>
      </c>
      <c r="AC162" s="392" t="e">
        <f>RawMaterials[[#This Row],[Lab Price 2]]/RawMaterials[[#This Row],[Lab Q Model Units 2]]</f>
        <v>#N/A</v>
      </c>
      <c r="AD162" s="392" t="e">
        <f>RawMaterials[[#This Row],[Lab Price 3]]/RawMaterials[[#This Row],[Lab Q Model Units 3]]</f>
        <v>#N/A</v>
      </c>
      <c r="AE162" s="392" t="e">
        <f>RawMaterials[[#This Row],[Lab Price 4]]/RawMaterials[[#This Row],[Lab Q Model Units 4]]</f>
        <v>#N/A</v>
      </c>
      <c r="AF162" s="392" t="str">
        <f ca="1">IF(RawMaterials[[#This Row],[Lab Quote Count]]&gt;1,SLOPE(LOG(INDIRECT("RawMaterials[@[Lab Unit P 1]:[Lab Unit P "&amp;RawMaterials[[#This Row],[Lab Quote Count]]&amp;"]]")),LOG(INDIRECT("RawMaterials[@[Lab Q Model Units 1]:[Lab Q Model Units "&amp;RawMaterials[[#This Row],[Lab Quote Count]]&amp;"]]"))),"")</f>
        <v/>
      </c>
      <c r="AG162" s="392" t="str">
        <f ca="1">IF(RawMaterials[[#This Row],[Lab Quote Count]]&gt;1,INTERCEPT(LOG(INDIRECT("RawMaterials[@[Lab Unit P 1]:[Lab Unit P "&amp;RawMaterials[[#This Row],[Lab Quote Count]]&amp;"]]")),LOG(INDIRECT("RawMaterials[@[Lab Q Model Units 1]:[Lab Q Model Units "&amp;RawMaterials[[#This Row],[Lab Quote Count]]&amp;"]]"))),"")</f>
        <v/>
      </c>
      <c r="AH162" s="393" t="str">
        <f>IF(RawMaterials[[#This Row],[Material Type]]="Metal Precursor","D13",IF(RawMaterials[[#This Row],[Material Type]]="Ligand","D13","D12"))</f>
        <v>D12</v>
      </c>
      <c r="AI162" s="394" t="str">
        <f ca="1">IF(RawMaterials[[#This Row],[Lab Quote Count]]&gt;1,10^RawMaterials[[#This Row],[Lab Log-Log Intercept]]*INDIRECT(RawMaterials[[#This Row],[Basis Cell]])^RawMaterials[[#This Row],[Lab Log-Log Slope]],"&gt;&gt;&gt; Enter 2 or more lab quotes &lt;&lt;&lt;")</f>
        <v>&gt;&gt;&gt; Enter 2 or more lab quotes &lt;&lt;&lt;</v>
      </c>
      <c r="AJ16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1.3778891386554848</v>
      </c>
      <c r="AL162" s="396">
        <f>IF(ISTEXT(RawMaterials[[#This Row],[Unit price in quote year]]),"Check calcs",RawMaterials[[#This Row],[Unit price in quote year]]/VLOOKUP(RawMaterials[[#This Row],[Quote Year]],ChemPPI[],14,FALSE)*VLOOKUP(BasisYear,ChemPPI[],14,FALSE))</f>
        <v>1.6127114359023409</v>
      </c>
      <c r="AM162" s="397" t="str">
        <f t="shared" si="2"/>
        <v>$/kg (2016)</v>
      </c>
    </row>
    <row r="163" spans="1:39">
      <c r="A163" s="259" t="s">
        <v>1257</v>
      </c>
      <c r="B163" s="260"/>
      <c r="C163" s="351"/>
      <c r="D163" s="351"/>
      <c r="E163" s="260">
        <v>100</v>
      </c>
      <c r="F163" s="260"/>
      <c r="G163" s="351"/>
      <c r="H163" s="351"/>
      <c r="I163" s="262"/>
      <c r="J163" s="351"/>
      <c r="K163" s="351"/>
      <c r="L163" s="351"/>
      <c r="M163" s="351"/>
      <c r="N163" s="351"/>
      <c r="O163" s="351"/>
      <c r="P163" s="261">
        <v>0.53499999999999903</v>
      </c>
      <c r="Q163" s="260">
        <v>1</v>
      </c>
      <c r="R163" s="260" t="s">
        <v>20</v>
      </c>
      <c r="S163" s="260">
        <v>2008</v>
      </c>
      <c r="T163" s="260" t="s">
        <v>161</v>
      </c>
      <c r="U163" s="386">
        <v>42653</v>
      </c>
      <c r="V163" s="387"/>
      <c r="W163" s="354">
        <f>COUNT(RawMaterials[[#This Row],[Lab Quantity 1]:[Lab Quantity 4]])</f>
        <v>0</v>
      </c>
      <c r="X16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3" s="392" t="e">
        <f>RawMaterials[[#This Row],[Lab Price 1]]/RawMaterials[[#This Row],[Lab Q Model Units 1]]</f>
        <v>#N/A</v>
      </c>
      <c r="AC163" s="392" t="e">
        <f>RawMaterials[[#This Row],[Lab Price 2]]/RawMaterials[[#This Row],[Lab Q Model Units 2]]</f>
        <v>#N/A</v>
      </c>
      <c r="AD163" s="392" t="e">
        <f>RawMaterials[[#This Row],[Lab Price 3]]/RawMaterials[[#This Row],[Lab Q Model Units 3]]</f>
        <v>#N/A</v>
      </c>
      <c r="AE163" s="392" t="e">
        <f>RawMaterials[[#This Row],[Lab Price 4]]/RawMaterials[[#This Row],[Lab Q Model Units 4]]</f>
        <v>#N/A</v>
      </c>
      <c r="AF163" s="392" t="str">
        <f ca="1">IF(RawMaterials[[#This Row],[Lab Quote Count]]&gt;1,SLOPE(LOG(INDIRECT("RawMaterials[@[Lab Unit P 1]:[Lab Unit P "&amp;RawMaterials[[#This Row],[Lab Quote Count]]&amp;"]]")),LOG(INDIRECT("RawMaterials[@[Lab Q Model Units 1]:[Lab Q Model Units "&amp;RawMaterials[[#This Row],[Lab Quote Count]]&amp;"]]"))),"")</f>
        <v/>
      </c>
      <c r="AG163" s="392" t="str">
        <f ca="1">IF(RawMaterials[[#This Row],[Lab Quote Count]]&gt;1,INTERCEPT(LOG(INDIRECT("RawMaterials[@[Lab Unit P 1]:[Lab Unit P "&amp;RawMaterials[[#This Row],[Lab Quote Count]]&amp;"]]")),LOG(INDIRECT("RawMaterials[@[Lab Q Model Units 1]:[Lab Q Model Units "&amp;RawMaterials[[#This Row],[Lab Quote Count]]&amp;"]]"))),"")</f>
        <v/>
      </c>
      <c r="AH163" s="393" t="str">
        <f>IF(RawMaterials[[#This Row],[Material Type]]="Metal Precursor","D13",IF(RawMaterials[[#This Row],[Material Type]]="Ligand","D13","D12"))</f>
        <v>D12</v>
      </c>
      <c r="AI163" s="394" t="str">
        <f ca="1">IF(RawMaterials[[#This Row],[Lab Quote Count]]&gt;1,10^RawMaterials[[#This Row],[Lab Log-Log Intercept]]*INDIRECT(RawMaterials[[#This Row],[Basis Cell]])^RawMaterials[[#This Row],[Lab Log-Log Slope]],"&gt;&gt;&gt; Enter 2 or more lab quotes &lt;&lt;&lt;")</f>
        <v>&gt;&gt;&gt; Enter 2 or more lab quotes &lt;&lt;&lt;</v>
      </c>
      <c r="AJ16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1.1794731026890928</v>
      </c>
      <c r="AL163" s="396">
        <f>IF(ISTEXT(RawMaterials[[#This Row],[Unit price in quote year]]),"Check calcs",RawMaterials[[#This Row],[Unit price in quote year]]/VLOOKUP(RawMaterials[[#This Row],[Quote Year]],ChemPPI[],14,FALSE)*VLOOKUP(BasisYear,ChemPPI[],14,FALSE))</f>
        <v>1.380480989132401</v>
      </c>
      <c r="AM163" s="397" t="str">
        <f t="shared" si="2"/>
        <v>$/kg (2016)</v>
      </c>
    </row>
    <row r="164" spans="1:39">
      <c r="A164" s="259" t="s">
        <v>1258</v>
      </c>
      <c r="B164" s="260"/>
      <c r="C164" s="351"/>
      <c r="D164" s="351"/>
      <c r="E164" s="260">
        <v>100</v>
      </c>
      <c r="F164" s="260"/>
      <c r="G164" s="351"/>
      <c r="H164" s="351"/>
      <c r="I164" s="262"/>
      <c r="J164" s="351"/>
      <c r="K164" s="351"/>
      <c r="L164" s="351"/>
      <c r="M164" s="351"/>
      <c r="N164" s="351"/>
      <c r="O164" s="351"/>
      <c r="P164" s="261">
        <v>0.76500000000000001</v>
      </c>
      <c r="Q164" s="260">
        <v>1</v>
      </c>
      <c r="R164" s="260" t="s">
        <v>20</v>
      </c>
      <c r="S164" s="260">
        <v>2006</v>
      </c>
      <c r="T164" s="260" t="s">
        <v>161</v>
      </c>
      <c r="U164" s="386">
        <v>42653</v>
      </c>
      <c r="V164" s="387"/>
      <c r="W164" s="354">
        <f>COUNT(RawMaterials[[#This Row],[Lab Quantity 1]:[Lab Quantity 4]])</f>
        <v>0</v>
      </c>
      <c r="X16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4" s="392" t="e">
        <f>RawMaterials[[#This Row],[Lab Price 1]]/RawMaterials[[#This Row],[Lab Q Model Units 1]]</f>
        <v>#N/A</v>
      </c>
      <c r="AC164" s="392" t="e">
        <f>RawMaterials[[#This Row],[Lab Price 2]]/RawMaterials[[#This Row],[Lab Q Model Units 2]]</f>
        <v>#N/A</v>
      </c>
      <c r="AD164" s="392" t="e">
        <f>RawMaterials[[#This Row],[Lab Price 3]]/RawMaterials[[#This Row],[Lab Q Model Units 3]]</f>
        <v>#N/A</v>
      </c>
      <c r="AE164" s="392" t="e">
        <f>RawMaterials[[#This Row],[Lab Price 4]]/RawMaterials[[#This Row],[Lab Q Model Units 4]]</f>
        <v>#N/A</v>
      </c>
      <c r="AF164" s="392" t="str">
        <f ca="1">IF(RawMaterials[[#This Row],[Lab Quote Count]]&gt;1,SLOPE(LOG(INDIRECT("RawMaterials[@[Lab Unit P 1]:[Lab Unit P "&amp;RawMaterials[[#This Row],[Lab Quote Count]]&amp;"]]")),LOG(INDIRECT("RawMaterials[@[Lab Q Model Units 1]:[Lab Q Model Units "&amp;RawMaterials[[#This Row],[Lab Quote Count]]&amp;"]]"))),"")</f>
        <v/>
      </c>
      <c r="AG164" s="392" t="str">
        <f ca="1">IF(RawMaterials[[#This Row],[Lab Quote Count]]&gt;1,INTERCEPT(LOG(INDIRECT("RawMaterials[@[Lab Unit P 1]:[Lab Unit P "&amp;RawMaterials[[#This Row],[Lab Quote Count]]&amp;"]]")),LOG(INDIRECT("RawMaterials[@[Lab Q Model Units 1]:[Lab Q Model Units "&amp;RawMaterials[[#This Row],[Lab Quote Count]]&amp;"]]"))),"")</f>
        <v/>
      </c>
      <c r="AH164" s="393" t="str">
        <f>IF(RawMaterials[[#This Row],[Material Type]]="Metal Precursor","D13",IF(RawMaterials[[#This Row],[Material Type]]="Ligand","D13","D12"))</f>
        <v>D12</v>
      </c>
      <c r="AI164" s="394" t="str">
        <f ca="1">IF(RawMaterials[[#This Row],[Lab Quote Count]]&gt;1,10^RawMaterials[[#This Row],[Lab Log-Log Intercept]]*INDIRECT(RawMaterials[[#This Row],[Basis Cell]])^RawMaterials[[#This Row],[Lab Log-Log Slope]],"&gt;&gt;&gt; Enter 2 or more lab quotes &lt;&lt;&lt;")</f>
        <v>&gt;&gt;&gt; Enter 2 or more lab quotes &lt;&lt;&lt;</v>
      </c>
      <c r="AJ16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1.6865363057143135</v>
      </c>
      <c r="AL164" s="396">
        <f>IF(ISTEXT(RawMaterials[[#This Row],[Unit price in quote year]]),"Check calcs",RawMaterials[[#This Row],[Unit price in quote year]]/VLOOKUP(RawMaterials[[#This Row],[Quote Year]],ChemPPI[],14,FALSE)*VLOOKUP(BasisYear,ChemPPI[],14,FALSE))</f>
        <v>2.2889931263023029</v>
      </c>
      <c r="AM164" s="397" t="str">
        <f t="shared" si="2"/>
        <v>$/kg (2016)</v>
      </c>
    </row>
    <row r="165" spans="1:39">
      <c r="A165" s="259" t="s">
        <v>1259</v>
      </c>
      <c r="B165" s="260"/>
      <c r="C165" s="351"/>
      <c r="D165" s="351">
        <v>0.78900000000000003</v>
      </c>
      <c r="E165" s="260">
        <v>100</v>
      </c>
      <c r="F165" s="260"/>
      <c r="G165" s="351"/>
      <c r="H165" s="351"/>
      <c r="I165" s="262"/>
      <c r="J165" s="351"/>
      <c r="K165" s="351"/>
      <c r="L165" s="351"/>
      <c r="M165" s="351"/>
      <c r="N165" s="351"/>
      <c r="O165" s="351"/>
      <c r="P165" s="261">
        <v>2.4500000000000002</v>
      </c>
      <c r="Q165" s="260">
        <v>1</v>
      </c>
      <c r="R165" s="260" t="s">
        <v>85</v>
      </c>
      <c r="S165" s="260">
        <v>2008</v>
      </c>
      <c r="T165" s="260" t="s">
        <v>161</v>
      </c>
      <c r="U165" s="386">
        <v>42653</v>
      </c>
      <c r="V165" s="387"/>
      <c r="W165" s="354">
        <f>COUNT(RawMaterials[[#This Row],[Lab Quantity 1]:[Lab Quantity 4]])</f>
        <v>0</v>
      </c>
      <c r="X16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5" s="392" t="e">
        <f>RawMaterials[[#This Row],[Lab Price 1]]/RawMaterials[[#This Row],[Lab Q Model Units 1]]</f>
        <v>#N/A</v>
      </c>
      <c r="AC165" s="392" t="e">
        <f>RawMaterials[[#This Row],[Lab Price 2]]/RawMaterials[[#This Row],[Lab Q Model Units 2]]</f>
        <v>#N/A</v>
      </c>
      <c r="AD165" s="392" t="e">
        <f>RawMaterials[[#This Row],[Lab Price 3]]/RawMaterials[[#This Row],[Lab Q Model Units 3]]</f>
        <v>#N/A</v>
      </c>
      <c r="AE165" s="392" t="e">
        <f>RawMaterials[[#This Row],[Lab Price 4]]/RawMaterials[[#This Row],[Lab Q Model Units 4]]</f>
        <v>#N/A</v>
      </c>
      <c r="AF165" s="392" t="str">
        <f ca="1">IF(RawMaterials[[#This Row],[Lab Quote Count]]&gt;1,SLOPE(LOG(INDIRECT("RawMaterials[@[Lab Unit P 1]:[Lab Unit P "&amp;RawMaterials[[#This Row],[Lab Quote Count]]&amp;"]]")),LOG(INDIRECT("RawMaterials[@[Lab Q Model Units 1]:[Lab Q Model Units "&amp;RawMaterials[[#This Row],[Lab Quote Count]]&amp;"]]"))),"")</f>
        <v/>
      </c>
      <c r="AG165" s="392" t="str">
        <f ca="1">IF(RawMaterials[[#This Row],[Lab Quote Count]]&gt;1,INTERCEPT(LOG(INDIRECT("RawMaterials[@[Lab Unit P 1]:[Lab Unit P "&amp;RawMaterials[[#This Row],[Lab Quote Count]]&amp;"]]")),LOG(INDIRECT("RawMaterials[@[Lab Q Model Units 1]:[Lab Q Model Units "&amp;RawMaterials[[#This Row],[Lab Quote Count]]&amp;"]]"))),"")</f>
        <v/>
      </c>
      <c r="AH165" s="393" t="str">
        <f>IF(RawMaterials[[#This Row],[Material Type]]="Metal Precursor","D13",IF(RawMaterials[[#This Row],[Material Type]]="Ligand","D13","D12"))</f>
        <v>D12</v>
      </c>
      <c r="AI165" s="394" t="str">
        <f ca="1">IF(RawMaterials[[#This Row],[Lab Quote Count]]&gt;1,10^RawMaterials[[#This Row],[Lab Log-Log Intercept]]*INDIRECT(RawMaterials[[#This Row],[Basis Cell]])^RawMaterials[[#This Row],[Lab Log-Log Slope]],"&gt;&gt;&gt; Enter 2 or more lab quotes &lt;&lt;&lt;")</f>
        <v>&gt;&gt;&gt; Enter 2 or more lab quotes &lt;&lt;&lt;</v>
      </c>
      <c r="AJ16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0.82030611948981458</v>
      </c>
      <c r="AL165" s="396">
        <f>IF(ISTEXT(RawMaterials[[#This Row],[Unit price in quote year]]),"Check calcs",RawMaterials[[#This Row],[Unit price in quote year]]/VLOOKUP(RawMaterials[[#This Row],[Quote Year]],ChemPPI[],14,FALSE)*VLOOKUP(BasisYear,ChemPPI[],14,FALSE))</f>
        <v>0.96010413517938786</v>
      </c>
      <c r="AM165" s="397" t="str">
        <f t="shared" si="2"/>
        <v>$/kg (2016)</v>
      </c>
    </row>
    <row r="166" spans="1:39">
      <c r="A166" s="259" t="s">
        <v>1260</v>
      </c>
      <c r="B166" s="260"/>
      <c r="C166" s="351"/>
      <c r="D166" s="351">
        <v>0.78900000000000003</v>
      </c>
      <c r="E166" s="260">
        <v>100</v>
      </c>
      <c r="F166" s="260"/>
      <c r="G166" s="351"/>
      <c r="H166" s="351"/>
      <c r="I166" s="262"/>
      <c r="J166" s="351"/>
      <c r="K166" s="351"/>
      <c r="L166" s="351"/>
      <c r="M166" s="351"/>
      <c r="N166" s="351"/>
      <c r="O166" s="351"/>
      <c r="P166" s="261">
        <v>2.5049999999999999</v>
      </c>
      <c r="Q166" s="260">
        <v>1</v>
      </c>
      <c r="R166" s="260" t="s">
        <v>85</v>
      </c>
      <c r="S166" s="260">
        <v>2008</v>
      </c>
      <c r="T166" s="260" t="s">
        <v>161</v>
      </c>
      <c r="U166" s="386">
        <v>42653</v>
      </c>
      <c r="V166" s="387"/>
      <c r="W166" s="354">
        <f>COUNT(RawMaterials[[#This Row],[Lab Quantity 1]:[Lab Quantity 4]])</f>
        <v>0</v>
      </c>
      <c r="X16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6" s="392" t="e">
        <f>RawMaterials[[#This Row],[Lab Price 1]]/RawMaterials[[#This Row],[Lab Q Model Units 1]]</f>
        <v>#N/A</v>
      </c>
      <c r="AC166" s="392" t="e">
        <f>RawMaterials[[#This Row],[Lab Price 2]]/RawMaterials[[#This Row],[Lab Q Model Units 2]]</f>
        <v>#N/A</v>
      </c>
      <c r="AD166" s="392" t="e">
        <f>RawMaterials[[#This Row],[Lab Price 3]]/RawMaterials[[#This Row],[Lab Q Model Units 3]]</f>
        <v>#N/A</v>
      </c>
      <c r="AE166" s="392" t="e">
        <f>RawMaterials[[#This Row],[Lab Price 4]]/RawMaterials[[#This Row],[Lab Q Model Units 4]]</f>
        <v>#N/A</v>
      </c>
      <c r="AF166" s="392" t="str">
        <f ca="1">IF(RawMaterials[[#This Row],[Lab Quote Count]]&gt;1,SLOPE(LOG(INDIRECT("RawMaterials[@[Lab Unit P 1]:[Lab Unit P "&amp;RawMaterials[[#This Row],[Lab Quote Count]]&amp;"]]")),LOG(INDIRECT("RawMaterials[@[Lab Q Model Units 1]:[Lab Q Model Units "&amp;RawMaterials[[#This Row],[Lab Quote Count]]&amp;"]]"))),"")</f>
        <v/>
      </c>
      <c r="AG166" s="392" t="str">
        <f ca="1">IF(RawMaterials[[#This Row],[Lab Quote Count]]&gt;1,INTERCEPT(LOG(INDIRECT("RawMaterials[@[Lab Unit P 1]:[Lab Unit P "&amp;RawMaterials[[#This Row],[Lab Quote Count]]&amp;"]]")),LOG(INDIRECT("RawMaterials[@[Lab Q Model Units 1]:[Lab Q Model Units "&amp;RawMaterials[[#This Row],[Lab Quote Count]]&amp;"]]"))),"")</f>
        <v/>
      </c>
      <c r="AH166" s="393" t="str">
        <f>IF(RawMaterials[[#This Row],[Material Type]]="Metal Precursor","D13",IF(RawMaterials[[#This Row],[Material Type]]="Ligand","D13","D12"))</f>
        <v>D12</v>
      </c>
      <c r="AI166" s="394" t="str">
        <f ca="1">IF(RawMaterials[[#This Row],[Lab Quote Count]]&gt;1,10^RawMaterials[[#This Row],[Lab Log-Log Intercept]]*INDIRECT(RawMaterials[[#This Row],[Basis Cell]])^RawMaterials[[#This Row],[Lab Log-Log Slope]],"&gt;&gt;&gt; Enter 2 or more lab quotes &lt;&lt;&lt;")</f>
        <v>&gt;&gt;&gt; Enter 2 or more lab quotes &lt;&lt;&lt;</v>
      </c>
      <c r="AJ16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0.83872115482530007</v>
      </c>
      <c r="AL166" s="396">
        <f>IF(ISTEXT(RawMaterials[[#This Row],[Unit price in quote year]]),"Check calcs",RawMaterials[[#This Row],[Unit price in quote year]]/VLOOKUP(RawMaterials[[#This Row],[Quote Year]],ChemPPI[],14,FALSE)*VLOOKUP(BasisYear,ChemPPI[],14,FALSE))</f>
        <v>0.98165749331606789</v>
      </c>
      <c r="AM166" s="397" t="str">
        <f t="shared" si="2"/>
        <v>$/kg (2016)</v>
      </c>
    </row>
    <row r="167" spans="1:39">
      <c r="A167" s="259" t="s">
        <v>1261</v>
      </c>
      <c r="B167" s="260"/>
      <c r="C167" s="351"/>
      <c r="D167" s="351">
        <v>0.78900000000000003</v>
      </c>
      <c r="E167" s="260">
        <v>100</v>
      </c>
      <c r="F167" s="260"/>
      <c r="G167" s="351"/>
      <c r="H167" s="351"/>
      <c r="I167" s="262"/>
      <c r="J167" s="351"/>
      <c r="K167" s="351"/>
      <c r="L167" s="351"/>
      <c r="M167" s="351"/>
      <c r="N167" s="351"/>
      <c r="O167" s="351"/>
      <c r="P167" s="261">
        <v>2.6150000000000002</v>
      </c>
      <c r="Q167" s="260">
        <v>1</v>
      </c>
      <c r="R167" s="260" t="s">
        <v>85</v>
      </c>
      <c r="S167" s="260">
        <v>2008</v>
      </c>
      <c r="T167" s="260" t="s">
        <v>161</v>
      </c>
      <c r="U167" s="386">
        <v>42653</v>
      </c>
      <c r="V167" s="387"/>
      <c r="W167" s="354">
        <f>COUNT(RawMaterials[[#This Row],[Lab Quantity 1]:[Lab Quantity 4]])</f>
        <v>0</v>
      </c>
      <c r="X16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7" s="392" t="e">
        <f>RawMaterials[[#This Row],[Lab Price 1]]/RawMaterials[[#This Row],[Lab Q Model Units 1]]</f>
        <v>#N/A</v>
      </c>
      <c r="AC167" s="392" t="e">
        <f>RawMaterials[[#This Row],[Lab Price 2]]/RawMaterials[[#This Row],[Lab Q Model Units 2]]</f>
        <v>#N/A</v>
      </c>
      <c r="AD167" s="392" t="e">
        <f>RawMaterials[[#This Row],[Lab Price 3]]/RawMaterials[[#This Row],[Lab Q Model Units 3]]</f>
        <v>#N/A</v>
      </c>
      <c r="AE167" s="392" t="e">
        <f>RawMaterials[[#This Row],[Lab Price 4]]/RawMaterials[[#This Row],[Lab Q Model Units 4]]</f>
        <v>#N/A</v>
      </c>
      <c r="AF167" s="392" t="str">
        <f ca="1">IF(RawMaterials[[#This Row],[Lab Quote Count]]&gt;1,SLOPE(LOG(INDIRECT("RawMaterials[@[Lab Unit P 1]:[Lab Unit P "&amp;RawMaterials[[#This Row],[Lab Quote Count]]&amp;"]]")),LOG(INDIRECT("RawMaterials[@[Lab Q Model Units 1]:[Lab Q Model Units "&amp;RawMaterials[[#This Row],[Lab Quote Count]]&amp;"]]"))),"")</f>
        <v/>
      </c>
      <c r="AG167" s="392" t="str">
        <f ca="1">IF(RawMaterials[[#This Row],[Lab Quote Count]]&gt;1,INTERCEPT(LOG(INDIRECT("RawMaterials[@[Lab Unit P 1]:[Lab Unit P "&amp;RawMaterials[[#This Row],[Lab Quote Count]]&amp;"]]")),LOG(INDIRECT("RawMaterials[@[Lab Q Model Units 1]:[Lab Q Model Units "&amp;RawMaterials[[#This Row],[Lab Quote Count]]&amp;"]]"))),"")</f>
        <v/>
      </c>
      <c r="AH167" s="393" t="str">
        <f>IF(RawMaterials[[#This Row],[Material Type]]="Metal Precursor","D13",IF(RawMaterials[[#This Row],[Material Type]]="Ligand","D13","D12"))</f>
        <v>D12</v>
      </c>
      <c r="AI167" s="394" t="str">
        <f ca="1">IF(RawMaterials[[#This Row],[Lab Quote Count]]&gt;1,10^RawMaterials[[#This Row],[Lab Log-Log Intercept]]*INDIRECT(RawMaterials[[#This Row],[Basis Cell]])^RawMaterials[[#This Row],[Lab Log-Log Slope]],"&gt;&gt;&gt; Enter 2 or more lab quotes &lt;&lt;&lt;")</f>
        <v>&gt;&gt;&gt; Enter 2 or more lab quotes &lt;&lt;&lt;</v>
      </c>
      <c r="AJ16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0.87555122549627151</v>
      </c>
      <c r="AL167" s="396">
        <f>IF(ISTEXT(RawMaterials[[#This Row],[Unit price in quote year]]),"Check calcs",RawMaterials[[#This Row],[Unit price in quote year]]/VLOOKUP(RawMaterials[[#This Row],[Quote Year]],ChemPPI[],14,FALSE)*VLOOKUP(BasisYear,ChemPPI[],14,FALSE))</f>
        <v>1.0247642095894283</v>
      </c>
      <c r="AM167" s="397" t="str">
        <f t="shared" si="2"/>
        <v>$/kg (2016)</v>
      </c>
    </row>
    <row r="168" spans="1:39">
      <c r="A168" s="259" t="s">
        <v>1262</v>
      </c>
      <c r="B168" s="260"/>
      <c r="C168" s="351"/>
      <c r="D168" s="351">
        <v>0.78900000000000003</v>
      </c>
      <c r="E168" s="260">
        <v>100</v>
      </c>
      <c r="F168" s="260"/>
      <c r="G168" s="351"/>
      <c r="H168" s="351"/>
      <c r="I168" s="262"/>
      <c r="J168" s="351"/>
      <c r="K168" s="351"/>
      <c r="L168" s="351"/>
      <c r="M168" s="351"/>
      <c r="N168" s="351"/>
      <c r="O168" s="351"/>
      <c r="P168" s="261">
        <v>2.605</v>
      </c>
      <c r="Q168" s="260">
        <v>1</v>
      </c>
      <c r="R168" s="260" t="s">
        <v>85</v>
      </c>
      <c r="S168" s="260">
        <v>2008</v>
      </c>
      <c r="T168" s="260" t="s">
        <v>161</v>
      </c>
      <c r="U168" s="386">
        <v>42653</v>
      </c>
      <c r="V168" s="387"/>
      <c r="W168" s="354">
        <f>COUNT(RawMaterials[[#This Row],[Lab Quantity 1]:[Lab Quantity 4]])</f>
        <v>0</v>
      </c>
      <c r="X16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8" s="392" t="e">
        <f>RawMaterials[[#This Row],[Lab Price 1]]/RawMaterials[[#This Row],[Lab Q Model Units 1]]</f>
        <v>#N/A</v>
      </c>
      <c r="AC168" s="392" t="e">
        <f>RawMaterials[[#This Row],[Lab Price 2]]/RawMaterials[[#This Row],[Lab Q Model Units 2]]</f>
        <v>#N/A</v>
      </c>
      <c r="AD168" s="392" t="e">
        <f>RawMaterials[[#This Row],[Lab Price 3]]/RawMaterials[[#This Row],[Lab Q Model Units 3]]</f>
        <v>#N/A</v>
      </c>
      <c r="AE168" s="392" t="e">
        <f>RawMaterials[[#This Row],[Lab Price 4]]/RawMaterials[[#This Row],[Lab Q Model Units 4]]</f>
        <v>#N/A</v>
      </c>
      <c r="AF168" s="392" t="str">
        <f ca="1">IF(RawMaterials[[#This Row],[Lab Quote Count]]&gt;1,SLOPE(LOG(INDIRECT("RawMaterials[@[Lab Unit P 1]:[Lab Unit P "&amp;RawMaterials[[#This Row],[Lab Quote Count]]&amp;"]]")),LOG(INDIRECT("RawMaterials[@[Lab Q Model Units 1]:[Lab Q Model Units "&amp;RawMaterials[[#This Row],[Lab Quote Count]]&amp;"]]"))),"")</f>
        <v/>
      </c>
      <c r="AG168" s="392" t="str">
        <f ca="1">IF(RawMaterials[[#This Row],[Lab Quote Count]]&gt;1,INTERCEPT(LOG(INDIRECT("RawMaterials[@[Lab Unit P 1]:[Lab Unit P "&amp;RawMaterials[[#This Row],[Lab Quote Count]]&amp;"]]")),LOG(INDIRECT("RawMaterials[@[Lab Q Model Units 1]:[Lab Q Model Units "&amp;RawMaterials[[#This Row],[Lab Quote Count]]&amp;"]]"))),"")</f>
        <v/>
      </c>
      <c r="AH168" s="393" t="str">
        <f>IF(RawMaterials[[#This Row],[Material Type]]="Metal Precursor","D13",IF(RawMaterials[[#This Row],[Material Type]]="Ligand","D13","D12"))</f>
        <v>D12</v>
      </c>
      <c r="AI168" s="394" t="str">
        <f ca="1">IF(RawMaterials[[#This Row],[Lab Quote Count]]&gt;1,10^RawMaterials[[#This Row],[Lab Log-Log Intercept]]*INDIRECT(RawMaterials[[#This Row],[Basis Cell]])^RawMaterials[[#This Row],[Lab Log-Log Slope]],"&gt;&gt;&gt; Enter 2 or more lab quotes &lt;&lt;&lt;")</f>
        <v>&gt;&gt;&gt; Enter 2 or more lab quotes &lt;&lt;&lt;</v>
      </c>
      <c r="AJ16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0.87220303725345583</v>
      </c>
      <c r="AL168" s="396">
        <f>IF(ISTEXT(RawMaterials[[#This Row],[Unit price in quote year]]),"Check calcs",RawMaterials[[#This Row],[Unit price in quote year]]/VLOOKUP(RawMaterials[[#This Row],[Quote Year]],ChemPPI[],14,FALSE)*VLOOKUP(BasisYear,ChemPPI[],14,FALSE))</f>
        <v>1.0208454172009409</v>
      </c>
      <c r="AM168" s="397" t="str">
        <f t="shared" si="2"/>
        <v>$/kg (2016)</v>
      </c>
    </row>
    <row r="169" spans="1:39">
      <c r="A169" s="259" t="s">
        <v>1263</v>
      </c>
      <c r="B169" s="260"/>
      <c r="C169" s="351"/>
      <c r="D169" s="351">
        <v>0.78900000000000003</v>
      </c>
      <c r="E169" s="260">
        <v>100</v>
      </c>
      <c r="F169" s="260"/>
      <c r="G169" s="351"/>
      <c r="H169" s="351"/>
      <c r="I169" s="262"/>
      <c r="J169" s="351"/>
      <c r="K169" s="351"/>
      <c r="L169" s="351"/>
      <c r="M169" s="351"/>
      <c r="N169" s="351"/>
      <c r="O169" s="351"/>
      <c r="P169" s="261">
        <v>3.4</v>
      </c>
      <c r="Q169" s="260">
        <v>1</v>
      </c>
      <c r="R169" s="260" t="s">
        <v>85</v>
      </c>
      <c r="S169" s="260">
        <v>2008</v>
      </c>
      <c r="T169" s="260" t="s">
        <v>161</v>
      </c>
      <c r="U169" s="386">
        <v>42653</v>
      </c>
      <c r="V169" s="387"/>
      <c r="W169" s="354">
        <f>COUNT(RawMaterials[[#This Row],[Lab Quantity 1]:[Lab Quantity 4]])</f>
        <v>0</v>
      </c>
      <c r="X16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9" s="392" t="e">
        <f>RawMaterials[[#This Row],[Lab Price 1]]/RawMaterials[[#This Row],[Lab Q Model Units 1]]</f>
        <v>#N/A</v>
      </c>
      <c r="AC169" s="392" t="e">
        <f>RawMaterials[[#This Row],[Lab Price 2]]/RawMaterials[[#This Row],[Lab Q Model Units 2]]</f>
        <v>#N/A</v>
      </c>
      <c r="AD169" s="392" t="e">
        <f>RawMaterials[[#This Row],[Lab Price 3]]/RawMaterials[[#This Row],[Lab Q Model Units 3]]</f>
        <v>#N/A</v>
      </c>
      <c r="AE169" s="392" t="e">
        <f>RawMaterials[[#This Row],[Lab Price 4]]/RawMaterials[[#This Row],[Lab Q Model Units 4]]</f>
        <v>#N/A</v>
      </c>
      <c r="AF169" s="392" t="str">
        <f ca="1">IF(RawMaterials[[#This Row],[Lab Quote Count]]&gt;1,SLOPE(LOG(INDIRECT("RawMaterials[@[Lab Unit P 1]:[Lab Unit P "&amp;RawMaterials[[#This Row],[Lab Quote Count]]&amp;"]]")),LOG(INDIRECT("RawMaterials[@[Lab Q Model Units 1]:[Lab Q Model Units "&amp;RawMaterials[[#This Row],[Lab Quote Count]]&amp;"]]"))),"")</f>
        <v/>
      </c>
      <c r="AG169" s="392" t="str">
        <f ca="1">IF(RawMaterials[[#This Row],[Lab Quote Count]]&gt;1,INTERCEPT(LOG(INDIRECT("RawMaterials[@[Lab Unit P 1]:[Lab Unit P "&amp;RawMaterials[[#This Row],[Lab Quote Count]]&amp;"]]")),LOG(INDIRECT("RawMaterials[@[Lab Q Model Units 1]:[Lab Q Model Units "&amp;RawMaterials[[#This Row],[Lab Quote Count]]&amp;"]]"))),"")</f>
        <v/>
      </c>
      <c r="AH169" s="393" t="str">
        <f>IF(RawMaterials[[#This Row],[Material Type]]="Metal Precursor","D13",IF(RawMaterials[[#This Row],[Material Type]]="Ligand","D13","D12"))</f>
        <v>D12</v>
      </c>
      <c r="AI169" s="394" t="str">
        <f ca="1">IF(RawMaterials[[#This Row],[Lab Quote Count]]&gt;1,10^RawMaterials[[#This Row],[Lab Log-Log Intercept]]*INDIRECT(RawMaterials[[#This Row],[Basis Cell]])^RawMaterials[[#This Row],[Lab Log-Log Slope]],"&gt;&gt;&gt; Enter 2 or more lab quotes &lt;&lt;&lt;")</f>
        <v>&gt;&gt;&gt; Enter 2 or more lab quotes &lt;&lt;&lt;</v>
      </c>
      <c r="AJ16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1.1383840025572936</v>
      </c>
      <c r="AL169" s="396">
        <f>IF(ISTEXT(RawMaterials[[#This Row],[Unit price in quote year]]),"Check calcs",RawMaterials[[#This Row],[Unit price in quote year]]/VLOOKUP(RawMaterials[[#This Row],[Quote Year]],ChemPPI[],14,FALSE)*VLOOKUP(BasisYear,ChemPPI[],14,FALSE))</f>
        <v>1.3323894120856812</v>
      </c>
      <c r="AM169" s="397" t="str">
        <f t="shared" si="2"/>
        <v>$/kg (2016)</v>
      </c>
    </row>
    <row r="170" spans="1:39">
      <c r="A170" s="259" t="s">
        <v>1264</v>
      </c>
      <c r="B170" s="260"/>
      <c r="C170" s="351"/>
      <c r="D170" s="351">
        <v>0.78900000000000003</v>
      </c>
      <c r="E170" s="260">
        <v>100</v>
      </c>
      <c r="F170" s="260"/>
      <c r="G170" s="351"/>
      <c r="H170" s="351"/>
      <c r="I170" s="262"/>
      <c r="J170" s="351"/>
      <c r="K170" s="351"/>
      <c r="L170" s="351"/>
      <c r="M170" s="351"/>
      <c r="N170" s="351"/>
      <c r="O170" s="351"/>
      <c r="P170" s="261">
        <v>3.5999999999999899</v>
      </c>
      <c r="Q170" s="260">
        <v>1</v>
      </c>
      <c r="R170" s="260" t="s">
        <v>85</v>
      </c>
      <c r="S170" s="260">
        <v>2008</v>
      </c>
      <c r="T170" s="260" t="s">
        <v>161</v>
      </c>
      <c r="U170" s="386">
        <v>42653</v>
      </c>
      <c r="V170" s="387"/>
      <c r="W170" s="354">
        <f>COUNT(RawMaterials[[#This Row],[Lab Quantity 1]:[Lab Quantity 4]])</f>
        <v>0</v>
      </c>
      <c r="X17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0" s="392" t="e">
        <f>RawMaterials[[#This Row],[Lab Price 1]]/RawMaterials[[#This Row],[Lab Q Model Units 1]]</f>
        <v>#N/A</v>
      </c>
      <c r="AC170" s="392" t="e">
        <f>RawMaterials[[#This Row],[Lab Price 2]]/RawMaterials[[#This Row],[Lab Q Model Units 2]]</f>
        <v>#N/A</v>
      </c>
      <c r="AD170" s="392" t="e">
        <f>RawMaterials[[#This Row],[Lab Price 3]]/RawMaterials[[#This Row],[Lab Q Model Units 3]]</f>
        <v>#N/A</v>
      </c>
      <c r="AE170" s="392" t="e">
        <f>RawMaterials[[#This Row],[Lab Price 4]]/RawMaterials[[#This Row],[Lab Q Model Units 4]]</f>
        <v>#N/A</v>
      </c>
      <c r="AF170" s="392" t="str">
        <f ca="1">IF(RawMaterials[[#This Row],[Lab Quote Count]]&gt;1,SLOPE(LOG(INDIRECT("RawMaterials[@[Lab Unit P 1]:[Lab Unit P "&amp;RawMaterials[[#This Row],[Lab Quote Count]]&amp;"]]")),LOG(INDIRECT("RawMaterials[@[Lab Q Model Units 1]:[Lab Q Model Units "&amp;RawMaterials[[#This Row],[Lab Quote Count]]&amp;"]]"))),"")</f>
        <v/>
      </c>
      <c r="AG170" s="392" t="str">
        <f ca="1">IF(RawMaterials[[#This Row],[Lab Quote Count]]&gt;1,INTERCEPT(LOG(INDIRECT("RawMaterials[@[Lab Unit P 1]:[Lab Unit P "&amp;RawMaterials[[#This Row],[Lab Quote Count]]&amp;"]]")),LOG(INDIRECT("RawMaterials[@[Lab Q Model Units 1]:[Lab Q Model Units "&amp;RawMaterials[[#This Row],[Lab Quote Count]]&amp;"]]"))),"")</f>
        <v/>
      </c>
      <c r="AH170" s="393" t="str">
        <f>IF(RawMaterials[[#This Row],[Material Type]]="Metal Precursor","D13",IF(RawMaterials[[#This Row],[Material Type]]="Ligand","D13","D12"))</f>
        <v>D12</v>
      </c>
      <c r="AI170" s="394" t="str">
        <f ca="1">IF(RawMaterials[[#This Row],[Lab Quote Count]]&gt;1,10^RawMaterials[[#This Row],[Lab Log-Log Intercept]]*INDIRECT(RawMaterials[[#This Row],[Basis Cell]])^RawMaterials[[#This Row],[Lab Log-Log Slope]],"&gt;&gt;&gt; Enter 2 or more lab quotes &lt;&lt;&lt;")</f>
        <v>&gt;&gt;&gt; Enter 2 or more lab quotes &lt;&lt;&lt;</v>
      </c>
      <c r="AJ17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7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1.2053477674136015</v>
      </c>
      <c r="AL170" s="396">
        <f>IF(ISTEXT(RawMaterials[[#This Row],[Unit price in quote year]]),"Check calcs",RawMaterials[[#This Row],[Unit price in quote year]]/VLOOKUP(RawMaterials[[#This Row],[Quote Year]],ChemPPI[],14,FALSE)*VLOOKUP(BasisYear,ChemPPI[],14,FALSE))</f>
        <v>1.410765259855423</v>
      </c>
      <c r="AM170" s="397" t="str">
        <f t="shared" si="2"/>
        <v>$/kg (2016)</v>
      </c>
    </row>
    <row r="171" spans="1:39">
      <c r="A171" s="259" t="s">
        <v>1265</v>
      </c>
      <c r="B171" s="260"/>
      <c r="C171" s="351"/>
      <c r="D171" s="351"/>
      <c r="E171" s="260">
        <v>100</v>
      </c>
      <c r="F171" s="260"/>
      <c r="G171" s="351"/>
      <c r="H171" s="351"/>
      <c r="I171" s="262"/>
      <c r="J171" s="351"/>
      <c r="K171" s="351"/>
      <c r="L171" s="351"/>
      <c r="M171" s="351"/>
      <c r="N171" s="351"/>
      <c r="O171" s="351"/>
      <c r="P171" s="261">
        <v>3.25</v>
      </c>
      <c r="Q171" s="260">
        <v>1</v>
      </c>
      <c r="R171" s="260" t="s">
        <v>20</v>
      </c>
      <c r="S171" s="260">
        <v>2006</v>
      </c>
      <c r="T171" s="260" t="s">
        <v>161</v>
      </c>
      <c r="U171" s="386">
        <v>42653</v>
      </c>
      <c r="V171" s="387"/>
      <c r="W171" s="354">
        <f>COUNT(RawMaterials[[#This Row],[Lab Quantity 1]:[Lab Quantity 4]])</f>
        <v>0</v>
      </c>
      <c r="X17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1" s="392" t="e">
        <f>RawMaterials[[#This Row],[Lab Price 1]]/RawMaterials[[#This Row],[Lab Q Model Units 1]]</f>
        <v>#N/A</v>
      </c>
      <c r="AC171" s="392" t="e">
        <f>RawMaterials[[#This Row],[Lab Price 2]]/RawMaterials[[#This Row],[Lab Q Model Units 2]]</f>
        <v>#N/A</v>
      </c>
      <c r="AD171" s="392" t="e">
        <f>RawMaterials[[#This Row],[Lab Price 3]]/RawMaterials[[#This Row],[Lab Q Model Units 3]]</f>
        <v>#N/A</v>
      </c>
      <c r="AE171" s="392" t="e">
        <f>RawMaterials[[#This Row],[Lab Price 4]]/RawMaterials[[#This Row],[Lab Q Model Units 4]]</f>
        <v>#N/A</v>
      </c>
      <c r="AF171" s="392" t="str">
        <f ca="1">IF(RawMaterials[[#This Row],[Lab Quote Count]]&gt;1,SLOPE(LOG(INDIRECT("RawMaterials[@[Lab Unit P 1]:[Lab Unit P "&amp;RawMaterials[[#This Row],[Lab Quote Count]]&amp;"]]")),LOG(INDIRECT("RawMaterials[@[Lab Q Model Units 1]:[Lab Q Model Units "&amp;RawMaterials[[#This Row],[Lab Quote Count]]&amp;"]]"))),"")</f>
        <v/>
      </c>
      <c r="AG171" s="392" t="str">
        <f ca="1">IF(RawMaterials[[#This Row],[Lab Quote Count]]&gt;1,INTERCEPT(LOG(INDIRECT("RawMaterials[@[Lab Unit P 1]:[Lab Unit P "&amp;RawMaterials[[#This Row],[Lab Quote Count]]&amp;"]]")),LOG(INDIRECT("RawMaterials[@[Lab Q Model Units 1]:[Lab Q Model Units "&amp;RawMaterials[[#This Row],[Lab Quote Count]]&amp;"]]"))),"")</f>
        <v/>
      </c>
      <c r="AH171" s="393" t="str">
        <f>IF(RawMaterials[[#This Row],[Material Type]]="Metal Precursor","D13",IF(RawMaterials[[#This Row],[Material Type]]="Ligand","D13","D12"))</f>
        <v>D12</v>
      </c>
      <c r="AI171" s="394" t="str">
        <f ca="1">IF(RawMaterials[[#This Row],[Lab Quote Count]]&gt;1,10^RawMaterials[[#This Row],[Lab Log-Log Intercept]]*INDIRECT(RawMaterials[[#This Row],[Basis Cell]])^RawMaterials[[#This Row],[Lab Log-Log Slope]],"&gt;&gt;&gt; Enter 2 or more lab quotes &lt;&lt;&lt;")</f>
        <v>&gt;&gt;&gt; Enter 2 or more lab quotes &lt;&lt;&lt;</v>
      </c>
      <c r="AJ17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7.1650235210085214</v>
      </c>
      <c r="AL171" s="396">
        <f>IF(ISTEXT(RawMaterials[[#This Row],[Unit price in quote year]]),"Check calcs",RawMaterials[[#This Row],[Unit price in quote year]]/VLOOKUP(RawMaterials[[#This Row],[Quote Year]],ChemPPI[],14,FALSE)*VLOOKUP(BasisYear,ChemPPI[],14,FALSE))</f>
        <v>9.7244806019378895</v>
      </c>
      <c r="AM171" s="397" t="str">
        <f t="shared" si="2"/>
        <v>$/kg (2016)</v>
      </c>
    </row>
    <row r="172" spans="1:39">
      <c r="A172" s="259" t="s">
        <v>1266</v>
      </c>
      <c r="B172" s="260"/>
      <c r="C172" s="351"/>
      <c r="D172" s="351"/>
      <c r="E172" s="260">
        <v>100</v>
      </c>
      <c r="F172" s="260"/>
      <c r="G172" s="351"/>
      <c r="H172" s="351"/>
      <c r="I172" s="262"/>
      <c r="J172" s="351"/>
      <c r="K172" s="351"/>
      <c r="L172" s="351"/>
      <c r="M172" s="351"/>
      <c r="N172" s="351"/>
      <c r="O172" s="351"/>
      <c r="P172" s="261">
        <v>22.25</v>
      </c>
      <c r="Q172" s="260">
        <v>1</v>
      </c>
      <c r="R172" s="260" t="s">
        <v>71</v>
      </c>
      <c r="S172" s="260">
        <v>2006</v>
      </c>
      <c r="T172" s="260" t="s">
        <v>161</v>
      </c>
      <c r="U172" s="386">
        <v>42653</v>
      </c>
      <c r="V172" s="387"/>
      <c r="W172" s="354">
        <f>COUNT(RawMaterials[[#This Row],[Lab Quantity 1]:[Lab Quantity 4]])</f>
        <v>0</v>
      </c>
      <c r="X17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2" s="392" t="e">
        <f>RawMaterials[[#This Row],[Lab Price 1]]/RawMaterials[[#This Row],[Lab Q Model Units 1]]</f>
        <v>#N/A</v>
      </c>
      <c r="AC172" s="392" t="e">
        <f>RawMaterials[[#This Row],[Lab Price 2]]/RawMaterials[[#This Row],[Lab Q Model Units 2]]</f>
        <v>#N/A</v>
      </c>
      <c r="AD172" s="392" t="e">
        <f>RawMaterials[[#This Row],[Lab Price 3]]/RawMaterials[[#This Row],[Lab Q Model Units 3]]</f>
        <v>#N/A</v>
      </c>
      <c r="AE172" s="392" t="e">
        <f>RawMaterials[[#This Row],[Lab Price 4]]/RawMaterials[[#This Row],[Lab Q Model Units 4]]</f>
        <v>#N/A</v>
      </c>
      <c r="AF172" s="392" t="str">
        <f ca="1">IF(RawMaterials[[#This Row],[Lab Quote Count]]&gt;1,SLOPE(LOG(INDIRECT("RawMaterials[@[Lab Unit P 1]:[Lab Unit P "&amp;RawMaterials[[#This Row],[Lab Quote Count]]&amp;"]]")),LOG(INDIRECT("RawMaterials[@[Lab Q Model Units 1]:[Lab Q Model Units "&amp;RawMaterials[[#This Row],[Lab Quote Count]]&amp;"]]"))),"")</f>
        <v/>
      </c>
      <c r="AG172" s="392" t="str">
        <f ca="1">IF(RawMaterials[[#This Row],[Lab Quote Count]]&gt;1,INTERCEPT(LOG(INDIRECT("RawMaterials[@[Lab Unit P 1]:[Lab Unit P "&amp;RawMaterials[[#This Row],[Lab Quote Count]]&amp;"]]")),LOG(INDIRECT("RawMaterials[@[Lab Q Model Units 1]:[Lab Q Model Units "&amp;RawMaterials[[#This Row],[Lab Quote Count]]&amp;"]]"))),"")</f>
        <v/>
      </c>
      <c r="AH172" s="393" t="str">
        <f>IF(RawMaterials[[#This Row],[Material Type]]="Metal Precursor","D13",IF(RawMaterials[[#This Row],[Material Type]]="Ligand","D13","D12"))</f>
        <v>D12</v>
      </c>
      <c r="AI172" s="394" t="str">
        <f ca="1">IF(RawMaterials[[#This Row],[Lab Quote Count]]&gt;1,10^RawMaterials[[#This Row],[Lab Log-Log Intercept]]*INDIRECT(RawMaterials[[#This Row],[Basis Cell]])^RawMaterials[[#This Row],[Lab Log-Log Slope]],"&gt;&gt;&gt; Enter 2 or more lab quotes &lt;&lt;&lt;")</f>
        <v>&gt;&gt;&gt; Enter 2 or more lab quotes &lt;&lt;&lt;</v>
      </c>
      <c r="AJ17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22.25</v>
      </c>
      <c r="AL172" s="396">
        <f>IF(ISTEXT(RawMaterials[[#This Row],[Unit price in quote year]]),"Check calcs",RawMaterials[[#This Row],[Unit price in quote year]]/VLOOKUP(RawMaterials[[#This Row],[Quote Year]],ChemPPI[],14,FALSE)*VLOOKUP(BasisYear,ChemPPI[],14,FALSE))</f>
        <v>30.198043699186996</v>
      </c>
      <c r="AM172" s="397" t="str">
        <f t="shared" si="2"/>
        <v>$/kg (2016)</v>
      </c>
    </row>
    <row r="173" spans="1:39">
      <c r="A173" s="259" t="s">
        <v>1267</v>
      </c>
      <c r="B173" s="260"/>
      <c r="C173" s="351"/>
      <c r="D173" s="351"/>
      <c r="E173" s="260">
        <v>100</v>
      </c>
      <c r="F173" s="260"/>
      <c r="G173" s="351"/>
      <c r="H173" s="351"/>
      <c r="I173" s="262"/>
      <c r="J173" s="351"/>
      <c r="K173" s="351"/>
      <c r="L173" s="351"/>
      <c r="M173" s="351"/>
      <c r="N173" s="351"/>
      <c r="O173" s="351"/>
      <c r="P173" s="261">
        <v>1.2050000000000001</v>
      </c>
      <c r="Q173" s="260">
        <v>1</v>
      </c>
      <c r="R173" s="260" t="s">
        <v>20</v>
      </c>
      <c r="S173" s="260">
        <v>2006</v>
      </c>
      <c r="T173" s="260" t="s">
        <v>161</v>
      </c>
      <c r="U173" s="386">
        <v>42653</v>
      </c>
      <c r="V173" s="387"/>
      <c r="W173" s="354">
        <f>COUNT(RawMaterials[[#This Row],[Lab Quantity 1]:[Lab Quantity 4]])</f>
        <v>0</v>
      </c>
      <c r="X17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3" s="392" t="e">
        <f>RawMaterials[[#This Row],[Lab Price 1]]/RawMaterials[[#This Row],[Lab Q Model Units 1]]</f>
        <v>#N/A</v>
      </c>
      <c r="AC173" s="392" t="e">
        <f>RawMaterials[[#This Row],[Lab Price 2]]/RawMaterials[[#This Row],[Lab Q Model Units 2]]</f>
        <v>#N/A</v>
      </c>
      <c r="AD173" s="392" t="e">
        <f>RawMaterials[[#This Row],[Lab Price 3]]/RawMaterials[[#This Row],[Lab Q Model Units 3]]</f>
        <v>#N/A</v>
      </c>
      <c r="AE173" s="392" t="e">
        <f>RawMaterials[[#This Row],[Lab Price 4]]/RawMaterials[[#This Row],[Lab Q Model Units 4]]</f>
        <v>#N/A</v>
      </c>
      <c r="AF173" s="392" t="str">
        <f ca="1">IF(RawMaterials[[#This Row],[Lab Quote Count]]&gt;1,SLOPE(LOG(INDIRECT("RawMaterials[@[Lab Unit P 1]:[Lab Unit P "&amp;RawMaterials[[#This Row],[Lab Quote Count]]&amp;"]]")),LOG(INDIRECT("RawMaterials[@[Lab Q Model Units 1]:[Lab Q Model Units "&amp;RawMaterials[[#This Row],[Lab Quote Count]]&amp;"]]"))),"")</f>
        <v/>
      </c>
      <c r="AG173" s="392" t="str">
        <f ca="1">IF(RawMaterials[[#This Row],[Lab Quote Count]]&gt;1,INTERCEPT(LOG(INDIRECT("RawMaterials[@[Lab Unit P 1]:[Lab Unit P "&amp;RawMaterials[[#This Row],[Lab Quote Count]]&amp;"]]")),LOG(INDIRECT("RawMaterials[@[Lab Q Model Units 1]:[Lab Q Model Units "&amp;RawMaterials[[#This Row],[Lab Quote Count]]&amp;"]]"))),"")</f>
        <v/>
      </c>
      <c r="AH173" s="393" t="str">
        <f>IF(RawMaterials[[#This Row],[Material Type]]="Metal Precursor","D13",IF(RawMaterials[[#This Row],[Material Type]]="Ligand","D13","D12"))</f>
        <v>D12</v>
      </c>
      <c r="AI173" s="394" t="str">
        <f ca="1">IF(RawMaterials[[#This Row],[Lab Quote Count]]&gt;1,10^RawMaterials[[#This Row],[Lab Log-Log Intercept]]*INDIRECT(RawMaterials[[#This Row],[Basis Cell]])^RawMaterials[[#This Row],[Lab Log-Log Slope]],"&gt;&gt;&gt; Enter 2 or more lab quotes &lt;&lt;&lt;")</f>
        <v>&gt;&gt;&gt; Enter 2 or more lab quotes &lt;&lt;&lt;</v>
      </c>
      <c r="AJ17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2.6565702593277747</v>
      </c>
      <c r="AL173" s="396">
        <f>IF(ISTEXT(RawMaterials[[#This Row],[Unit price in quote year]]),"Check calcs",RawMaterials[[#This Row],[Unit price in quote year]]/VLOOKUP(RawMaterials[[#This Row],[Quote Year]],ChemPPI[],14,FALSE)*VLOOKUP(BasisYear,ChemPPI[],14,FALSE))</f>
        <v>3.6055381924108167</v>
      </c>
      <c r="AM173" s="397" t="str">
        <f t="shared" si="2"/>
        <v>$/kg (2016)</v>
      </c>
    </row>
    <row r="174" spans="1:39">
      <c r="A174" s="259" t="s">
        <v>1268</v>
      </c>
      <c r="B174" s="260"/>
      <c r="C174" s="351"/>
      <c r="D174" s="351"/>
      <c r="E174" s="260">
        <v>100</v>
      </c>
      <c r="F174" s="260"/>
      <c r="G174" s="351"/>
      <c r="H174" s="351"/>
      <c r="I174" s="262"/>
      <c r="J174" s="351"/>
      <c r="K174" s="351"/>
      <c r="L174" s="351"/>
      <c r="M174" s="351"/>
      <c r="N174" s="351"/>
      <c r="O174" s="351"/>
      <c r="P174" s="261">
        <v>1.29</v>
      </c>
      <c r="Q174" s="260">
        <v>1</v>
      </c>
      <c r="R174" s="260" t="s">
        <v>20</v>
      </c>
      <c r="S174" s="260">
        <v>2006</v>
      </c>
      <c r="T174" s="260" t="s">
        <v>161</v>
      </c>
      <c r="U174" s="386">
        <v>42653</v>
      </c>
      <c r="V174" s="387"/>
      <c r="W174" s="354">
        <f>COUNT(RawMaterials[[#This Row],[Lab Quantity 1]:[Lab Quantity 4]])</f>
        <v>0</v>
      </c>
      <c r="X17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4" s="392" t="e">
        <f>RawMaterials[[#This Row],[Lab Price 1]]/RawMaterials[[#This Row],[Lab Q Model Units 1]]</f>
        <v>#N/A</v>
      </c>
      <c r="AC174" s="392" t="e">
        <f>RawMaterials[[#This Row],[Lab Price 2]]/RawMaterials[[#This Row],[Lab Q Model Units 2]]</f>
        <v>#N/A</v>
      </c>
      <c r="AD174" s="392" t="e">
        <f>RawMaterials[[#This Row],[Lab Price 3]]/RawMaterials[[#This Row],[Lab Q Model Units 3]]</f>
        <v>#N/A</v>
      </c>
      <c r="AE174" s="392" t="e">
        <f>RawMaterials[[#This Row],[Lab Price 4]]/RawMaterials[[#This Row],[Lab Q Model Units 4]]</f>
        <v>#N/A</v>
      </c>
      <c r="AF174" s="392" t="str">
        <f ca="1">IF(RawMaterials[[#This Row],[Lab Quote Count]]&gt;1,SLOPE(LOG(INDIRECT("RawMaterials[@[Lab Unit P 1]:[Lab Unit P "&amp;RawMaterials[[#This Row],[Lab Quote Count]]&amp;"]]")),LOG(INDIRECT("RawMaterials[@[Lab Q Model Units 1]:[Lab Q Model Units "&amp;RawMaterials[[#This Row],[Lab Quote Count]]&amp;"]]"))),"")</f>
        <v/>
      </c>
      <c r="AG174" s="392" t="str">
        <f ca="1">IF(RawMaterials[[#This Row],[Lab Quote Count]]&gt;1,INTERCEPT(LOG(INDIRECT("RawMaterials[@[Lab Unit P 1]:[Lab Unit P "&amp;RawMaterials[[#This Row],[Lab Quote Count]]&amp;"]]")),LOG(INDIRECT("RawMaterials[@[Lab Q Model Units 1]:[Lab Q Model Units "&amp;RawMaterials[[#This Row],[Lab Quote Count]]&amp;"]]"))),"")</f>
        <v/>
      </c>
      <c r="AH174" s="393" t="str">
        <f>IF(RawMaterials[[#This Row],[Material Type]]="Metal Precursor","D13",IF(RawMaterials[[#This Row],[Material Type]]="Ligand","D13","D12"))</f>
        <v>D12</v>
      </c>
      <c r="AI174" s="394" t="str">
        <f ca="1">IF(RawMaterials[[#This Row],[Lab Quote Count]]&gt;1,10^RawMaterials[[#This Row],[Lab Log-Log Intercept]]*INDIRECT(RawMaterials[[#This Row],[Basis Cell]])^RawMaterials[[#This Row],[Lab Log-Log Slope]],"&gt;&gt;&gt; Enter 2 or more lab quotes &lt;&lt;&lt;")</f>
        <v>&gt;&gt;&gt; Enter 2 or more lab quotes &lt;&lt;&lt;</v>
      </c>
      <c r="AJ17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2.8439631821849209</v>
      </c>
      <c r="AL174" s="396">
        <f>IF(ISTEXT(RawMaterials[[#This Row],[Unit price in quote year]]),"Check calcs",RawMaterials[[#This Row],[Unit price in quote year]]/VLOOKUP(RawMaterials[[#This Row],[Quote Year]],ChemPPI[],14,FALSE)*VLOOKUP(BasisYear,ChemPPI[],14,FALSE))</f>
        <v>3.8598707619999622</v>
      </c>
      <c r="AM174" s="397" t="str">
        <f t="shared" si="2"/>
        <v>$/kg (2016)</v>
      </c>
    </row>
    <row r="175" spans="1:39">
      <c r="A175" s="259" t="s">
        <v>1269</v>
      </c>
      <c r="B175" s="260"/>
      <c r="C175" s="351"/>
      <c r="D175" s="351"/>
      <c r="E175" s="260">
        <v>100</v>
      </c>
      <c r="F175" s="260"/>
      <c r="G175" s="351"/>
      <c r="H175" s="351"/>
      <c r="I175" s="262"/>
      <c r="J175" s="351"/>
      <c r="K175" s="351"/>
      <c r="L175" s="351"/>
      <c r="M175" s="351"/>
      <c r="N175" s="351"/>
      <c r="O175" s="351"/>
      <c r="P175" s="261">
        <v>1.21</v>
      </c>
      <c r="Q175" s="260">
        <v>1</v>
      </c>
      <c r="R175" s="260" t="s">
        <v>20</v>
      </c>
      <c r="S175" s="260">
        <v>2006</v>
      </c>
      <c r="T175" s="260" t="s">
        <v>161</v>
      </c>
      <c r="U175" s="386">
        <v>42653</v>
      </c>
      <c r="V175" s="387"/>
      <c r="W175" s="354">
        <f>COUNT(RawMaterials[[#This Row],[Lab Quantity 1]:[Lab Quantity 4]])</f>
        <v>0</v>
      </c>
      <c r="X17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5" s="392" t="e">
        <f>RawMaterials[[#This Row],[Lab Price 1]]/RawMaterials[[#This Row],[Lab Q Model Units 1]]</f>
        <v>#N/A</v>
      </c>
      <c r="AC175" s="392" t="e">
        <f>RawMaterials[[#This Row],[Lab Price 2]]/RawMaterials[[#This Row],[Lab Q Model Units 2]]</f>
        <v>#N/A</v>
      </c>
      <c r="AD175" s="392" t="e">
        <f>RawMaterials[[#This Row],[Lab Price 3]]/RawMaterials[[#This Row],[Lab Q Model Units 3]]</f>
        <v>#N/A</v>
      </c>
      <c r="AE175" s="392" t="e">
        <f>RawMaterials[[#This Row],[Lab Price 4]]/RawMaterials[[#This Row],[Lab Q Model Units 4]]</f>
        <v>#N/A</v>
      </c>
      <c r="AF175" s="392" t="str">
        <f ca="1">IF(RawMaterials[[#This Row],[Lab Quote Count]]&gt;1,SLOPE(LOG(INDIRECT("RawMaterials[@[Lab Unit P 1]:[Lab Unit P "&amp;RawMaterials[[#This Row],[Lab Quote Count]]&amp;"]]")),LOG(INDIRECT("RawMaterials[@[Lab Q Model Units 1]:[Lab Q Model Units "&amp;RawMaterials[[#This Row],[Lab Quote Count]]&amp;"]]"))),"")</f>
        <v/>
      </c>
      <c r="AG175" s="392" t="str">
        <f ca="1">IF(RawMaterials[[#This Row],[Lab Quote Count]]&gt;1,INTERCEPT(LOG(INDIRECT("RawMaterials[@[Lab Unit P 1]:[Lab Unit P "&amp;RawMaterials[[#This Row],[Lab Quote Count]]&amp;"]]")),LOG(INDIRECT("RawMaterials[@[Lab Q Model Units 1]:[Lab Q Model Units "&amp;RawMaterials[[#This Row],[Lab Quote Count]]&amp;"]]"))),"")</f>
        <v/>
      </c>
      <c r="AH175" s="393" t="str">
        <f>IF(RawMaterials[[#This Row],[Material Type]]="Metal Precursor","D13",IF(RawMaterials[[#This Row],[Material Type]]="Ligand","D13","D12"))</f>
        <v>D12</v>
      </c>
      <c r="AI175" s="394" t="str">
        <f ca="1">IF(RawMaterials[[#This Row],[Lab Quote Count]]&gt;1,10^RawMaterials[[#This Row],[Lab Log-Log Intercept]]*INDIRECT(RawMaterials[[#This Row],[Basis Cell]])^RawMaterials[[#This Row],[Lab Log-Log Slope]],"&gt;&gt;&gt; Enter 2 or more lab quotes &lt;&lt;&lt;")</f>
        <v>&gt;&gt;&gt; Enter 2 or more lab quotes &lt;&lt;&lt;</v>
      </c>
      <c r="AJ17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2.6675933724370187</v>
      </c>
      <c r="AL175" s="396">
        <f>IF(ISTEXT(RawMaterials[[#This Row],[Unit price in quote year]]),"Check calcs",RawMaterials[[#This Row],[Unit price in quote year]]/VLOOKUP(RawMaterials[[#This Row],[Quote Year]],ChemPPI[],14,FALSE)*VLOOKUP(BasisYear,ChemPPI[],14,FALSE))</f>
        <v>3.620498931798414</v>
      </c>
      <c r="AM175" s="397" t="str">
        <f t="shared" si="2"/>
        <v>$/kg (2016)</v>
      </c>
    </row>
    <row r="176" spans="1:39">
      <c r="A176" s="259" t="s">
        <v>1270</v>
      </c>
      <c r="B176" s="260"/>
      <c r="C176" s="351"/>
      <c r="D176" s="351"/>
      <c r="E176" s="260">
        <v>100</v>
      </c>
      <c r="F176" s="260"/>
      <c r="G176" s="351"/>
      <c r="H176" s="351"/>
      <c r="I176" s="262"/>
      <c r="J176" s="351"/>
      <c r="K176" s="351"/>
      <c r="L176" s="351"/>
      <c r="M176" s="351"/>
      <c r="N176" s="351"/>
      <c r="O176" s="351"/>
      <c r="P176" s="261">
        <v>1.2149999999999901</v>
      </c>
      <c r="Q176" s="260">
        <v>1</v>
      </c>
      <c r="R176" s="260" t="s">
        <v>20</v>
      </c>
      <c r="S176" s="260">
        <v>2006</v>
      </c>
      <c r="T176" s="260" t="s">
        <v>161</v>
      </c>
      <c r="U176" s="386">
        <v>42653</v>
      </c>
      <c r="V176" s="387"/>
      <c r="W176" s="354">
        <f>COUNT(RawMaterials[[#This Row],[Lab Quantity 1]:[Lab Quantity 4]])</f>
        <v>0</v>
      </c>
      <c r="X17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6" s="392" t="e">
        <f>RawMaterials[[#This Row],[Lab Price 1]]/RawMaterials[[#This Row],[Lab Q Model Units 1]]</f>
        <v>#N/A</v>
      </c>
      <c r="AC176" s="392" t="e">
        <f>RawMaterials[[#This Row],[Lab Price 2]]/RawMaterials[[#This Row],[Lab Q Model Units 2]]</f>
        <v>#N/A</v>
      </c>
      <c r="AD176" s="392" t="e">
        <f>RawMaterials[[#This Row],[Lab Price 3]]/RawMaterials[[#This Row],[Lab Q Model Units 3]]</f>
        <v>#N/A</v>
      </c>
      <c r="AE176" s="392" t="e">
        <f>RawMaterials[[#This Row],[Lab Price 4]]/RawMaterials[[#This Row],[Lab Q Model Units 4]]</f>
        <v>#N/A</v>
      </c>
      <c r="AF176" s="392" t="str">
        <f ca="1">IF(RawMaterials[[#This Row],[Lab Quote Count]]&gt;1,SLOPE(LOG(INDIRECT("RawMaterials[@[Lab Unit P 1]:[Lab Unit P "&amp;RawMaterials[[#This Row],[Lab Quote Count]]&amp;"]]")),LOG(INDIRECT("RawMaterials[@[Lab Q Model Units 1]:[Lab Q Model Units "&amp;RawMaterials[[#This Row],[Lab Quote Count]]&amp;"]]"))),"")</f>
        <v/>
      </c>
      <c r="AG176" s="392" t="str">
        <f ca="1">IF(RawMaterials[[#This Row],[Lab Quote Count]]&gt;1,INTERCEPT(LOG(INDIRECT("RawMaterials[@[Lab Unit P 1]:[Lab Unit P "&amp;RawMaterials[[#This Row],[Lab Quote Count]]&amp;"]]")),LOG(INDIRECT("RawMaterials[@[Lab Q Model Units 1]:[Lab Q Model Units "&amp;RawMaterials[[#This Row],[Lab Quote Count]]&amp;"]]"))),"")</f>
        <v/>
      </c>
      <c r="AH176" s="393" t="str">
        <f>IF(RawMaterials[[#This Row],[Material Type]]="Metal Precursor","D13",IF(RawMaterials[[#This Row],[Material Type]]="Ligand","D13","D12"))</f>
        <v>D12</v>
      </c>
      <c r="AI176" s="394" t="str">
        <f ca="1">IF(RawMaterials[[#This Row],[Lab Quote Count]]&gt;1,10^RawMaterials[[#This Row],[Lab Log-Log Intercept]]*INDIRECT(RawMaterials[[#This Row],[Basis Cell]])^RawMaterials[[#This Row],[Lab Log-Log Slope]],"&gt;&gt;&gt; Enter 2 or more lab quotes &lt;&lt;&lt;")</f>
        <v>&gt;&gt;&gt; Enter 2 or more lab quotes &lt;&lt;&lt;</v>
      </c>
      <c r="AJ17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2.6786164855462404</v>
      </c>
      <c r="AL176" s="396">
        <f>IF(ISTEXT(RawMaterials[[#This Row],[Unit price in quote year]]),"Check calcs",RawMaterials[[#This Row],[Unit price in quote year]]/VLOOKUP(RawMaterials[[#This Row],[Quote Year]],ChemPPI[],14,FALSE)*VLOOKUP(BasisYear,ChemPPI[],14,FALSE))</f>
        <v>3.6354596711859801</v>
      </c>
      <c r="AM176" s="397" t="str">
        <f t="shared" si="2"/>
        <v>$/kg (2016)</v>
      </c>
    </row>
    <row r="177" spans="1:39">
      <c r="A177" s="259" t="s">
        <v>1271</v>
      </c>
      <c r="B177" s="260"/>
      <c r="C177" s="351"/>
      <c r="D177" s="351"/>
      <c r="E177" s="260">
        <v>100</v>
      </c>
      <c r="F177" s="260"/>
      <c r="G177" s="351"/>
      <c r="H177" s="351"/>
      <c r="I177" s="262"/>
      <c r="J177" s="351"/>
      <c r="K177" s="351"/>
      <c r="L177" s="351"/>
      <c r="M177" s="351"/>
      <c r="N177" s="351"/>
      <c r="O177" s="351"/>
      <c r="P177" s="261">
        <v>1.355</v>
      </c>
      <c r="Q177" s="260">
        <v>1</v>
      </c>
      <c r="R177" s="260" t="s">
        <v>20</v>
      </c>
      <c r="S177" s="260">
        <v>2006</v>
      </c>
      <c r="T177" s="260" t="s">
        <v>161</v>
      </c>
      <c r="U177" s="386">
        <v>42653</v>
      </c>
      <c r="V177" s="387"/>
      <c r="W177" s="354">
        <f>COUNT(RawMaterials[[#This Row],[Lab Quantity 1]:[Lab Quantity 4]])</f>
        <v>0</v>
      </c>
      <c r="X17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7" s="392" t="e">
        <f>RawMaterials[[#This Row],[Lab Price 1]]/RawMaterials[[#This Row],[Lab Q Model Units 1]]</f>
        <v>#N/A</v>
      </c>
      <c r="AC177" s="392" t="e">
        <f>RawMaterials[[#This Row],[Lab Price 2]]/RawMaterials[[#This Row],[Lab Q Model Units 2]]</f>
        <v>#N/A</v>
      </c>
      <c r="AD177" s="392" t="e">
        <f>RawMaterials[[#This Row],[Lab Price 3]]/RawMaterials[[#This Row],[Lab Q Model Units 3]]</f>
        <v>#N/A</v>
      </c>
      <c r="AE177" s="392" t="e">
        <f>RawMaterials[[#This Row],[Lab Price 4]]/RawMaterials[[#This Row],[Lab Q Model Units 4]]</f>
        <v>#N/A</v>
      </c>
      <c r="AF177" s="392" t="str">
        <f ca="1">IF(RawMaterials[[#This Row],[Lab Quote Count]]&gt;1,SLOPE(LOG(INDIRECT("RawMaterials[@[Lab Unit P 1]:[Lab Unit P "&amp;RawMaterials[[#This Row],[Lab Quote Count]]&amp;"]]")),LOG(INDIRECT("RawMaterials[@[Lab Q Model Units 1]:[Lab Q Model Units "&amp;RawMaterials[[#This Row],[Lab Quote Count]]&amp;"]]"))),"")</f>
        <v/>
      </c>
      <c r="AG177" s="392" t="str">
        <f ca="1">IF(RawMaterials[[#This Row],[Lab Quote Count]]&gt;1,INTERCEPT(LOG(INDIRECT("RawMaterials[@[Lab Unit P 1]:[Lab Unit P "&amp;RawMaterials[[#This Row],[Lab Quote Count]]&amp;"]]")),LOG(INDIRECT("RawMaterials[@[Lab Q Model Units 1]:[Lab Q Model Units "&amp;RawMaterials[[#This Row],[Lab Quote Count]]&amp;"]]"))),"")</f>
        <v/>
      </c>
      <c r="AH177" s="393" t="str">
        <f>IF(RawMaterials[[#This Row],[Material Type]]="Metal Precursor","D13",IF(RawMaterials[[#This Row],[Material Type]]="Ligand","D13","D12"))</f>
        <v>D12</v>
      </c>
      <c r="AI177" s="394" t="str">
        <f ca="1">IF(RawMaterials[[#This Row],[Lab Quote Count]]&gt;1,10^RawMaterials[[#This Row],[Lab Log-Log Intercept]]*INDIRECT(RawMaterials[[#This Row],[Basis Cell]])^RawMaterials[[#This Row],[Lab Log-Log Slope]],"&gt;&gt;&gt; Enter 2 or more lab quotes &lt;&lt;&lt;")</f>
        <v>&gt;&gt;&gt; Enter 2 or more lab quotes &lt;&lt;&lt;</v>
      </c>
      <c r="AJ17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2.9872636526050909</v>
      </c>
      <c r="AL177" s="396">
        <f>IF(ISTEXT(RawMaterials[[#This Row],[Unit price in quote year]]),"Check calcs",RawMaterials[[#This Row],[Unit price in quote year]]/VLOOKUP(RawMaterials[[#This Row],[Quote Year]],ChemPPI[],14,FALSE)*VLOOKUP(BasisYear,ChemPPI[],14,FALSE))</f>
        <v>4.0543603740387191</v>
      </c>
      <c r="AM177" s="397" t="str">
        <f t="shared" si="2"/>
        <v>$/kg (2016)</v>
      </c>
    </row>
    <row r="178" spans="1:39">
      <c r="A178" s="259" t="s">
        <v>1272</v>
      </c>
      <c r="B178" s="260"/>
      <c r="C178" s="351"/>
      <c r="D178" s="351"/>
      <c r="E178" s="260">
        <v>100</v>
      </c>
      <c r="F178" s="260"/>
      <c r="G178" s="351"/>
      <c r="H178" s="351"/>
      <c r="I178" s="262"/>
      <c r="J178" s="351"/>
      <c r="K178" s="351"/>
      <c r="L178" s="351"/>
      <c r="M178" s="351"/>
      <c r="N178" s="351"/>
      <c r="O178" s="351"/>
      <c r="P178" s="261">
        <v>1.2749999999999999</v>
      </c>
      <c r="Q178" s="260">
        <v>1</v>
      </c>
      <c r="R178" s="260" t="s">
        <v>20</v>
      </c>
      <c r="S178" s="260">
        <v>2006</v>
      </c>
      <c r="T178" s="260" t="s">
        <v>161</v>
      </c>
      <c r="U178" s="386">
        <v>42653</v>
      </c>
      <c r="V178" s="387"/>
      <c r="W178" s="354">
        <f>COUNT(RawMaterials[[#This Row],[Lab Quantity 1]:[Lab Quantity 4]])</f>
        <v>0</v>
      </c>
      <c r="X17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8" s="392" t="e">
        <f>RawMaterials[[#This Row],[Lab Price 1]]/RawMaterials[[#This Row],[Lab Q Model Units 1]]</f>
        <v>#N/A</v>
      </c>
      <c r="AC178" s="392" t="e">
        <f>RawMaterials[[#This Row],[Lab Price 2]]/RawMaterials[[#This Row],[Lab Q Model Units 2]]</f>
        <v>#N/A</v>
      </c>
      <c r="AD178" s="392" t="e">
        <f>RawMaterials[[#This Row],[Lab Price 3]]/RawMaterials[[#This Row],[Lab Q Model Units 3]]</f>
        <v>#N/A</v>
      </c>
      <c r="AE178" s="392" t="e">
        <f>RawMaterials[[#This Row],[Lab Price 4]]/RawMaterials[[#This Row],[Lab Q Model Units 4]]</f>
        <v>#N/A</v>
      </c>
      <c r="AF178" s="392" t="str">
        <f ca="1">IF(RawMaterials[[#This Row],[Lab Quote Count]]&gt;1,SLOPE(LOG(INDIRECT("RawMaterials[@[Lab Unit P 1]:[Lab Unit P "&amp;RawMaterials[[#This Row],[Lab Quote Count]]&amp;"]]")),LOG(INDIRECT("RawMaterials[@[Lab Q Model Units 1]:[Lab Q Model Units "&amp;RawMaterials[[#This Row],[Lab Quote Count]]&amp;"]]"))),"")</f>
        <v/>
      </c>
      <c r="AG178" s="392" t="str">
        <f ca="1">IF(RawMaterials[[#This Row],[Lab Quote Count]]&gt;1,INTERCEPT(LOG(INDIRECT("RawMaterials[@[Lab Unit P 1]:[Lab Unit P "&amp;RawMaterials[[#This Row],[Lab Quote Count]]&amp;"]]")),LOG(INDIRECT("RawMaterials[@[Lab Q Model Units 1]:[Lab Q Model Units "&amp;RawMaterials[[#This Row],[Lab Quote Count]]&amp;"]]"))),"")</f>
        <v/>
      </c>
      <c r="AH178" s="393" t="str">
        <f>IF(RawMaterials[[#This Row],[Material Type]]="Metal Precursor","D13",IF(RawMaterials[[#This Row],[Material Type]]="Ligand","D13","D12"))</f>
        <v>D12</v>
      </c>
      <c r="AI178" s="394" t="str">
        <f ca="1">IF(RawMaterials[[#This Row],[Lab Quote Count]]&gt;1,10^RawMaterials[[#This Row],[Lab Log-Log Intercept]]*INDIRECT(RawMaterials[[#This Row],[Basis Cell]])^RawMaterials[[#This Row],[Lab Log-Log Slope]],"&gt;&gt;&gt; Enter 2 or more lab quotes &lt;&lt;&lt;")</f>
        <v>&gt;&gt;&gt; Enter 2 or more lab quotes &lt;&lt;&lt;</v>
      </c>
      <c r="AJ17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2.810893842857189</v>
      </c>
      <c r="AL178" s="396">
        <f>IF(ISTEXT(RawMaterials[[#This Row],[Unit price in quote year]]),"Check calcs",RawMaterials[[#This Row],[Unit price in quote year]]/VLOOKUP(RawMaterials[[#This Row],[Quote Year]],ChemPPI[],14,FALSE)*VLOOKUP(BasisYear,ChemPPI[],14,FALSE))</f>
        <v>3.8149885438371713</v>
      </c>
      <c r="AM178" s="397" t="str">
        <f t="shared" si="2"/>
        <v>$/kg (2016)</v>
      </c>
    </row>
    <row r="179" spans="1:39">
      <c r="A179" s="259" t="s">
        <v>1273</v>
      </c>
      <c r="B179" s="260"/>
      <c r="C179" s="351"/>
      <c r="D179" s="351"/>
      <c r="E179" s="260">
        <v>100</v>
      </c>
      <c r="F179" s="260"/>
      <c r="G179" s="351"/>
      <c r="H179" s="351"/>
      <c r="I179" s="262"/>
      <c r="J179" s="351"/>
      <c r="K179" s="351"/>
      <c r="L179" s="351"/>
      <c r="M179" s="351"/>
      <c r="N179" s="351"/>
      <c r="O179" s="351"/>
      <c r="P179" s="261">
        <v>0.57499999999999996</v>
      </c>
      <c r="Q179" s="260">
        <v>1</v>
      </c>
      <c r="R179" s="260" t="s">
        <v>20</v>
      </c>
      <c r="S179" s="260">
        <v>2008</v>
      </c>
      <c r="T179" s="260" t="s">
        <v>161</v>
      </c>
      <c r="U179" s="386">
        <v>42653</v>
      </c>
      <c r="V179" s="387"/>
      <c r="W179" s="354">
        <f>COUNT(RawMaterials[[#This Row],[Lab Quantity 1]:[Lab Quantity 4]])</f>
        <v>0</v>
      </c>
      <c r="X17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9" s="392" t="e">
        <f>RawMaterials[[#This Row],[Lab Price 1]]/RawMaterials[[#This Row],[Lab Q Model Units 1]]</f>
        <v>#N/A</v>
      </c>
      <c r="AC179" s="392" t="e">
        <f>RawMaterials[[#This Row],[Lab Price 2]]/RawMaterials[[#This Row],[Lab Q Model Units 2]]</f>
        <v>#N/A</v>
      </c>
      <c r="AD179" s="392" t="e">
        <f>RawMaterials[[#This Row],[Lab Price 3]]/RawMaterials[[#This Row],[Lab Q Model Units 3]]</f>
        <v>#N/A</v>
      </c>
      <c r="AE179" s="392" t="e">
        <f>RawMaterials[[#This Row],[Lab Price 4]]/RawMaterials[[#This Row],[Lab Q Model Units 4]]</f>
        <v>#N/A</v>
      </c>
      <c r="AF179" s="392" t="str">
        <f ca="1">IF(RawMaterials[[#This Row],[Lab Quote Count]]&gt;1,SLOPE(LOG(INDIRECT("RawMaterials[@[Lab Unit P 1]:[Lab Unit P "&amp;RawMaterials[[#This Row],[Lab Quote Count]]&amp;"]]")),LOG(INDIRECT("RawMaterials[@[Lab Q Model Units 1]:[Lab Q Model Units "&amp;RawMaterials[[#This Row],[Lab Quote Count]]&amp;"]]"))),"")</f>
        <v/>
      </c>
      <c r="AG179" s="392" t="str">
        <f ca="1">IF(RawMaterials[[#This Row],[Lab Quote Count]]&gt;1,INTERCEPT(LOG(INDIRECT("RawMaterials[@[Lab Unit P 1]:[Lab Unit P "&amp;RawMaterials[[#This Row],[Lab Quote Count]]&amp;"]]")),LOG(INDIRECT("RawMaterials[@[Lab Q Model Units 1]:[Lab Q Model Units "&amp;RawMaterials[[#This Row],[Lab Quote Count]]&amp;"]]"))),"")</f>
        <v/>
      </c>
      <c r="AH179" s="393" t="str">
        <f>IF(RawMaterials[[#This Row],[Material Type]]="Metal Precursor","D13",IF(RawMaterials[[#This Row],[Material Type]]="Ligand","D13","D12"))</f>
        <v>D12</v>
      </c>
      <c r="AI179" s="394" t="str">
        <f ca="1">IF(RawMaterials[[#This Row],[Lab Quote Count]]&gt;1,10^RawMaterials[[#This Row],[Lab Log-Log Intercept]]*INDIRECT(RawMaterials[[#This Row],[Basis Cell]])^RawMaterials[[#This Row],[Lab Log-Log Slope]],"&gt;&gt;&gt; Enter 2 or more lab quotes &lt;&lt;&lt;")</f>
        <v>&gt;&gt;&gt; Enter 2 or more lab quotes &lt;&lt;&lt;</v>
      </c>
      <c r="AJ17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1.2676580075630459</v>
      </c>
      <c r="AL179" s="396">
        <f>IF(ISTEXT(RawMaterials[[#This Row],[Unit price in quote year]]),"Check calcs",RawMaterials[[#This Row],[Unit price in quote year]]/VLOOKUP(RawMaterials[[#This Row],[Quote Year]],ChemPPI[],14,FALSE)*VLOOKUP(BasisYear,ChemPPI[],14,FALSE))</f>
        <v>1.4836945210301533</v>
      </c>
      <c r="AM179" s="397" t="str">
        <f t="shared" si="2"/>
        <v>$/kg (2016)</v>
      </c>
    </row>
    <row r="180" spans="1:39">
      <c r="A180" s="259" t="s">
        <v>1274</v>
      </c>
      <c r="B180" s="260"/>
      <c r="C180" s="351"/>
      <c r="D180" s="351"/>
      <c r="E180" s="260">
        <v>100</v>
      </c>
      <c r="F180" s="260"/>
      <c r="G180" s="351"/>
      <c r="H180" s="351"/>
      <c r="I180" s="262"/>
      <c r="J180" s="351"/>
      <c r="K180" s="351"/>
      <c r="L180" s="351"/>
      <c r="M180" s="351"/>
      <c r="N180" s="351"/>
      <c r="O180" s="351"/>
      <c r="P180" s="261">
        <v>390</v>
      </c>
      <c r="Q180" s="260">
        <v>1</v>
      </c>
      <c r="R180" s="260" t="s">
        <v>1112</v>
      </c>
      <c r="S180" s="260">
        <v>2008</v>
      </c>
      <c r="T180" s="260" t="s">
        <v>161</v>
      </c>
      <c r="U180" s="386">
        <v>42653</v>
      </c>
      <c r="V180" s="387"/>
      <c r="W180" s="354">
        <f>COUNT(RawMaterials[[#This Row],[Lab Quantity 1]:[Lab Quantity 4]])</f>
        <v>0</v>
      </c>
      <c r="X18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0" s="392" t="e">
        <f>RawMaterials[[#This Row],[Lab Price 1]]/RawMaterials[[#This Row],[Lab Q Model Units 1]]</f>
        <v>#N/A</v>
      </c>
      <c r="AC180" s="392" t="e">
        <f>RawMaterials[[#This Row],[Lab Price 2]]/RawMaterials[[#This Row],[Lab Q Model Units 2]]</f>
        <v>#N/A</v>
      </c>
      <c r="AD180" s="392" t="e">
        <f>RawMaterials[[#This Row],[Lab Price 3]]/RawMaterials[[#This Row],[Lab Q Model Units 3]]</f>
        <v>#N/A</v>
      </c>
      <c r="AE180" s="392" t="e">
        <f>RawMaterials[[#This Row],[Lab Price 4]]/RawMaterials[[#This Row],[Lab Q Model Units 4]]</f>
        <v>#N/A</v>
      </c>
      <c r="AF180" s="392" t="str">
        <f ca="1">IF(RawMaterials[[#This Row],[Lab Quote Count]]&gt;1,SLOPE(LOG(INDIRECT("RawMaterials[@[Lab Unit P 1]:[Lab Unit P "&amp;RawMaterials[[#This Row],[Lab Quote Count]]&amp;"]]")),LOG(INDIRECT("RawMaterials[@[Lab Q Model Units 1]:[Lab Q Model Units "&amp;RawMaterials[[#This Row],[Lab Quote Count]]&amp;"]]"))),"")</f>
        <v/>
      </c>
      <c r="AG180" s="392" t="str">
        <f ca="1">IF(RawMaterials[[#This Row],[Lab Quote Count]]&gt;1,INTERCEPT(LOG(INDIRECT("RawMaterials[@[Lab Unit P 1]:[Lab Unit P "&amp;RawMaterials[[#This Row],[Lab Quote Count]]&amp;"]]")),LOG(INDIRECT("RawMaterials[@[Lab Q Model Units 1]:[Lab Q Model Units "&amp;RawMaterials[[#This Row],[Lab Quote Count]]&amp;"]]"))),"")</f>
        <v/>
      </c>
      <c r="AH180" s="393" t="str">
        <f>IF(RawMaterials[[#This Row],[Material Type]]="Metal Precursor","D13",IF(RawMaterials[[#This Row],[Material Type]]="Ligand","D13","D12"))</f>
        <v>D12</v>
      </c>
      <c r="AI180" s="394" t="str">
        <f ca="1">IF(RawMaterials[[#This Row],[Lab Quote Count]]&gt;1,10^RawMaterials[[#This Row],[Lab Log-Log Intercept]]*INDIRECT(RawMaterials[[#This Row],[Basis Cell]])^RawMaterials[[#This Row],[Lab Log-Log Slope]],"&gt;&gt;&gt; Enter 2 or more lab quotes &lt;&lt;&lt;")</f>
        <v>&gt;&gt;&gt; Enter 2 or more lab quotes &lt;&lt;&lt;</v>
      </c>
      <c r="AJ18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18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0.39</v>
      </c>
      <c r="AL180" s="396">
        <f>IF(ISTEXT(RawMaterials[[#This Row],[Unit price in quote year]]),"Check calcs",RawMaterials[[#This Row],[Unit price in quote year]]/VLOOKUP(RawMaterials[[#This Row],[Quote Year]],ChemPPI[],14,FALSE)*VLOOKUP(BasisYear,ChemPPI[],14,FALSE))</f>
        <v>0.45646448785831667</v>
      </c>
      <c r="AM180" s="397" t="str">
        <f t="shared" si="2"/>
        <v>$/kg (2016)</v>
      </c>
    </row>
    <row r="181" spans="1:39">
      <c r="A181" s="259" t="s">
        <v>1275</v>
      </c>
      <c r="B181" s="260"/>
      <c r="C181" s="351"/>
      <c r="D181" s="351"/>
      <c r="E181" s="260">
        <v>100</v>
      </c>
      <c r="F181" s="260"/>
      <c r="G181" s="351"/>
      <c r="H181" s="351"/>
      <c r="I181" s="262"/>
      <c r="J181" s="351"/>
      <c r="K181" s="351"/>
      <c r="L181" s="351"/>
      <c r="M181" s="351"/>
      <c r="N181" s="351"/>
      <c r="O181" s="351"/>
      <c r="P181" s="261">
        <v>0.72499999999999998</v>
      </c>
      <c r="Q181" s="260">
        <v>1</v>
      </c>
      <c r="R181" s="260" t="s">
        <v>20</v>
      </c>
      <c r="S181" s="260">
        <v>2006</v>
      </c>
      <c r="T181" s="260" t="s">
        <v>161</v>
      </c>
      <c r="U181" s="386">
        <v>42653</v>
      </c>
      <c r="V181" s="387"/>
      <c r="W181" s="354">
        <f>COUNT(RawMaterials[[#This Row],[Lab Quantity 1]:[Lab Quantity 4]])</f>
        <v>0</v>
      </c>
      <c r="X18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1" s="392" t="e">
        <f>RawMaterials[[#This Row],[Lab Price 1]]/RawMaterials[[#This Row],[Lab Q Model Units 1]]</f>
        <v>#N/A</v>
      </c>
      <c r="AC181" s="392" t="e">
        <f>RawMaterials[[#This Row],[Lab Price 2]]/RawMaterials[[#This Row],[Lab Q Model Units 2]]</f>
        <v>#N/A</v>
      </c>
      <c r="AD181" s="392" t="e">
        <f>RawMaterials[[#This Row],[Lab Price 3]]/RawMaterials[[#This Row],[Lab Q Model Units 3]]</f>
        <v>#N/A</v>
      </c>
      <c r="AE181" s="392" t="e">
        <f>RawMaterials[[#This Row],[Lab Price 4]]/RawMaterials[[#This Row],[Lab Q Model Units 4]]</f>
        <v>#N/A</v>
      </c>
      <c r="AF181" s="392" t="str">
        <f ca="1">IF(RawMaterials[[#This Row],[Lab Quote Count]]&gt;1,SLOPE(LOG(INDIRECT("RawMaterials[@[Lab Unit P 1]:[Lab Unit P "&amp;RawMaterials[[#This Row],[Lab Quote Count]]&amp;"]]")),LOG(INDIRECT("RawMaterials[@[Lab Q Model Units 1]:[Lab Q Model Units "&amp;RawMaterials[[#This Row],[Lab Quote Count]]&amp;"]]"))),"")</f>
        <v/>
      </c>
      <c r="AG181" s="392" t="str">
        <f ca="1">IF(RawMaterials[[#This Row],[Lab Quote Count]]&gt;1,INTERCEPT(LOG(INDIRECT("RawMaterials[@[Lab Unit P 1]:[Lab Unit P "&amp;RawMaterials[[#This Row],[Lab Quote Count]]&amp;"]]")),LOG(INDIRECT("RawMaterials[@[Lab Q Model Units 1]:[Lab Q Model Units "&amp;RawMaterials[[#This Row],[Lab Quote Count]]&amp;"]]"))),"")</f>
        <v/>
      </c>
      <c r="AH181" s="393" t="str">
        <f>IF(RawMaterials[[#This Row],[Material Type]]="Metal Precursor","D13",IF(RawMaterials[[#This Row],[Material Type]]="Ligand","D13","D12"))</f>
        <v>D12</v>
      </c>
      <c r="AI181" s="394" t="str">
        <f ca="1">IF(RawMaterials[[#This Row],[Lab Quote Count]]&gt;1,10^RawMaterials[[#This Row],[Lab Log-Log Intercept]]*INDIRECT(RawMaterials[[#This Row],[Basis Cell]])^RawMaterials[[#This Row],[Lab Log-Log Slope]],"&gt;&gt;&gt; Enter 2 or more lab quotes &lt;&lt;&lt;")</f>
        <v>&gt;&gt;&gt; Enter 2 or more lab quotes &lt;&lt;&lt;</v>
      </c>
      <c r="AJ18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1.5983514008403623</v>
      </c>
      <c r="AL181" s="396">
        <f>IF(ISTEXT(RawMaterials[[#This Row],[Unit price in quote year]]),"Check calcs",RawMaterials[[#This Row],[Unit price in quote year]]/VLOOKUP(RawMaterials[[#This Row],[Quote Year]],ChemPPI[],14,FALSE)*VLOOKUP(BasisYear,ChemPPI[],14,FALSE))</f>
        <v>2.1693072112015286</v>
      </c>
      <c r="AM181" s="397" t="str">
        <f t="shared" si="2"/>
        <v>$/kg (2016)</v>
      </c>
    </row>
    <row r="182" spans="1:39">
      <c r="A182" s="259" t="s">
        <v>1276</v>
      </c>
      <c r="B182" s="260"/>
      <c r="C182" s="351"/>
      <c r="D182" s="351"/>
      <c r="E182" s="260">
        <v>100</v>
      </c>
      <c r="F182" s="260"/>
      <c r="G182" s="351"/>
      <c r="H182" s="351"/>
      <c r="I182" s="262"/>
      <c r="J182" s="351"/>
      <c r="K182" s="351"/>
      <c r="L182" s="351"/>
      <c r="M182" s="351"/>
      <c r="N182" s="351"/>
      <c r="O182" s="351"/>
      <c r="P182" s="261">
        <v>0.65</v>
      </c>
      <c r="Q182" s="260">
        <v>1</v>
      </c>
      <c r="R182" s="260" t="s">
        <v>20</v>
      </c>
      <c r="S182" s="260">
        <v>2006</v>
      </c>
      <c r="T182" s="260" t="s">
        <v>161</v>
      </c>
      <c r="U182" s="386">
        <v>42653</v>
      </c>
      <c r="V182" s="387"/>
      <c r="W182" s="354">
        <f>COUNT(RawMaterials[[#This Row],[Lab Quantity 1]:[Lab Quantity 4]])</f>
        <v>0</v>
      </c>
      <c r="X18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2" s="392" t="e">
        <f>RawMaterials[[#This Row],[Lab Price 1]]/RawMaterials[[#This Row],[Lab Q Model Units 1]]</f>
        <v>#N/A</v>
      </c>
      <c r="AC182" s="392" t="e">
        <f>RawMaterials[[#This Row],[Lab Price 2]]/RawMaterials[[#This Row],[Lab Q Model Units 2]]</f>
        <v>#N/A</v>
      </c>
      <c r="AD182" s="392" t="e">
        <f>RawMaterials[[#This Row],[Lab Price 3]]/RawMaterials[[#This Row],[Lab Q Model Units 3]]</f>
        <v>#N/A</v>
      </c>
      <c r="AE182" s="392" t="e">
        <f>RawMaterials[[#This Row],[Lab Price 4]]/RawMaterials[[#This Row],[Lab Q Model Units 4]]</f>
        <v>#N/A</v>
      </c>
      <c r="AF182" s="392" t="str">
        <f ca="1">IF(RawMaterials[[#This Row],[Lab Quote Count]]&gt;1,SLOPE(LOG(INDIRECT("RawMaterials[@[Lab Unit P 1]:[Lab Unit P "&amp;RawMaterials[[#This Row],[Lab Quote Count]]&amp;"]]")),LOG(INDIRECT("RawMaterials[@[Lab Q Model Units 1]:[Lab Q Model Units "&amp;RawMaterials[[#This Row],[Lab Quote Count]]&amp;"]]"))),"")</f>
        <v/>
      </c>
      <c r="AG182" s="392" t="str">
        <f ca="1">IF(RawMaterials[[#This Row],[Lab Quote Count]]&gt;1,INTERCEPT(LOG(INDIRECT("RawMaterials[@[Lab Unit P 1]:[Lab Unit P "&amp;RawMaterials[[#This Row],[Lab Quote Count]]&amp;"]]")),LOG(INDIRECT("RawMaterials[@[Lab Q Model Units 1]:[Lab Q Model Units "&amp;RawMaterials[[#This Row],[Lab Quote Count]]&amp;"]]"))),"")</f>
        <v/>
      </c>
      <c r="AH182" s="393" t="str">
        <f>IF(RawMaterials[[#This Row],[Material Type]]="Metal Precursor","D13",IF(RawMaterials[[#This Row],[Material Type]]="Ligand","D13","D12"))</f>
        <v>D12</v>
      </c>
      <c r="AI182" s="394" t="str">
        <f ca="1">IF(RawMaterials[[#This Row],[Lab Quote Count]]&gt;1,10^RawMaterials[[#This Row],[Lab Log-Log Intercept]]*INDIRECT(RawMaterials[[#This Row],[Basis Cell]])^RawMaterials[[#This Row],[Lab Log-Log Slope]],"&gt;&gt;&gt; Enter 2 or more lab quotes &lt;&lt;&lt;")</f>
        <v>&gt;&gt;&gt; Enter 2 or more lab quotes &lt;&lt;&lt;</v>
      </c>
      <c r="AJ18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1.4330047042017042</v>
      </c>
      <c r="AL182" s="396">
        <f>IF(ISTEXT(RawMaterials[[#This Row],[Unit price in quote year]]),"Check calcs",RawMaterials[[#This Row],[Unit price in quote year]]/VLOOKUP(RawMaterials[[#This Row],[Quote Year]],ChemPPI[],14,FALSE)*VLOOKUP(BasisYear,ChemPPI[],14,FALSE))</f>
        <v>1.9448961203875776</v>
      </c>
      <c r="AM182" s="397" t="str">
        <f t="shared" si="2"/>
        <v>$/kg (2016)</v>
      </c>
    </row>
    <row r="183" spans="1:39">
      <c r="A183" s="259" t="s">
        <v>1277</v>
      </c>
      <c r="B183" s="260"/>
      <c r="C183" s="351"/>
      <c r="D183" s="351"/>
      <c r="E183" s="260">
        <v>100</v>
      </c>
      <c r="F183" s="260"/>
      <c r="G183" s="351"/>
      <c r="H183" s="351"/>
      <c r="I183" s="262"/>
      <c r="J183" s="351"/>
      <c r="K183" s="351"/>
      <c r="L183" s="351"/>
      <c r="M183" s="351"/>
      <c r="N183" s="351"/>
      <c r="O183" s="351"/>
      <c r="P183" s="261">
        <v>0.65</v>
      </c>
      <c r="Q183" s="260">
        <v>1</v>
      </c>
      <c r="R183" s="260" t="s">
        <v>20</v>
      </c>
      <c r="S183" s="260">
        <v>2006</v>
      </c>
      <c r="T183" s="260" t="s">
        <v>161</v>
      </c>
      <c r="U183" s="386">
        <v>42653</v>
      </c>
      <c r="V183" s="387"/>
      <c r="W183" s="354">
        <f>COUNT(RawMaterials[[#This Row],[Lab Quantity 1]:[Lab Quantity 4]])</f>
        <v>0</v>
      </c>
      <c r="X18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3" s="392" t="e">
        <f>RawMaterials[[#This Row],[Lab Price 1]]/RawMaterials[[#This Row],[Lab Q Model Units 1]]</f>
        <v>#N/A</v>
      </c>
      <c r="AC183" s="392" t="e">
        <f>RawMaterials[[#This Row],[Lab Price 2]]/RawMaterials[[#This Row],[Lab Q Model Units 2]]</f>
        <v>#N/A</v>
      </c>
      <c r="AD183" s="392" t="e">
        <f>RawMaterials[[#This Row],[Lab Price 3]]/RawMaterials[[#This Row],[Lab Q Model Units 3]]</f>
        <v>#N/A</v>
      </c>
      <c r="AE183" s="392" t="e">
        <f>RawMaterials[[#This Row],[Lab Price 4]]/RawMaterials[[#This Row],[Lab Q Model Units 4]]</f>
        <v>#N/A</v>
      </c>
      <c r="AF183" s="392" t="str">
        <f ca="1">IF(RawMaterials[[#This Row],[Lab Quote Count]]&gt;1,SLOPE(LOG(INDIRECT("RawMaterials[@[Lab Unit P 1]:[Lab Unit P "&amp;RawMaterials[[#This Row],[Lab Quote Count]]&amp;"]]")),LOG(INDIRECT("RawMaterials[@[Lab Q Model Units 1]:[Lab Q Model Units "&amp;RawMaterials[[#This Row],[Lab Quote Count]]&amp;"]]"))),"")</f>
        <v/>
      </c>
      <c r="AG183" s="392" t="str">
        <f ca="1">IF(RawMaterials[[#This Row],[Lab Quote Count]]&gt;1,INTERCEPT(LOG(INDIRECT("RawMaterials[@[Lab Unit P 1]:[Lab Unit P "&amp;RawMaterials[[#This Row],[Lab Quote Count]]&amp;"]]")),LOG(INDIRECT("RawMaterials[@[Lab Q Model Units 1]:[Lab Q Model Units "&amp;RawMaterials[[#This Row],[Lab Quote Count]]&amp;"]]"))),"")</f>
        <v/>
      </c>
      <c r="AH183" s="393" t="str">
        <f>IF(RawMaterials[[#This Row],[Material Type]]="Metal Precursor","D13",IF(RawMaterials[[#This Row],[Material Type]]="Ligand","D13","D12"))</f>
        <v>D12</v>
      </c>
      <c r="AI183" s="394" t="str">
        <f ca="1">IF(RawMaterials[[#This Row],[Lab Quote Count]]&gt;1,10^RawMaterials[[#This Row],[Lab Log-Log Intercept]]*INDIRECT(RawMaterials[[#This Row],[Basis Cell]])^RawMaterials[[#This Row],[Lab Log-Log Slope]],"&gt;&gt;&gt; Enter 2 or more lab quotes &lt;&lt;&lt;")</f>
        <v>&gt;&gt;&gt; Enter 2 or more lab quotes &lt;&lt;&lt;</v>
      </c>
      <c r="AJ18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1.4330047042017042</v>
      </c>
      <c r="AL183" s="396">
        <f>IF(ISTEXT(RawMaterials[[#This Row],[Unit price in quote year]]),"Check calcs",RawMaterials[[#This Row],[Unit price in quote year]]/VLOOKUP(RawMaterials[[#This Row],[Quote Year]],ChemPPI[],14,FALSE)*VLOOKUP(BasisYear,ChemPPI[],14,FALSE))</f>
        <v>1.9448961203875776</v>
      </c>
      <c r="AM183" s="397" t="str">
        <f t="shared" si="2"/>
        <v>$/kg (2016)</v>
      </c>
    </row>
    <row r="184" spans="1:39">
      <c r="A184" s="259" t="s">
        <v>1278</v>
      </c>
      <c r="B184" s="260"/>
      <c r="C184" s="351"/>
      <c r="D184" s="351"/>
      <c r="E184" s="260">
        <v>100</v>
      </c>
      <c r="F184" s="260"/>
      <c r="G184" s="351"/>
      <c r="H184" s="351"/>
      <c r="I184" s="262"/>
      <c r="J184" s="351"/>
      <c r="K184" s="351"/>
      <c r="L184" s="351"/>
      <c r="M184" s="351"/>
      <c r="N184" s="351"/>
      <c r="O184" s="351"/>
      <c r="P184" s="261">
        <v>0.71</v>
      </c>
      <c r="Q184" s="260">
        <v>1</v>
      </c>
      <c r="R184" s="260" t="s">
        <v>20</v>
      </c>
      <c r="S184" s="260">
        <v>2006</v>
      </c>
      <c r="T184" s="260" t="s">
        <v>161</v>
      </c>
      <c r="U184" s="386">
        <v>42653</v>
      </c>
      <c r="V184" s="387"/>
      <c r="W184" s="354">
        <f>COUNT(RawMaterials[[#This Row],[Lab Quantity 1]:[Lab Quantity 4]])</f>
        <v>0</v>
      </c>
      <c r="X18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4" s="392" t="e">
        <f>RawMaterials[[#This Row],[Lab Price 1]]/RawMaterials[[#This Row],[Lab Q Model Units 1]]</f>
        <v>#N/A</v>
      </c>
      <c r="AC184" s="392" t="e">
        <f>RawMaterials[[#This Row],[Lab Price 2]]/RawMaterials[[#This Row],[Lab Q Model Units 2]]</f>
        <v>#N/A</v>
      </c>
      <c r="AD184" s="392" t="e">
        <f>RawMaterials[[#This Row],[Lab Price 3]]/RawMaterials[[#This Row],[Lab Q Model Units 3]]</f>
        <v>#N/A</v>
      </c>
      <c r="AE184" s="392" t="e">
        <f>RawMaterials[[#This Row],[Lab Price 4]]/RawMaterials[[#This Row],[Lab Q Model Units 4]]</f>
        <v>#N/A</v>
      </c>
      <c r="AF184" s="392" t="str">
        <f ca="1">IF(RawMaterials[[#This Row],[Lab Quote Count]]&gt;1,SLOPE(LOG(INDIRECT("RawMaterials[@[Lab Unit P 1]:[Lab Unit P "&amp;RawMaterials[[#This Row],[Lab Quote Count]]&amp;"]]")),LOG(INDIRECT("RawMaterials[@[Lab Q Model Units 1]:[Lab Q Model Units "&amp;RawMaterials[[#This Row],[Lab Quote Count]]&amp;"]]"))),"")</f>
        <v/>
      </c>
      <c r="AG184" s="392" t="str">
        <f ca="1">IF(RawMaterials[[#This Row],[Lab Quote Count]]&gt;1,INTERCEPT(LOG(INDIRECT("RawMaterials[@[Lab Unit P 1]:[Lab Unit P "&amp;RawMaterials[[#This Row],[Lab Quote Count]]&amp;"]]")),LOG(INDIRECT("RawMaterials[@[Lab Q Model Units 1]:[Lab Q Model Units "&amp;RawMaterials[[#This Row],[Lab Quote Count]]&amp;"]]"))),"")</f>
        <v/>
      </c>
      <c r="AH184" s="393" t="str">
        <f>IF(RawMaterials[[#This Row],[Material Type]]="Metal Precursor","D13",IF(RawMaterials[[#This Row],[Material Type]]="Ligand","D13","D12"))</f>
        <v>D12</v>
      </c>
      <c r="AI184" s="394" t="str">
        <f ca="1">IF(RawMaterials[[#This Row],[Lab Quote Count]]&gt;1,10^RawMaterials[[#This Row],[Lab Log-Log Intercept]]*INDIRECT(RawMaterials[[#This Row],[Basis Cell]])^RawMaterials[[#This Row],[Lab Log-Log Slope]],"&gt;&gt;&gt; Enter 2 or more lab quotes &lt;&lt;&lt;")</f>
        <v>&gt;&gt;&gt; Enter 2 or more lab quotes &lt;&lt;&lt;</v>
      </c>
      <c r="AJ18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1.5652820615126306</v>
      </c>
      <c r="AL184" s="396">
        <f>IF(ISTEXT(RawMaterials[[#This Row],[Unit price in quote year]]),"Check calcs",RawMaterials[[#This Row],[Unit price in quote year]]/VLOOKUP(RawMaterials[[#This Row],[Quote Year]],ChemPPI[],14,FALSE)*VLOOKUP(BasisYear,ChemPPI[],14,FALSE))</f>
        <v>2.1244249930387387</v>
      </c>
      <c r="AM184" s="397" t="str">
        <f t="shared" si="2"/>
        <v>$/kg (2016)</v>
      </c>
    </row>
    <row r="185" spans="1:39">
      <c r="A185" s="259" t="s">
        <v>1279</v>
      </c>
      <c r="B185" s="260"/>
      <c r="C185" s="351"/>
      <c r="D185" s="351"/>
      <c r="E185" s="260">
        <v>100</v>
      </c>
      <c r="F185" s="260"/>
      <c r="G185" s="351"/>
      <c r="H185" s="351"/>
      <c r="I185" s="262"/>
      <c r="J185" s="351"/>
      <c r="K185" s="351"/>
      <c r="L185" s="351"/>
      <c r="M185" s="351"/>
      <c r="N185" s="351"/>
      <c r="O185" s="351"/>
      <c r="P185" s="261">
        <v>0.76500000000000001</v>
      </c>
      <c r="Q185" s="260">
        <v>1</v>
      </c>
      <c r="R185" s="260" t="s">
        <v>20</v>
      </c>
      <c r="S185" s="260">
        <v>2008</v>
      </c>
      <c r="T185" s="260" t="s">
        <v>161</v>
      </c>
      <c r="U185" s="386">
        <v>42653</v>
      </c>
      <c r="V185" s="387"/>
      <c r="W185" s="354">
        <f>COUNT(RawMaterials[[#This Row],[Lab Quantity 1]:[Lab Quantity 4]])</f>
        <v>0</v>
      </c>
      <c r="X18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5" s="392" t="e">
        <f>RawMaterials[[#This Row],[Lab Price 1]]/RawMaterials[[#This Row],[Lab Q Model Units 1]]</f>
        <v>#N/A</v>
      </c>
      <c r="AC185" s="392" t="e">
        <f>RawMaterials[[#This Row],[Lab Price 2]]/RawMaterials[[#This Row],[Lab Q Model Units 2]]</f>
        <v>#N/A</v>
      </c>
      <c r="AD185" s="392" t="e">
        <f>RawMaterials[[#This Row],[Lab Price 3]]/RawMaterials[[#This Row],[Lab Q Model Units 3]]</f>
        <v>#N/A</v>
      </c>
      <c r="AE185" s="392" t="e">
        <f>RawMaterials[[#This Row],[Lab Price 4]]/RawMaterials[[#This Row],[Lab Q Model Units 4]]</f>
        <v>#N/A</v>
      </c>
      <c r="AF185" s="392" t="str">
        <f ca="1">IF(RawMaterials[[#This Row],[Lab Quote Count]]&gt;1,SLOPE(LOG(INDIRECT("RawMaterials[@[Lab Unit P 1]:[Lab Unit P "&amp;RawMaterials[[#This Row],[Lab Quote Count]]&amp;"]]")),LOG(INDIRECT("RawMaterials[@[Lab Q Model Units 1]:[Lab Q Model Units "&amp;RawMaterials[[#This Row],[Lab Quote Count]]&amp;"]]"))),"")</f>
        <v/>
      </c>
      <c r="AG185" s="392" t="str">
        <f ca="1">IF(RawMaterials[[#This Row],[Lab Quote Count]]&gt;1,INTERCEPT(LOG(INDIRECT("RawMaterials[@[Lab Unit P 1]:[Lab Unit P "&amp;RawMaterials[[#This Row],[Lab Quote Count]]&amp;"]]")),LOG(INDIRECT("RawMaterials[@[Lab Q Model Units 1]:[Lab Q Model Units "&amp;RawMaterials[[#This Row],[Lab Quote Count]]&amp;"]]"))),"")</f>
        <v/>
      </c>
      <c r="AH185" s="393" t="str">
        <f>IF(RawMaterials[[#This Row],[Material Type]]="Metal Precursor","D13",IF(RawMaterials[[#This Row],[Material Type]]="Ligand","D13","D12"))</f>
        <v>D12</v>
      </c>
      <c r="AI185" s="394" t="str">
        <f ca="1">IF(RawMaterials[[#This Row],[Lab Quote Count]]&gt;1,10^RawMaterials[[#This Row],[Lab Log-Log Intercept]]*INDIRECT(RawMaterials[[#This Row],[Basis Cell]])^RawMaterials[[#This Row],[Lab Log-Log Slope]],"&gt;&gt;&gt; Enter 2 or more lab quotes &lt;&lt;&lt;")</f>
        <v>&gt;&gt;&gt; Enter 2 or more lab quotes &lt;&lt;&lt;</v>
      </c>
      <c r="AJ18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1.6865363057143135</v>
      </c>
      <c r="AL185" s="396">
        <f>IF(ISTEXT(RawMaterials[[#This Row],[Unit price in quote year]]),"Check calcs",RawMaterials[[#This Row],[Unit price in quote year]]/VLOOKUP(RawMaterials[[#This Row],[Quote Year]],ChemPPI[],14,FALSE)*VLOOKUP(BasisYear,ChemPPI[],14,FALSE))</f>
        <v>1.973958797544465</v>
      </c>
      <c r="AM185" s="397" t="str">
        <f t="shared" si="2"/>
        <v>$/kg (2016)</v>
      </c>
    </row>
    <row r="186" spans="1:39">
      <c r="A186" s="259" t="s">
        <v>1280</v>
      </c>
      <c r="B186" s="260"/>
      <c r="C186" s="351"/>
      <c r="D186" s="351"/>
      <c r="E186" s="260">
        <v>100</v>
      </c>
      <c r="F186" s="260"/>
      <c r="G186" s="351"/>
      <c r="H186" s="351"/>
      <c r="I186" s="262"/>
      <c r="J186" s="351"/>
      <c r="K186" s="351"/>
      <c r="L186" s="351"/>
      <c r="M186" s="351"/>
      <c r="N186" s="351"/>
      <c r="O186" s="351"/>
      <c r="P186" s="261">
        <v>0.67500000000000004</v>
      </c>
      <c r="Q186" s="260">
        <v>1</v>
      </c>
      <c r="R186" s="260" t="s">
        <v>20</v>
      </c>
      <c r="S186" s="260">
        <v>2006</v>
      </c>
      <c r="T186" s="260" t="s">
        <v>161</v>
      </c>
      <c r="U186" s="386">
        <v>42653</v>
      </c>
      <c r="V186" s="387"/>
      <c r="W186" s="354">
        <f>COUNT(RawMaterials[[#This Row],[Lab Quantity 1]:[Lab Quantity 4]])</f>
        <v>0</v>
      </c>
      <c r="X18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6" s="392" t="e">
        <f>RawMaterials[[#This Row],[Lab Price 1]]/RawMaterials[[#This Row],[Lab Q Model Units 1]]</f>
        <v>#N/A</v>
      </c>
      <c r="AC186" s="392" t="e">
        <f>RawMaterials[[#This Row],[Lab Price 2]]/RawMaterials[[#This Row],[Lab Q Model Units 2]]</f>
        <v>#N/A</v>
      </c>
      <c r="AD186" s="392" t="e">
        <f>RawMaterials[[#This Row],[Lab Price 3]]/RawMaterials[[#This Row],[Lab Q Model Units 3]]</f>
        <v>#N/A</v>
      </c>
      <c r="AE186" s="392" t="e">
        <f>RawMaterials[[#This Row],[Lab Price 4]]/RawMaterials[[#This Row],[Lab Q Model Units 4]]</f>
        <v>#N/A</v>
      </c>
      <c r="AF186" s="392" t="str">
        <f ca="1">IF(RawMaterials[[#This Row],[Lab Quote Count]]&gt;1,SLOPE(LOG(INDIRECT("RawMaterials[@[Lab Unit P 1]:[Lab Unit P "&amp;RawMaterials[[#This Row],[Lab Quote Count]]&amp;"]]")),LOG(INDIRECT("RawMaterials[@[Lab Q Model Units 1]:[Lab Q Model Units "&amp;RawMaterials[[#This Row],[Lab Quote Count]]&amp;"]]"))),"")</f>
        <v/>
      </c>
      <c r="AG186" s="392" t="str">
        <f ca="1">IF(RawMaterials[[#This Row],[Lab Quote Count]]&gt;1,INTERCEPT(LOG(INDIRECT("RawMaterials[@[Lab Unit P 1]:[Lab Unit P "&amp;RawMaterials[[#This Row],[Lab Quote Count]]&amp;"]]")),LOG(INDIRECT("RawMaterials[@[Lab Q Model Units 1]:[Lab Q Model Units "&amp;RawMaterials[[#This Row],[Lab Quote Count]]&amp;"]]"))),"")</f>
        <v/>
      </c>
      <c r="AH186" s="393" t="str">
        <f>IF(RawMaterials[[#This Row],[Material Type]]="Metal Precursor","D13",IF(RawMaterials[[#This Row],[Material Type]]="Ligand","D13","D12"))</f>
        <v>D12</v>
      </c>
      <c r="AI186" s="394" t="str">
        <f ca="1">IF(RawMaterials[[#This Row],[Lab Quote Count]]&gt;1,10^RawMaterials[[#This Row],[Lab Log-Log Intercept]]*INDIRECT(RawMaterials[[#This Row],[Basis Cell]])^RawMaterials[[#This Row],[Lab Log-Log Slope]],"&gt;&gt;&gt; Enter 2 or more lab quotes &lt;&lt;&lt;")</f>
        <v>&gt;&gt;&gt; Enter 2 or more lab quotes &lt;&lt;&lt;</v>
      </c>
      <c r="AJ18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1.4881202697479237</v>
      </c>
      <c r="AL186" s="396">
        <f>IF(ISTEXT(RawMaterials[[#This Row],[Unit price in quote year]]),"Check calcs",RawMaterials[[#This Row],[Unit price in quote year]]/VLOOKUP(RawMaterials[[#This Row],[Quote Year]],ChemPPI[],14,FALSE)*VLOOKUP(BasisYear,ChemPPI[],14,FALSE))</f>
        <v>2.0196998173255611</v>
      </c>
      <c r="AM186" s="397" t="str">
        <f t="shared" si="2"/>
        <v>$/kg (2016)</v>
      </c>
    </row>
    <row r="187" spans="1:39">
      <c r="A187" s="259" t="s">
        <v>1281</v>
      </c>
      <c r="B187" s="260"/>
      <c r="C187" s="351"/>
      <c r="D187" s="351"/>
      <c r="E187" s="260">
        <v>100</v>
      </c>
      <c r="F187" s="260"/>
      <c r="G187" s="351"/>
      <c r="H187" s="351"/>
      <c r="I187" s="262"/>
      <c r="J187" s="351"/>
      <c r="K187" s="351"/>
      <c r="L187" s="351"/>
      <c r="M187" s="351"/>
      <c r="N187" s="351"/>
      <c r="O187" s="351"/>
      <c r="P187" s="261">
        <v>0.57999999999999996</v>
      </c>
      <c r="Q187" s="260">
        <v>1</v>
      </c>
      <c r="R187" s="260" t="s">
        <v>20</v>
      </c>
      <c r="S187" s="260">
        <v>2008</v>
      </c>
      <c r="T187" s="260" t="s">
        <v>161</v>
      </c>
      <c r="U187" s="386">
        <v>42653</v>
      </c>
      <c r="V187" s="387"/>
      <c r="W187" s="354">
        <f>COUNT(RawMaterials[[#This Row],[Lab Quantity 1]:[Lab Quantity 4]])</f>
        <v>0</v>
      </c>
      <c r="X18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7" s="392" t="e">
        <f>RawMaterials[[#This Row],[Lab Price 1]]/RawMaterials[[#This Row],[Lab Q Model Units 1]]</f>
        <v>#N/A</v>
      </c>
      <c r="AC187" s="392" t="e">
        <f>RawMaterials[[#This Row],[Lab Price 2]]/RawMaterials[[#This Row],[Lab Q Model Units 2]]</f>
        <v>#N/A</v>
      </c>
      <c r="AD187" s="392" t="e">
        <f>RawMaterials[[#This Row],[Lab Price 3]]/RawMaterials[[#This Row],[Lab Q Model Units 3]]</f>
        <v>#N/A</v>
      </c>
      <c r="AE187" s="392" t="e">
        <f>RawMaterials[[#This Row],[Lab Price 4]]/RawMaterials[[#This Row],[Lab Q Model Units 4]]</f>
        <v>#N/A</v>
      </c>
      <c r="AF187" s="392" t="str">
        <f ca="1">IF(RawMaterials[[#This Row],[Lab Quote Count]]&gt;1,SLOPE(LOG(INDIRECT("RawMaterials[@[Lab Unit P 1]:[Lab Unit P "&amp;RawMaterials[[#This Row],[Lab Quote Count]]&amp;"]]")),LOG(INDIRECT("RawMaterials[@[Lab Q Model Units 1]:[Lab Q Model Units "&amp;RawMaterials[[#This Row],[Lab Quote Count]]&amp;"]]"))),"")</f>
        <v/>
      </c>
      <c r="AG187" s="392" t="str">
        <f ca="1">IF(RawMaterials[[#This Row],[Lab Quote Count]]&gt;1,INTERCEPT(LOG(INDIRECT("RawMaterials[@[Lab Unit P 1]:[Lab Unit P "&amp;RawMaterials[[#This Row],[Lab Quote Count]]&amp;"]]")),LOG(INDIRECT("RawMaterials[@[Lab Q Model Units 1]:[Lab Q Model Units "&amp;RawMaterials[[#This Row],[Lab Quote Count]]&amp;"]]"))),"")</f>
        <v/>
      </c>
      <c r="AH187" s="393" t="str">
        <f>IF(RawMaterials[[#This Row],[Material Type]]="Metal Precursor","D13",IF(RawMaterials[[#This Row],[Material Type]]="Ligand","D13","D12"))</f>
        <v>D12</v>
      </c>
      <c r="AI187" s="394" t="str">
        <f ca="1">IF(RawMaterials[[#This Row],[Lab Quote Count]]&gt;1,10^RawMaterials[[#This Row],[Lab Log-Log Intercept]]*INDIRECT(RawMaterials[[#This Row],[Basis Cell]])^RawMaterials[[#This Row],[Lab Log-Log Slope]],"&gt;&gt;&gt; Enter 2 or more lab quotes &lt;&lt;&lt;")</f>
        <v>&gt;&gt;&gt; Enter 2 or more lab quotes &lt;&lt;&lt;</v>
      </c>
      <c r="AJ18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1.2786811206722899</v>
      </c>
      <c r="AL187" s="396">
        <f>IF(ISTEXT(RawMaterials[[#This Row],[Unit price in quote year]]),"Check calcs",RawMaterials[[#This Row],[Unit price in quote year]]/VLOOKUP(RawMaterials[[#This Row],[Quote Year]],ChemPPI[],14,FALSE)*VLOOKUP(BasisYear,ChemPPI[],14,FALSE))</f>
        <v>1.4965962125173722</v>
      </c>
      <c r="AM187" s="397" t="str">
        <f t="shared" si="2"/>
        <v>$/kg (2016)</v>
      </c>
    </row>
    <row r="188" spans="1:39">
      <c r="A188" s="259" t="s">
        <v>1282</v>
      </c>
      <c r="B188" s="260"/>
      <c r="C188" s="351"/>
      <c r="D188" s="351"/>
      <c r="E188" s="260">
        <v>100</v>
      </c>
      <c r="F188" s="260"/>
      <c r="G188" s="351"/>
      <c r="H188" s="351"/>
      <c r="I188" s="262"/>
      <c r="J188" s="351"/>
      <c r="K188" s="351"/>
      <c r="L188" s="351"/>
      <c r="M188" s="351"/>
      <c r="N188" s="351"/>
      <c r="O188" s="351"/>
      <c r="P188" s="261">
        <v>0.42499999999999999</v>
      </c>
      <c r="Q188" s="260">
        <v>1</v>
      </c>
      <c r="R188" s="260" t="s">
        <v>20</v>
      </c>
      <c r="S188" s="260">
        <v>2006</v>
      </c>
      <c r="T188" s="260" t="s">
        <v>161</v>
      </c>
      <c r="U188" s="386">
        <v>42653</v>
      </c>
      <c r="V188" s="387"/>
      <c r="W188" s="354">
        <f>COUNT(RawMaterials[[#This Row],[Lab Quantity 1]:[Lab Quantity 4]])</f>
        <v>0</v>
      </c>
      <c r="X18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8" s="392" t="e">
        <f>RawMaterials[[#This Row],[Lab Price 1]]/RawMaterials[[#This Row],[Lab Q Model Units 1]]</f>
        <v>#N/A</v>
      </c>
      <c r="AC188" s="392" t="e">
        <f>RawMaterials[[#This Row],[Lab Price 2]]/RawMaterials[[#This Row],[Lab Q Model Units 2]]</f>
        <v>#N/A</v>
      </c>
      <c r="AD188" s="392" t="e">
        <f>RawMaterials[[#This Row],[Lab Price 3]]/RawMaterials[[#This Row],[Lab Q Model Units 3]]</f>
        <v>#N/A</v>
      </c>
      <c r="AE188" s="392" t="e">
        <f>RawMaterials[[#This Row],[Lab Price 4]]/RawMaterials[[#This Row],[Lab Q Model Units 4]]</f>
        <v>#N/A</v>
      </c>
      <c r="AF188" s="392" t="str">
        <f ca="1">IF(RawMaterials[[#This Row],[Lab Quote Count]]&gt;1,SLOPE(LOG(INDIRECT("RawMaterials[@[Lab Unit P 1]:[Lab Unit P "&amp;RawMaterials[[#This Row],[Lab Quote Count]]&amp;"]]")),LOG(INDIRECT("RawMaterials[@[Lab Q Model Units 1]:[Lab Q Model Units "&amp;RawMaterials[[#This Row],[Lab Quote Count]]&amp;"]]"))),"")</f>
        <v/>
      </c>
      <c r="AG188" s="392" t="str">
        <f ca="1">IF(RawMaterials[[#This Row],[Lab Quote Count]]&gt;1,INTERCEPT(LOG(INDIRECT("RawMaterials[@[Lab Unit P 1]:[Lab Unit P "&amp;RawMaterials[[#This Row],[Lab Quote Count]]&amp;"]]")),LOG(INDIRECT("RawMaterials[@[Lab Q Model Units 1]:[Lab Q Model Units "&amp;RawMaterials[[#This Row],[Lab Quote Count]]&amp;"]]"))),"")</f>
        <v/>
      </c>
      <c r="AH188" s="393" t="str">
        <f>IF(RawMaterials[[#This Row],[Material Type]]="Metal Precursor","D13",IF(RawMaterials[[#This Row],[Material Type]]="Ligand","D13","D12"))</f>
        <v>D12</v>
      </c>
      <c r="AI188" s="394" t="str">
        <f ca="1">IF(RawMaterials[[#This Row],[Lab Quote Count]]&gt;1,10^RawMaterials[[#This Row],[Lab Log-Log Intercept]]*INDIRECT(RawMaterials[[#This Row],[Basis Cell]])^RawMaterials[[#This Row],[Lab Log-Log Slope]],"&gt;&gt;&gt; Enter 2 or more lab quotes &lt;&lt;&lt;")</f>
        <v>&gt;&gt;&gt; Enter 2 or more lab quotes &lt;&lt;&lt;</v>
      </c>
      <c r="AJ18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0.93696461428572964</v>
      </c>
      <c r="AL188" s="396">
        <f>IF(ISTEXT(RawMaterials[[#This Row],[Unit price in quote year]]),"Check calcs",RawMaterials[[#This Row],[Unit price in quote year]]/VLOOKUP(RawMaterials[[#This Row],[Quote Year]],ChemPPI[],14,FALSE)*VLOOKUP(BasisYear,ChemPPI[],14,FALSE))</f>
        <v>1.2716628479457239</v>
      </c>
      <c r="AM188" s="397" t="str">
        <f t="shared" si="2"/>
        <v>$/kg (2016)</v>
      </c>
    </row>
    <row r="189" spans="1:39">
      <c r="A189" s="259" t="s">
        <v>1283</v>
      </c>
      <c r="B189" s="260"/>
      <c r="C189" s="351"/>
      <c r="D189" s="351"/>
      <c r="E189" s="260">
        <v>100</v>
      </c>
      <c r="F189" s="260"/>
      <c r="G189" s="351"/>
      <c r="H189" s="351"/>
      <c r="I189" s="262"/>
      <c r="J189" s="351"/>
      <c r="K189" s="351"/>
      <c r="L189" s="351"/>
      <c r="M189" s="351"/>
      <c r="N189" s="351"/>
      <c r="O189" s="351"/>
      <c r="P189" s="261">
        <v>1.38499999999999</v>
      </c>
      <c r="Q189" s="260">
        <v>1</v>
      </c>
      <c r="R189" s="260" t="s">
        <v>20</v>
      </c>
      <c r="S189" s="260">
        <v>2006</v>
      </c>
      <c r="T189" s="260" t="s">
        <v>161</v>
      </c>
      <c r="U189" s="386">
        <v>42653</v>
      </c>
      <c r="V189" s="387"/>
      <c r="W189" s="354">
        <f>COUNT(RawMaterials[[#This Row],[Lab Quantity 1]:[Lab Quantity 4]])</f>
        <v>0</v>
      </c>
      <c r="X18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9" s="392" t="e">
        <f>RawMaterials[[#This Row],[Lab Price 1]]/RawMaterials[[#This Row],[Lab Q Model Units 1]]</f>
        <v>#N/A</v>
      </c>
      <c r="AC189" s="392" t="e">
        <f>RawMaterials[[#This Row],[Lab Price 2]]/RawMaterials[[#This Row],[Lab Q Model Units 2]]</f>
        <v>#N/A</v>
      </c>
      <c r="AD189" s="392" t="e">
        <f>RawMaterials[[#This Row],[Lab Price 3]]/RawMaterials[[#This Row],[Lab Q Model Units 3]]</f>
        <v>#N/A</v>
      </c>
      <c r="AE189" s="392" t="e">
        <f>RawMaterials[[#This Row],[Lab Price 4]]/RawMaterials[[#This Row],[Lab Q Model Units 4]]</f>
        <v>#N/A</v>
      </c>
      <c r="AF189" s="392" t="str">
        <f ca="1">IF(RawMaterials[[#This Row],[Lab Quote Count]]&gt;1,SLOPE(LOG(INDIRECT("RawMaterials[@[Lab Unit P 1]:[Lab Unit P "&amp;RawMaterials[[#This Row],[Lab Quote Count]]&amp;"]]")),LOG(INDIRECT("RawMaterials[@[Lab Q Model Units 1]:[Lab Q Model Units "&amp;RawMaterials[[#This Row],[Lab Quote Count]]&amp;"]]"))),"")</f>
        <v/>
      </c>
      <c r="AG189" s="392" t="str">
        <f ca="1">IF(RawMaterials[[#This Row],[Lab Quote Count]]&gt;1,INTERCEPT(LOG(INDIRECT("RawMaterials[@[Lab Unit P 1]:[Lab Unit P "&amp;RawMaterials[[#This Row],[Lab Quote Count]]&amp;"]]")),LOG(INDIRECT("RawMaterials[@[Lab Q Model Units 1]:[Lab Q Model Units "&amp;RawMaterials[[#This Row],[Lab Quote Count]]&amp;"]]"))),"")</f>
        <v/>
      </c>
      <c r="AH189" s="393" t="str">
        <f>IF(RawMaterials[[#This Row],[Material Type]]="Metal Precursor","D13",IF(RawMaterials[[#This Row],[Material Type]]="Ligand","D13","D12"))</f>
        <v>D12</v>
      </c>
      <c r="AI189" s="394" t="str">
        <f ca="1">IF(RawMaterials[[#This Row],[Lab Quote Count]]&gt;1,10^RawMaterials[[#This Row],[Lab Log-Log Intercept]]*INDIRECT(RawMaterials[[#This Row],[Basis Cell]])^RawMaterials[[#This Row],[Lab Log-Log Slope]],"&gt;&gt;&gt; Enter 2 or more lab quotes &lt;&lt;&lt;")</f>
        <v>&gt;&gt;&gt; Enter 2 or more lab quotes &lt;&lt;&lt;</v>
      </c>
      <c r="AJ18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3.0534023312605325</v>
      </c>
      <c r="AL189" s="396">
        <f>IF(ISTEXT(RawMaterials[[#This Row],[Unit price in quote year]]),"Check calcs",RawMaterials[[#This Row],[Unit price in quote year]]/VLOOKUP(RawMaterials[[#This Row],[Quote Year]],ChemPPI[],14,FALSE)*VLOOKUP(BasisYear,ChemPPI[],14,FALSE))</f>
        <v>4.1441248103642705</v>
      </c>
      <c r="AM189" s="397" t="str">
        <f t="shared" si="2"/>
        <v>$/kg (2016)</v>
      </c>
    </row>
    <row r="190" spans="1:39">
      <c r="A190" s="259" t="s">
        <v>1284</v>
      </c>
      <c r="B190" s="260"/>
      <c r="C190" s="351"/>
      <c r="D190" s="351"/>
      <c r="E190" s="260">
        <v>100</v>
      </c>
      <c r="F190" s="260"/>
      <c r="G190" s="351"/>
      <c r="H190" s="351"/>
      <c r="I190" s="262"/>
      <c r="J190" s="351"/>
      <c r="K190" s="351"/>
      <c r="L190" s="351"/>
      <c r="M190" s="351"/>
      <c r="N190" s="351"/>
      <c r="O190" s="351"/>
      <c r="P190" s="261">
        <v>7.5</v>
      </c>
      <c r="Q190" s="260">
        <v>1</v>
      </c>
      <c r="R190" s="260" t="s">
        <v>71</v>
      </c>
      <c r="S190" s="260">
        <v>2006</v>
      </c>
      <c r="T190" s="260" t="s">
        <v>161</v>
      </c>
      <c r="U190" s="386">
        <v>42653</v>
      </c>
      <c r="V190" s="387"/>
      <c r="W190" s="354">
        <f>COUNT(RawMaterials[[#This Row],[Lab Quantity 1]:[Lab Quantity 4]])</f>
        <v>0</v>
      </c>
      <c r="X19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0" s="392" t="e">
        <f>RawMaterials[[#This Row],[Lab Price 1]]/RawMaterials[[#This Row],[Lab Q Model Units 1]]</f>
        <v>#N/A</v>
      </c>
      <c r="AC190" s="392" t="e">
        <f>RawMaterials[[#This Row],[Lab Price 2]]/RawMaterials[[#This Row],[Lab Q Model Units 2]]</f>
        <v>#N/A</v>
      </c>
      <c r="AD190" s="392" t="e">
        <f>RawMaterials[[#This Row],[Lab Price 3]]/RawMaterials[[#This Row],[Lab Q Model Units 3]]</f>
        <v>#N/A</v>
      </c>
      <c r="AE190" s="392" t="e">
        <f>RawMaterials[[#This Row],[Lab Price 4]]/RawMaterials[[#This Row],[Lab Q Model Units 4]]</f>
        <v>#N/A</v>
      </c>
      <c r="AF190" s="392" t="str">
        <f ca="1">IF(RawMaterials[[#This Row],[Lab Quote Count]]&gt;1,SLOPE(LOG(INDIRECT("RawMaterials[@[Lab Unit P 1]:[Lab Unit P "&amp;RawMaterials[[#This Row],[Lab Quote Count]]&amp;"]]")),LOG(INDIRECT("RawMaterials[@[Lab Q Model Units 1]:[Lab Q Model Units "&amp;RawMaterials[[#This Row],[Lab Quote Count]]&amp;"]]"))),"")</f>
        <v/>
      </c>
      <c r="AG190" s="392" t="str">
        <f ca="1">IF(RawMaterials[[#This Row],[Lab Quote Count]]&gt;1,INTERCEPT(LOG(INDIRECT("RawMaterials[@[Lab Unit P 1]:[Lab Unit P "&amp;RawMaterials[[#This Row],[Lab Quote Count]]&amp;"]]")),LOG(INDIRECT("RawMaterials[@[Lab Q Model Units 1]:[Lab Q Model Units "&amp;RawMaterials[[#This Row],[Lab Quote Count]]&amp;"]]"))),"")</f>
        <v/>
      </c>
      <c r="AH190" s="393" t="str">
        <f>IF(RawMaterials[[#This Row],[Material Type]]="Metal Precursor","D13",IF(RawMaterials[[#This Row],[Material Type]]="Ligand","D13","D12"))</f>
        <v>D12</v>
      </c>
      <c r="AI190" s="394" t="str">
        <f ca="1">IF(RawMaterials[[#This Row],[Lab Quote Count]]&gt;1,10^RawMaterials[[#This Row],[Lab Log-Log Intercept]]*INDIRECT(RawMaterials[[#This Row],[Basis Cell]])^RawMaterials[[#This Row],[Lab Log-Log Slope]],"&gt;&gt;&gt; Enter 2 or more lab quotes &lt;&lt;&lt;")</f>
        <v>&gt;&gt;&gt; Enter 2 or more lab quotes &lt;&lt;&lt;</v>
      </c>
      <c r="AJ19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7.5</v>
      </c>
      <c r="AL190" s="396">
        <f>IF(ISTEXT(RawMaterials[[#This Row],[Unit price in quote year]]),"Check calcs",RawMaterials[[#This Row],[Unit price in quote year]]/VLOOKUP(RawMaterials[[#This Row],[Quote Year]],ChemPPI[],14,FALSE)*VLOOKUP(BasisYear,ChemPPI[],14,FALSE))</f>
        <v>10.179115853658539</v>
      </c>
      <c r="AM190" s="397" t="str">
        <f t="shared" si="2"/>
        <v>$/kg (2016)</v>
      </c>
    </row>
    <row r="191" spans="1:39">
      <c r="A191" s="259" t="s">
        <v>1285</v>
      </c>
      <c r="B191" s="260"/>
      <c r="C191" s="351"/>
      <c r="D191" s="351"/>
      <c r="E191" s="260">
        <v>100</v>
      </c>
      <c r="F191" s="260"/>
      <c r="G191" s="351"/>
      <c r="H191" s="351"/>
      <c r="I191" s="262"/>
      <c r="J191" s="351"/>
      <c r="K191" s="351"/>
      <c r="L191" s="351"/>
      <c r="M191" s="351"/>
      <c r="N191" s="351"/>
      <c r="O191" s="351"/>
      <c r="P191" s="261">
        <v>0.95</v>
      </c>
      <c r="Q191" s="260">
        <v>1</v>
      </c>
      <c r="R191" s="260" t="s">
        <v>20</v>
      </c>
      <c r="S191" s="260">
        <v>2008</v>
      </c>
      <c r="T191" s="260" t="s">
        <v>161</v>
      </c>
      <c r="U191" s="386">
        <v>42653</v>
      </c>
      <c r="V191" s="387"/>
      <c r="W191" s="354">
        <f>COUNT(RawMaterials[[#This Row],[Lab Quantity 1]:[Lab Quantity 4]])</f>
        <v>0</v>
      </c>
      <c r="X19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1" s="392" t="e">
        <f>RawMaterials[[#This Row],[Lab Price 1]]/RawMaterials[[#This Row],[Lab Q Model Units 1]]</f>
        <v>#N/A</v>
      </c>
      <c r="AC191" s="392" t="e">
        <f>RawMaterials[[#This Row],[Lab Price 2]]/RawMaterials[[#This Row],[Lab Q Model Units 2]]</f>
        <v>#N/A</v>
      </c>
      <c r="AD191" s="392" t="e">
        <f>RawMaterials[[#This Row],[Lab Price 3]]/RawMaterials[[#This Row],[Lab Q Model Units 3]]</f>
        <v>#N/A</v>
      </c>
      <c r="AE191" s="392" t="e">
        <f>RawMaterials[[#This Row],[Lab Price 4]]/RawMaterials[[#This Row],[Lab Q Model Units 4]]</f>
        <v>#N/A</v>
      </c>
      <c r="AF191" s="392" t="str">
        <f ca="1">IF(RawMaterials[[#This Row],[Lab Quote Count]]&gt;1,SLOPE(LOG(INDIRECT("RawMaterials[@[Lab Unit P 1]:[Lab Unit P "&amp;RawMaterials[[#This Row],[Lab Quote Count]]&amp;"]]")),LOG(INDIRECT("RawMaterials[@[Lab Q Model Units 1]:[Lab Q Model Units "&amp;RawMaterials[[#This Row],[Lab Quote Count]]&amp;"]]"))),"")</f>
        <v/>
      </c>
      <c r="AG191" s="392" t="str">
        <f ca="1">IF(RawMaterials[[#This Row],[Lab Quote Count]]&gt;1,INTERCEPT(LOG(INDIRECT("RawMaterials[@[Lab Unit P 1]:[Lab Unit P "&amp;RawMaterials[[#This Row],[Lab Quote Count]]&amp;"]]")),LOG(INDIRECT("RawMaterials[@[Lab Q Model Units 1]:[Lab Q Model Units "&amp;RawMaterials[[#This Row],[Lab Quote Count]]&amp;"]]"))),"")</f>
        <v/>
      </c>
      <c r="AH191" s="393" t="str">
        <f>IF(RawMaterials[[#This Row],[Material Type]]="Metal Precursor","D13",IF(RawMaterials[[#This Row],[Material Type]]="Ligand","D13","D12"))</f>
        <v>D12</v>
      </c>
      <c r="AI191" s="394" t="str">
        <f ca="1">IF(RawMaterials[[#This Row],[Lab Quote Count]]&gt;1,10^RawMaterials[[#This Row],[Lab Log-Log Intercept]]*INDIRECT(RawMaterials[[#This Row],[Basis Cell]])^RawMaterials[[#This Row],[Lab Log-Log Slope]],"&gt;&gt;&gt; Enter 2 or more lab quotes &lt;&lt;&lt;")</f>
        <v>&gt;&gt;&gt; Enter 2 or more lab quotes &lt;&lt;&lt;</v>
      </c>
      <c r="AJ19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2.0943914907563368</v>
      </c>
      <c r="AL191" s="396">
        <f>IF(ISTEXT(RawMaterials[[#This Row],[Unit price in quote year]]),"Check calcs",RawMaterials[[#This Row],[Unit price in quote year]]/VLOOKUP(RawMaterials[[#This Row],[Quote Year]],ChemPPI[],14,FALSE)*VLOOKUP(BasisYear,ChemPPI[],14,FALSE))</f>
        <v>2.4513213825715581</v>
      </c>
      <c r="AM191" s="397" t="str">
        <f t="shared" si="2"/>
        <v>$/kg (2016)</v>
      </c>
    </row>
    <row r="192" spans="1:39">
      <c r="A192" s="259" t="s">
        <v>1286</v>
      </c>
      <c r="B192" s="260"/>
      <c r="C192" s="351"/>
      <c r="D192" s="351"/>
      <c r="E192" s="260">
        <v>100</v>
      </c>
      <c r="F192" s="260"/>
      <c r="G192" s="351"/>
      <c r="H192" s="351"/>
      <c r="I192" s="262"/>
      <c r="J192" s="351"/>
      <c r="K192" s="351"/>
      <c r="L192" s="351"/>
      <c r="M192" s="351"/>
      <c r="N192" s="351"/>
      <c r="O192" s="351"/>
      <c r="P192" s="261">
        <v>0.94</v>
      </c>
      <c r="Q192" s="260">
        <v>1</v>
      </c>
      <c r="R192" s="260" t="s">
        <v>20</v>
      </c>
      <c r="S192" s="260">
        <v>2008</v>
      </c>
      <c r="T192" s="260" t="s">
        <v>161</v>
      </c>
      <c r="U192" s="386">
        <v>42653</v>
      </c>
      <c r="V192" s="387"/>
      <c r="W192" s="354">
        <f>COUNT(RawMaterials[[#This Row],[Lab Quantity 1]:[Lab Quantity 4]])</f>
        <v>0</v>
      </c>
      <c r="X19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2" s="392" t="e">
        <f>RawMaterials[[#This Row],[Lab Price 1]]/RawMaterials[[#This Row],[Lab Q Model Units 1]]</f>
        <v>#N/A</v>
      </c>
      <c r="AC192" s="392" t="e">
        <f>RawMaterials[[#This Row],[Lab Price 2]]/RawMaterials[[#This Row],[Lab Q Model Units 2]]</f>
        <v>#N/A</v>
      </c>
      <c r="AD192" s="392" t="e">
        <f>RawMaterials[[#This Row],[Lab Price 3]]/RawMaterials[[#This Row],[Lab Q Model Units 3]]</f>
        <v>#N/A</v>
      </c>
      <c r="AE192" s="392" t="e">
        <f>RawMaterials[[#This Row],[Lab Price 4]]/RawMaterials[[#This Row],[Lab Q Model Units 4]]</f>
        <v>#N/A</v>
      </c>
      <c r="AF192" s="392" t="str">
        <f ca="1">IF(RawMaterials[[#This Row],[Lab Quote Count]]&gt;1,SLOPE(LOG(INDIRECT("RawMaterials[@[Lab Unit P 1]:[Lab Unit P "&amp;RawMaterials[[#This Row],[Lab Quote Count]]&amp;"]]")),LOG(INDIRECT("RawMaterials[@[Lab Q Model Units 1]:[Lab Q Model Units "&amp;RawMaterials[[#This Row],[Lab Quote Count]]&amp;"]]"))),"")</f>
        <v/>
      </c>
      <c r="AG192" s="392" t="str">
        <f ca="1">IF(RawMaterials[[#This Row],[Lab Quote Count]]&gt;1,INTERCEPT(LOG(INDIRECT("RawMaterials[@[Lab Unit P 1]:[Lab Unit P "&amp;RawMaterials[[#This Row],[Lab Quote Count]]&amp;"]]")),LOG(INDIRECT("RawMaterials[@[Lab Q Model Units 1]:[Lab Q Model Units "&amp;RawMaterials[[#This Row],[Lab Quote Count]]&amp;"]]"))),"")</f>
        <v/>
      </c>
      <c r="AH192" s="393" t="str">
        <f>IF(RawMaterials[[#This Row],[Material Type]]="Metal Precursor","D13",IF(RawMaterials[[#This Row],[Material Type]]="Ligand","D13","D12"))</f>
        <v>D12</v>
      </c>
      <c r="AI192" s="394" t="str">
        <f ca="1">IF(RawMaterials[[#This Row],[Lab Quote Count]]&gt;1,10^RawMaterials[[#This Row],[Lab Log-Log Intercept]]*INDIRECT(RawMaterials[[#This Row],[Basis Cell]])^RawMaterials[[#This Row],[Lab Log-Log Slope]],"&gt;&gt;&gt; Enter 2 or more lab quotes &lt;&lt;&lt;")</f>
        <v>&gt;&gt;&gt; Enter 2 or more lab quotes &lt;&lt;&lt;</v>
      </c>
      <c r="AJ19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2.0723452645378488</v>
      </c>
      <c r="AL192" s="396">
        <f>IF(ISTEXT(RawMaterials[[#This Row],[Unit price in quote year]]),"Check calcs",RawMaterials[[#This Row],[Unit price in quote year]]/VLOOKUP(RawMaterials[[#This Row],[Quote Year]],ChemPPI[],14,FALSE)*VLOOKUP(BasisYear,ChemPPI[],14,FALSE))</f>
        <v>2.4255179995971199</v>
      </c>
      <c r="AM192" s="397" t="str">
        <f t="shared" si="2"/>
        <v>$/kg (2016)</v>
      </c>
    </row>
    <row r="193" spans="1:39">
      <c r="A193" s="259" t="s">
        <v>1287</v>
      </c>
      <c r="B193" s="260"/>
      <c r="C193" s="351"/>
      <c r="D193" s="351"/>
      <c r="E193" s="260">
        <v>100</v>
      </c>
      <c r="F193" s="260"/>
      <c r="G193" s="351"/>
      <c r="H193" s="351"/>
      <c r="I193" s="262"/>
      <c r="J193" s="351"/>
      <c r="K193" s="351"/>
      <c r="L193" s="351"/>
      <c r="M193" s="351"/>
      <c r="N193" s="351"/>
      <c r="O193" s="351"/>
      <c r="P193" s="261">
        <v>1.0449999999999999</v>
      </c>
      <c r="Q193" s="260">
        <v>1</v>
      </c>
      <c r="R193" s="260" t="s">
        <v>20</v>
      </c>
      <c r="S193" s="260">
        <v>2008</v>
      </c>
      <c r="T193" s="260" t="s">
        <v>161</v>
      </c>
      <c r="U193" s="386">
        <v>42653</v>
      </c>
      <c r="V193" s="387"/>
      <c r="W193" s="354">
        <f>COUNT(RawMaterials[[#This Row],[Lab Quantity 1]:[Lab Quantity 4]])</f>
        <v>0</v>
      </c>
      <c r="X19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3" s="392" t="e">
        <f>RawMaterials[[#This Row],[Lab Price 1]]/RawMaterials[[#This Row],[Lab Q Model Units 1]]</f>
        <v>#N/A</v>
      </c>
      <c r="AC193" s="392" t="e">
        <f>RawMaterials[[#This Row],[Lab Price 2]]/RawMaterials[[#This Row],[Lab Q Model Units 2]]</f>
        <v>#N/A</v>
      </c>
      <c r="AD193" s="392" t="e">
        <f>RawMaterials[[#This Row],[Lab Price 3]]/RawMaterials[[#This Row],[Lab Q Model Units 3]]</f>
        <v>#N/A</v>
      </c>
      <c r="AE193" s="392" t="e">
        <f>RawMaterials[[#This Row],[Lab Price 4]]/RawMaterials[[#This Row],[Lab Q Model Units 4]]</f>
        <v>#N/A</v>
      </c>
      <c r="AF193" s="392" t="str">
        <f ca="1">IF(RawMaterials[[#This Row],[Lab Quote Count]]&gt;1,SLOPE(LOG(INDIRECT("RawMaterials[@[Lab Unit P 1]:[Lab Unit P "&amp;RawMaterials[[#This Row],[Lab Quote Count]]&amp;"]]")),LOG(INDIRECT("RawMaterials[@[Lab Q Model Units 1]:[Lab Q Model Units "&amp;RawMaterials[[#This Row],[Lab Quote Count]]&amp;"]]"))),"")</f>
        <v/>
      </c>
      <c r="AG193" s="392" t="str">
        <f ca="1">IF(RawMaterials[[#This Row],[Lab Quote Count]]&gt;1,INTERCEPT(LOG(INDIRECT("RawMaterials[@[Lab Unit P 1]:[Lab Unit P "&amp;RawMaterials[[#This Row],[Lab Quote Count]]&amp;"]]")),LOG(INDIRECT("RawMaterials[@[Lab Q Model Units 1]:[Lab Q Model Units "&amp;RawMaterials[[#This Row],[Lab Quote Count]]&amp;"]]"))),"")</f>
        <v/>
      </c>
      <c r="AH193" s="393" t="str">
        <f>IF(RawMaterials[[#This Row],[Material Type]]="Metal Precursor","D13",IF(RawMaterials[[#This Row],[Material Type]]="Ligand","D13","D12"))</f>
        <v>D12</v>
      </c>
      <c r="AI193" s="394" t="str">
        <f ca="1">IF(RawMaterials[[#This Row],[Lab Quote Count]]&gt;1,10^RawMaterials[[#This Row],[Lab Log-Log Intercept]]*INDIRECT(RawMaterials[[#This Row],[Basis Cell]])^RawMaterials[[#This Row],[Lab Log-Log Slope]],"&gt;&gt;&gt; Enter 2 or more lab quotes &lt;&lt;&lt;")</f>
        <v>&gt;&gt;&gt; Enter 2 or more lab quotes &lt;&lt;&lt;</v>
      </c>
      <c r="AJ19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2.3038306398319706</v>
      </c>
      <c r="AL193" s="396">
        <f>IF(ISTEXT(RawMaterials[[#This Row],[Unit price in quote year]]),"Check calcs",RawMaterials[[#This Row],[Unit price in quote year]]/VLOOKUP(RawMaterials[[#This Row],[Quote Year]],ChemPPI[],14,FALSE)*VLOOKUP(BasisYear,ChemPPI[],14,FALSE))</f>
        <v>2.6964535208287139</v>
      </c>
      <c r="AM193" s="397" t="str">
        <f t="shared" si="2"/>
        <v>$/kg (2016)</v>
      </c>
    </row>
    <row r="194" spans="1:39">
      <c r="A194" s="259" t="s">
        <v>1288</v>
      </c>
      <c r="B194" s="260"/>
      <c r="C194" s="351"/>
      <c r="D194" s="351"/>
      <c r="E194" s="260">
        <v>100</v>
      </c>
      <c r="F194" s="260"/>
      <c r="G194" s="351"/>
      <c r="H194" s="351"/>
      <c r="I194" s="262"/>
      <c r="J194" s="351"/>
      <c r="K194" s="351"/>
      <c r="L194" s="351"/>
      <c r="M194" s="351"/>
      <c r="N194" s="351"/>
      <c r="O194" s="351"/>
      <c r="P194" s="261">
        <v>0.94499999999999995</v>
      </c>
      <c r="Q194" s="260">
        <v>1</v>
      </c>
      <c r="R194" s="260" t="s">
        <v>20</v>
      </c>
      <c r="S194" s="260">
        <v>2008</v>
      </c>
      <c r="T194" s="260" t="s">
        <v>161</v>
      </c>
      <c r="U194" s="386">
        <v>42653</v>
      </c>
      <c r="V194" s="387"/>
      <c r="W194" s="354">
        <f>COUNT(RawMaterials[[#This Row],[Lab Quantity 1]:[Lab Quantity 4]])</f>
        <v>0</v>
      </c>
      <c r="X19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4" s="392" t="e">
        <f>RawMaterials[[#This Row],[Lab Price 1]]/RawMaterials[[#This Row],[Lab Q Model Units 1]]</f>
        <v>#N/A</v>
      </c>
      <c r="AC194" s="392" t="e">
        <f>RawMaterials[[#This Row],[Lab Price 2]]/RawMaterials[[#This Row],[Lab Q Model Units 2]]</f>
        <v>#N/A</v>
      </c>
      <c r="AD194" s="392" t="e">
        <f>RawMaterials[[#This Row],[Lab Price 3]]/RawMaterials[[#This Row],[Lab Q Model Units 3]]</f>
        <v>#N/A</v>
      </c>
      <c r="AE194" s="392" t="e">
        <f>RawMaterials[[#This Row],[Lab Price 4]]/RawMaterials[[#This Row],[Lab Q Model Units 4]]</f>
        <v>#N/A</v>
      </c>
      <c r="AF194" s="392" t="str">
        <f ca="1">IF(RawMaterials[[#This Row],[Lab Quote Count]]&gt;1,SLOPE(LOG(INDIRECT("RawMaterials[@[Lab Unit P 1]:[Lab Unit P "&amp;RawMaterials[[#This Row],[Lab Quote Count]]&amp;"]]")),LOG(INDIRECT("RawMaterials[@[Lab Q Model Units 1]:[Lab Q Model Units "&amp;RawMaterials[[#This Row],[Lab Quote Count]]&amp;"]]"))),"")</f>
        <v/>
      </c>
      <c r="AG194" s="392" t="str">
        <f ca="1">IF(RawMaterials[[#This Row],[Lab Quote Count]]&gt;1,INTERCEPT(LOG(INDIRECT("RawMaterials[@[Lab Unit P 1]:[Lab Unit P "&amp;RawMaterials[[#This Row],[Lab Quote Count]]&amp;"]]")),LOG(INDIRECT("RawMaterials[@[Lab Q Model Units 1]:[Lab Q Model Units "&amp;RawMaterials[[#This Row],[Lab Quote Count]]&amp;"]]"))),"")</f>
        <v/>
      </c>
      <c r="AH194" s="393" t="str">
        <f>IF(RawMaterials[[#This Row],[Material Type]]="Metal Precursor","D13",IF(RawMaterials[[#This Row],[Material Type]]="Ligand","D13","D12"))</f>
        <v>D12</v>
      </c>
      <c r="AI194" s="394" t="str">
        <f ca="1">IF(RawMaterials[[#This Row],[Lab Quote Count]]&gt;1,10^RawMaterials[[#This Row],[Lab Log-Log Intercept]]*INDIRECT(RawMaterials[[#This Row],[Basis Cell]])^RawMaterials[[#This Row],[Lab Log-Log Slope]],"&gt;&gt;&gt; Enter 2 or more lab quotes &lt;&lt;&lt;")</f>
        <v>&gt;&gt;&gt; Enter 2 or more lab quotes &lt;&lt;&lt;</v>
      </c>
      <c r="AJ19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2.0833683776470928</v>
      </c>
      <c r="AL194" s="396">
        <f>IF(ISTEXT(RawMaterials[[#This Row],[Unit price in quote year]]),"Check calcs",RawMaterials[[#This Row],[Unit price in quote year]]/VLOOKUP(RawMaterials[[#This Row],[Quote Year]],ChemPPI[],14,FALSE)*VLOOKUP(BasisYear,ChemPPI[],14,FALSE))</f>
        <v>2.4384196910843388</v>
      </c>
      <c r="AM194" s="397" t="str">
        <f t="shared" si="2"/>
        <v>$/kg (2016)</v>
      </c>
    </row>
    <row r="195" spans="1:39">
      <c r="A195" s="259" t="s">
        <v>1289</v>
      </c>
      <c r="B195" s="260"/>
      <c r="C195" s="351"/>
      <c r="D195" s="351"/>
      <c r="E195" s="260">
        <v>100</v>
      </c>
      <c r="F195" s="260"/>
      <c r="G195" s="351"/>
      <c r="H195" s="351"/>
      <c r="I195" s="262"/>
      <c r="J195" s="351"/>
      <c r="K195" s="351"/>
      <c r="L195" s="351"/>
      <c r="M195" s="351"/>
      <c r="N195" s="351"/>
      <c r="O195" s="351"/>
      <c r="P195" s="261">
        <v>16.5</v>
      </c>
      <c r="Q195" s="260">
        <v>1</v>
      </c>
      <c r="R195" s="260" t="s">
        <v>401</v>
      </c>
      <c r="S195" s="260">
        <v>2008</v>
      </c>
      <c r="T195" s="260" t="s">
        <v>161</v>
      </c>
      <c r="U195" s="386">
        <v>42653</v>
      </c>
      <c r="V195" s="387"/>
      <c r="W195" s="354">
        <f>COUNT(RawMaterials[[#This Row],[Lab Quantity 1]:[Lab Quantity 4]])</f>
        <v>0</v>
      </c>
      <c r="X19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5" s="392" t="e">
        <f>RawMaterials[[#This Row],[Lab Price 1]]/RawMaterials[[#This Row],[Lab Q Model Units 1]]</f>
        <v>#N/A</v>
      </c>
      <c r="AC195" s="392" t="e">
        <f>RawMaterials[[#This Row],[Lab Price 2]]/RawMaterials[[#This Row],[Lab Q Model Units 2]]</f>
        <v>#N/A</v>
      </c>
      <c r="AD195" s="392" t="e">
        <f>RawMaterials[[#This Row],[Lab Price 3]]/RawMaterials[[#This Row],[Lab Q Model Units 3]]</f>
        <v>#N/A</v>
      </c>
      <c r="AE195" s="392" t="e">
        <f>RawMaterials[[#This Row],[Lab Price 4]]/RawMaterials[[#This Row],[Lab Q Model Units 4]]</f>
        <v>#N/A</v>
      </c>
      <c r="AF195" s="392" t="str">
        <f ca="1">IF(RawMaterials[[#This Row],[Lab Quote Count]]&gt;1,SLOPE(LOG(INDIRECT("RawMaterials[@[Lab Unit P 1]:[Lab Unit P "&amp;RawMaterials[[#This Row],[Lab Quote Count]]&amp;"]]")),LOG(INDIRECT("RawMaterials[@[Lab Q Model Units 1]:[Lab Q Model Units "&amp;RawMaterials[[#This Row],[Lab Quote Count]]&amp;"]]"))),"")</f>
        <v/>
      </c>
      <c r="AG195" s="392" t="str">
        <f ca="1">IF(RawMaterials[[#This Row],[Lab Quote Count]]&gt;1,INTERCEPT(LOG(INDIRECT("RawMaterials[@[Lab Unit P 1]:[Lab Unit P "&amp;RawMaterials[[#This Row],[Lab Quote Count]]&amp;"]]")),LOG(INDIRECT("RawMaterials[@[Lab Q Model Units 1]:[Lab Q Model Units "&amp;RawMaterials[[#This Row],[Lab Quote Count]]&amp;"]]"))),"")</f>
        <v/>
      </c>
      <c r="AH195" s="393" t="str">
        <f>IF(RawMaterials[[#This Row],[Material Type]]="Metal Precursor","D13",IF(RawMaterials[[#This Row],[Material Type]]="Ligand","D13","D12"))</f>
        <v>D12</v>
      </c>
      <c r="AI195" s="394" t="str">
        <f ca="1">IF(RawMaterials[[#This Row],[Lab Quote Count]]&gt;1,10^RawMaterials[[#This Row],[Lab Log-Log Intercept]]*INDIRECT(RawMaterials[[#This Row],[Basis Cell]])^RawMaterials[[#This Row],[Lab Log-Log Slope]],"&gt;&gt;&gt; Enter 2 or more lab quotes &lt;&lt;&lt;")</f>
        <v>&gt;&gt;&gt; Enter 2 or more lab quotes &lt;&lt;&lt;</v>
      </c>
      <c r="AJ19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9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1.8188136630252399E-2</v>
      </c>
      <c r="AL195" s="396">
        <f>IF(ISTEXT(RawMaterials[[#This Row],[Unit price in quote year]]),"Check calcs",RawMaterials[[#This Row],[Unit price in quote year]]/VLOOKUP(RawMaterials[[#This Row],[Quote Year]],ChemPPI[],14,FALSE)*VLOOKUP(BasisYear,ChemPPI[],14,FALSE))</f>
        <v>2.1287790953910899E-2</v>
      </c>
      <c r="AM195" s="397" t="str">
        <f t="shared" si="2"/>
        <v>$/kg (2016)</v>
      </c>
    </row>
    <row r="196" spans="1:39">
      <c r="A196" s="259" t="s">
        <v>1290</v>
      </c>
      <c r="B196" s="260"/>
      <c r="C196" s="351"/>
      <c r="D196" s="351"/>
      <c r="E196" s="260">
        <v>100</v>
      </c>
      <c r="F196" s="260"/>
      <c r="G196" s="351"/>
      <c r="H196" s="351"/>
      <c r="I196" s="262"/>
      <c r="J196" s="351"/>
      <c r="K196" s="351"/>
      <c r="L196" s="351"/>
      <c r="M196" s="351"/>
      <c r="N196" s="351"/>
      <c r="O196" s="351"/>
      <c r="P196" s="261">
        <v>0.88</v>
      </c>
      <c r="Q196" s="260">
        <v>1</v>
      </c>
      <c r="R196" s="260" t="s">
        <v>20</v>
      </c>
      <c r="S196" s="260">
        <v>2008</v>
      </c>
      <c r="T196" s="260" t="s">
        <v>161</v>
      </c>
      <c r="U196" s="386">
        <v>42653</v>
      </c>
      <c r="V196" s="387"/>
      <c r="W196" s="354">
        <f>COUNT(RawMaterials[[#This Row],[Lab Quantity 1]:[Lab Quantity 4]])</f>
        <v>0</v>
      </c>
      <c r="X19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6" s="392" t="e">
        <f>RawMaterials[[#This Row],[Lab Price 1]]/RawMaterials[[#This Row],[Lab Q Model Units 1]]</f>
        <v>#N/A</v>
      </c>
      <c r="AC196" s="392" t="e">
        <f>RawMaterials[[#This Row],[Lab Price 2]]/RawMaterials[[#This Row],[Lab Q Model Units 2]]</f>
        <v>#N/A</v>
      </c>
      <c r="AD196" s="392" t="e">
        <f>RawMaterials[[#This Row],[Lab Price 3]]/RawMaterials[[#This Row],[Lab Q Model Units 3]]</f>
        <v>#N/A</v>
      </c>
      <c r="AE196" s="392" t="e">
        <f>RawMaterials[[#This Row],[Lab Price 4]]/RawMaterials[[#This Row],[Lab Q Model Units 4]]</f>
        <v>#N/A</v>
      </c>
      <c r="AF196" s="392" t="str">
        <f ca="1">IF(RawMaterials[[#This Row],[Lab Quote Count]]&gt;1,SLOPE(LOG(INDIRECT("RawMaterials[@[Lab Unit P 1]:[Lab Unit P "&amp;RawMaterials[[#This Row],[Lab Quote Count]]&amp;"]]")),LOG(INDIRECT("RawMaterials[@[Lab Q Model Units 1]:[Lab Q Model Units "&amp;RawMaterials[[#This Row],[Lab Quote Count]]&amp;"]]"))),"")</f>
        <v/>
      </c>
      <c r="AG196" s="392" t="str">
        <f ca="1">IF(RawMaterials[[#This Row],[Lab Quote Count]]&gt;1,INTERCEPT(LOG(INDIRECT("RawMaterials[@[Lab Unit P 1]:[Lab Unit P "&amp;RawMaterials[[#This Row],[Lab Quote Count]]&amp;"]]")),LOG(INDIRECT("RawMaterials[@[Lab Q Model Units 1]:[Lab Q Model Units "&amp;RawMaterials[[#This Row],[Lab Quote Count]]&amp;"]]"))),"")</f>
        <v/>
      </c>
      <c r="AH196" s="393" t="str">
        <f>IF(RawMaterials[[#This Row],[Material Type]]="Metal Precursor","D13",IF(RawMaterials[[#This Row],[Material Type]]="Ligand","D13","D12"))</f>
        <v>D12</v>
      </c>
      <c r="AI196" s="394" t="str">
        <f ca="1">IF(RawMaterials[[#This Row],[Lab Quote Count]]&gt;1,10^RawMaterials[[#This Row],[Lab Log-Log Intercept]]*INDIRECT(RawMaterials[[#This Row],[Basis Cell]])^RawMaterials[[#This Row],[Lab Log-Log Slope]],"&gt;&gt;&gt; Enter 2 or more lab quotes &lt;&lt;&lt;")</f>
        <v>&gt;&gt;&gt; Enter 2 or more lab quotes &lt;&lt;&lt;</v>
      </c>
      <c r="AJ19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1.9400679072269227</v>
      </c>
      <c r="AL196" s="396">
        <f>IF(ISTEXT(RawMaterials[[#This Row],[Unit price in quote year]]),"Check calcs",RawMaterials[[#This Row],[Unit price in quote year]]/VLOOKUP(RawMaterials[[#This Row],[Quote Year]],ChemPPI[],14,FALSE)*VLOOKUP(BasisYear,ChemPPI[],14,FALSE))</f>
        <v>2.2706977017504957</v>
      </c>
      <c r="AM196" s="397" t="str">
        <f t="shared" si="2"/>
        <v>$/kg (2016)</v>
      </c>
    </row>
    <row r="197" spans="1:39">
      <c r="A197" s="259" t="s">
        <v>1291</v>
      </c>
      <c r="B197" s="260"/>
      <c r="C197" s="351"/>
      <c r="D197" s="351"/>
      <c r="E197" s="260">
        <v>100</v>
      </c>
      <c r="F197" s="260"/>
      <c r="G197" s="351"/>
      <c r="H197" s="351"/>
      <c r="I197" s="262"/>
      <c r="J197" s="351"/>
      <c r="K197" s="351"/>
      <c r="L197" s="351"/>
      <c r="M197" s="351"/>
      <c r="N197" s="351"/>
      <c r="O197" s="351"/>
      <c r="P197" s="261">
        <v>0.78</v>
      </c>
      <c r="Q197" s="260">
        <v>1</v>
      </c>
      <c r="R197" s="260" t="s">
        <v>20</v>
      </c>
      <c r="S197" s="260">
        <v>2008</v>
      </c>
      <c r="T197" s="260" t="s">
        <v>161</v>
      </c>
      <c r="U197" s="386">
        <v>42653</v>
      </c>
      <c r="V197" s="387"/>
      <c r="W197" s="354">
        <f>COUNT(RawMaterials[[#This Row],[Lab Quantity 1]:[Lab Quantity 4]])</f>
        <v>0</v>
      </c>
      <c r="X19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7" s="392" t="e">
        <f>RawMaterials[[#This Row],[Lab Price 1]]/RawMaterials[[#This Row],[Lab Q Model Units 1]]</f>
        <v>#N/A</v>
      </c>
      <c r="AC197" s="392" t="e">
        <f>RawMaterials[[#This Row],[Lab Price 2]]/RawMaterials[[#This Row],[Lab Q Model Units 2]]</f>
        <v>#N/A</v>
      </c>
      <c r="AD197" s="392" t="e">
        <f>RawMaterials[[#This Row],[Lab Price 3]]/RawMaterials[[#This Row],[Lab Q Model Units 3]]</f>
        <v>#N/A</v>
      </c>
      <c r="AE197" s="392" t="e">
        <f>RawMaterials[[#This Row],[Lab Price 4]]/RawMaterials[[#This Row],[Lab Q Model Units 4]]</f>
        <v>#N/A</v>
      </c>
      <c r="AF197" s="392" t="str">
        <f ca="1">IF(RawMaterials[[#This Row],[Lab Quote Count]]&gt;1,SLOPE(LOG(INDIRECT("RawMaterials[@[Lab Unit P 1]:[Lab Unit P "&amp;RawMaterials[[#This Row],[Lab Quote Count]]&amp;"]]")),LOG(INDIRECT("RawMaterials[@[Lab Q Model Units 1]:[Lab Q Model Units "&amp;RawMaterials[[#This Row],[Lab Quote Count]]&amp;"]]"))),"")</f>
        <v/>
      </c>
      <c r="AG197" s="392" t="str">
        <f ca="1">IF(RawMaterials[[#This Row],[Lab Quote Count]]&gt;1,INTERCEPT(LOG(INDIRECT("RawMaterials[@[Lab Unit P 1]:[Lab Unit P "&amp;RawMaterials[[#This Row],[Lab Quote Count]]&amp;"]]")),LOG(INDIRECT("RawMaterials[@[Lab Q Model Units 1]:[Lab Q Model Units "&amp;RawMaterials[[#This Row],[Lab Quote Count]]&amp;"]]"))),"")</f>
        <v/>
      </c>
      <c r="AH197" s="393" t="str">
        <f>IF(RawMaterials[[#This Row],[Material Type]]="Metal Precursor","D13",IF(RawMaterials[[#This Row],[Material Type]]="Ligand","D13","D12"))</f>
        <v>D12</v>
      </c>
      <c r="AI197" s="394" t="str">
        <f ca="1">IF(RawMaterials[[#This Row],[Lab Quote Count]]&gt;1,10^RawMaterials[[#This Row],[Lab Log-Log Intercept]]*INDIRECT(RawMaterials[[#This Row],[Basis Cell]])^RawMaterials[[#This Row],[Lab Log-Log Slope]],"&gt;&gt;&gt; Enter 2 or more lab quotes &lt;&lt;&lt;")</f>
        <v>&gt;&gt;&gt; Enter 2 or more lab quotes &lt;&lt;&lt;</v>
      </c>
      <c r="AJ19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1.7196056450420452</v>
      </c>
      <c r="AL197" s="396">
        <f>IF(ISTEXT(RawMaterials[[#This Row],[Unit price in quote year]]),"Check calcs",RawMaterials[[#This Row],[Unit price in quote year]]/VLOOKUP(RawMaterials[[#This Row],[Quote Year]],ChemPPI[],14,FALSE)*VLOOKUP(BasisYear,ChemPPI[],14,FALSE))</f>
        <v>2.0126638720061214</v>
      </c>
      <c r="AM197" s="397" t="str">
        <f t="shared" si="2"/>
        <v>$/kg (2016)</v>
      </c>
    </row>
    <row r="198" spans="1:39">
      <c r="A198" s="259" t="s">
        <v>1292</v>
      </c>
      <c r="B198" s="260"/>
      <c r="C198" s="351"/>
      <c r="D198" s="351"/>
      <c r="E198" s="260">
        <v>100</v>
      </c>
      <c r="F198" s="260"/>
      <c r="G198" s="351"/>
      <c r="H198" s="351"/>
      <c r="I198" s="262"/>
      <c r="J198" s="351"/>
      <c r="K198" s="351"/>
      <c r="L198" s="351"/>
      <c r="M198" s="351"/>
      <c r="N198" s="351"/>
      <c r="O198" s="351"/>
      <c r="P198" s="261">
        <v>1.37</v>
      </c>
      <c r="Q198" s="260">
        <v>1</v>
      </c>
      <c r="R198" s="260" t="s">
        <v>20</v>
      </c>
      <c r="S198" s="260">
        <v>2008</v>
      </c>
      <c r="T198" s="260" t="s">
        <v>161</v>
      </c>
      <c r="U198" s="386">
        <v>42653</v>
      </c>
      <c r="V198" s="387"/>
      <c r="W198" s="354">
        <f>COUNT(RawMaterials[[#This Row],[Lab Quantity 1]:[Lab Quantity 4]])</f>
        <v>0</v>
      </c>
      <c r="X19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8" s="392" t="e">
        <f>RawMaterials[[#This Row],[Lab Price 1]]/RawMaterials[[#This Row],[Lab Q Model Units 1]]</f>
        <v>#N/A</v>
      </c>
      <c r="AC198" s="392" t="e">
        <f>RawMaterials[[#This Row],[Lab Price 2]]/RawMaterials[[#This Row],[Lab Q Model Units 2]]</f>
        <v>#N/A</v>
      </c>
      <c r="AD198" s="392" t="e">
        <f>RawMaterials[[#This Row],[Lab Price 3]]/RawMaterials[[#This Row],[Lab Q Model Units 3]]</f>
        <v>#N/A</v>
      </c>
      <c r="AE198" s="392" t="e">
        <f>RawMaterials[[#This Row],[Lab Price 4]]/RawMaterials[[#This Row],[Lab Q Model Units 4]]</f>
        <v>#N/A</v>
      </c>
      <c r="AF198" s="392" t="str">
        <f ca="1">IF(RawMaterials[[#This Row],[Lab Quote Count]]&gt;1,SLOPE(LOG(INDIRECT("RawMaterials[@[Lab Unit P 1]:[Lab Unit P "&amp;RawMaterials[[#This Row],[Lab Quote Count]]&amp;"]]")),LOG(INDIRECT("RawMaterials[@[Lab Q Model Units 1]:[Lab Q Model Units "&amp;RawMaterials[[#This Row],[Lab Quote Count]]&amp;"]]"))),"")</f>
        <v/>
      </c>
      <c r="AG198" s="392" t="str">
        <f ca="1">IF(RawMaterials[[#This Row],[Lab Quote Count]]&gt;1,INTERCEPT(LOG(INDIRECT("RawMaterials[@[Lab Unit P 1]:[Lab Unit P "&amp;RawMaterials[[#This Row],[Lab Quote Count]]&amp;"]]")),LOG(INDIRECT("RawMaterials[@[Lab Q Model Units 1]:[Lab Q Model Units "&amp;RawMaterials[[#This Row],[Lab Quote Count]]&amp;"]]"))),"")</f>
        <v/>
      </c>
      <c r="AH198" s="393" t="str">
        <f>IF(RawMaterials[[#This Row],[Material Type]]="Metal Precursor","D13",IF(RawMaterials[[#This Row],[Material Type]]="Ligand","D13","D12"))</f>
        <v>D12</v>
      </c>
      <c r="AI198" s="394" t="str">
        <f ca="1">IF(RawMaterials[[#This Row],[Lab Quote Count]]&gt;1,10^RawMaterials[[#This Row],[Lab Log-Log Intercept]]*INDIRECT(RawMaterials[[#This Row],[Basis Cell]])^RawMaterials[[#This Row],[Lab Log-Log Slope]],"&gt;&gt;&gt; Enter 2 or more lab quotes &lt;&lt;&lt;")</f>
        <v>&gt;&gt;&gt; Enter 2 or more lab quotes &lt;&lt;&lt;</v>
      </c>
      <c r="AJ19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3.0203329919328228</v>
      </c>
      <c r="AL198" s="396">
        <f>IF(ISTEXT(RawMaterials[[#This Row],[Unit price in quote year]]),"Check calcs",RawMaterials[[#This Row],[Unit price in quote year]]/VLOOKUP(RawMaterials[[#This Row],[Quote Year]],ChemPPI[],14,FALSE)*VLOOKUP(BasisYear,ChemPPI[],14,FALSE))</f>
        <v>3.5350634674979307</v>
      </c>
      <c r="AM198" s="397" t="str">
        <f t="shared" si="2"/>
        <v>$/kg (2016)</v>
      </c>
    </row>
    <row r="199" spans="1:39">
      <c r="A199" s="259" t="s">
        <v>1293</v>
      </c>
      <c r="B199" s="260"/>
      <c r="C199" s="351"/>
      <c r="D199" s="351"/>
      <c r="E199" s="260">
        <v>100</v>
      </c>
      <c r="F199" s="260"/>
      <c r="G199" s="351"/>
      <c r="H199" s="351"/>
      <c r="I199" s="262"/>
      <c r="J199" s="351"/>
      <c r="K199" s="351"/>
      <c r="L199" s="351"/>
      <c r="M199" s="351"/>
      <c r="N199" s="351"/>
      <c r="O199" s="351"/>
      <c r="P199" s="261">
        <v>325.5</v>
      </c>
      <c r="Q199" s="260">
        <v>1</v>
      </c>
      <c r="R199" s="260" t="s">
        <v>20</v>
      </c>
      <c r="S199" s="260">
        <v>2006</v>
      </c>
      <c r="T199" s="260" t="s">
        <v>161</v>
      </c>
      <c r="U199" s="386">
        <v>42653</v>
      </c>
      <c r="V199" s="387"/>
      <c r="W199" s="354">
        <f>COUNT(RawMaterials[[#This Row],[Lab Quantity 1]:[Lab Quantity 4]])</f>
        <v>0</v>
      </c>
      <c r="X19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9" s="392" t="e">
        <f>RawMaterials[[#This Row],[Lab Price 1]]/RawMaterials[[#This Row],[Lab Q Model Units 1]]</f>
        <v>#N/A</v>
      </c>
      <c r="AC199" s="392" t="e">
        <f>RawMaterials[[#This Row],[Lab Price 2]]/RawMaterials[[#This Row],[Lab Q Model Units 2]]</f>
        <v>#N/A</v>
      </c>
      <c r="AD199" s="392" t="e">
        <f>RawMaterials[[#This Row],[Lab Price 3]]/RawMaterials[[#This Row],[Lab Q Model Units 3]]</f>
        <v>#N/A</v>
      </c>
      <c r="AE199" s="392" t="e">
        <f>RawMaterials[[#This Row],[Lab Price 4]]/RawMaterials[[#This Row],[Lab Q Model Units 4]]</f>
        <v>#N/A</v>
      </c>
      <c r="AF199" s="392" t="str">
        <f ca="1">IF(RawMaterials[[#This Row],[Lab Quote Count]]&gt;1,SLOPE(LOG(INDIRECT("RawMaterials[@[Lab Unit P 1]:[Lab Unit P "&amp;RawMaterials[[#This Row],[Lab Quote Count]]&amp;"]]")),LOG(INDIRECT("RawMaterials[@[Lab Q Model Units 1]:[Lab Q Model Units "&amp;RawMaterials[[#This Row],[Lab Quote Count]]&amp;"]]"))),"")</f>
        <v/>
      </c>
      <c r="AG199" s="392" t="str">
        <f ca="1">IF(RawMaterials[[#This Row],[Lab Quote Count]]&gt;1,INTERCEPT(LOG(INDIRECT("RawMaterials[@[Lab Unit P 1]:[Lab Unit P "&amp;RawMaterials[[#This Row],[Lab Quote Count]]&amp;"]]")),LOG(INDIRECT("RawMaterials[@[Lab Q Model Units 1]:[Lab Q Model Units "&amp;RawMaterials[[#This Row],[Lab Quote Count]]&amp;"]]"))),"")</f>
        <v/>
      </c>
      <c r="AH199" s="393" t="str">
        <f>IF(RawMaterials[[#This Row],[Material Type]]="Metal Precursor","D13",IF(RawMaterials[[#This Row],[Material Type]]="Ligand","D13","D12"))</f>
        <v>D12</v>
      </c>
      <c r="AI199" s="394" t="str">
        <f ca="1">IF(RawMaterials[[#This Row],[Lab Quote Count]]&gt;1,10^RawMaterials[[#This Row],[Lab Log-Log Intercept]]*INDIRECT(RawMaterials[[#This Row],[Basis Cell]])^RawMaterials[[#This Row],[Lab Log-Log Slope]],"&gt;&gt;&gt; Enter 2 or more lab quotes &lt;&lt;&lt;")</f>
        <v>&gt;&gt;&gt; Enter 2 or more lab quotes &lt;&lt;&lt;</v>
      </c>
      <c r="AJ19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717.60466341177653</v>
      </c>
      <c r="AL199" s="396">
        <f>IF(ISTEXT(RawMaterials[[#This Row],[Unit price in quote year]]),"Check calcs",RawMaterials[[#This Row],[Unit price in quote year]]/VLOOKUP(RawMaterials[[#This Row],[Quote Year]],ChemPPI[],14,FALSE)*VLOOKUP(BasisYear,ChemPPI[],14,FALSE))</f>
        <v>973.94413413254847</v>
      </c>
      <c r="AM199" s="397" t="str">
        <f t="shared" si="2"/>
        <v>$/kg (2016)</v>
      </c>
    </row>
    <row r="200" spans="1:39">
      <c r="A200" s="259" t="s">
        <v>1294</v>
      </c>
      <c r="B200" s="260"/>
      <c r="C200" s="351"/>
      <c r="D200" s="351"/>
      <c r="E200" s="260">
        <v>100</v>
      </c>
      <c r="F200" s="260"/>
      <c r="G200" s="351"/>
      <c r="H200" s="351"/>
      <c r="I200" s="262"/>
      <c r="J200" s="351"/>
      <c r="K200" s="351"/>
      <c r="L200" s="351"/>
      <c r="M200" s="351"/>
      <c r="N200" s="351"/>
      <c r="O200" s="351"/>
      <c r="P200" s="261">
        <v>2.5</v>
      </c>
      <c r="Q200" s="260">
        <v>1</v>
      </c>
      <c r="R200" s="260" t="s">
        <v>401</v>
      </c>
      <c r="S200" s="260">
        <v>2006</v>
      </c>
      <c r="T200" s="260" t="s">
        <v>161</v>
      </c>
      <c r="U200" s="386">
        <v>42653</v>
      </c>
      <c r="V200" s="387"/>
      <c r="W200" s="354">
        <f>COUNT(RawMaterials[[#This Row],[Lab Quantity 1]:[Lab Quantity 4]])</f>
        <v>0</v>
      </c>
      <c r="X20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0" s="392" t="e">
        <f>RawMaterials[[#This Row],[Lab Price 1]]/RawMaterials[[#This Row],[Lab Q Model Units 1]]</f>
        <v>#N/A</v>
      </c>
      <c r="AC200" s="392" t="e">
        <f>RawMaterials[[#This Row],[Lab Price 2]]/RawMaterials[[#This Row],[Lab Q Model Units 2]]</f>
        <v>#N/A</v>
      </c>
      <c r="AD200" s="392" t="e">
        <f>RawMaterials[[#This Row],[Lab Price 3]]/RawMaterials[[#This Row],[Lab Q Model Units 3]]</f>
        <v>#N/A</v>
      </c>
      <c r="AE200" s="392" t="e">
        <f>RawMaterials[[#This Row],[Lab Price 4]]/RawMaterials[[#This Row],[Lab Q Model Units 4]]</f>
        <v>#N/A</v>
      </c>
      <c r="AF200" s="392" t="str">
        <f ca="1">IF(RawMaterials[[#This Row],[Lab Quote Count]]&gt;1,SLOPE(LOG(INDIRECT("RawMaterials[@[Lab Unit P 1]:[Lab Unit P "&amp;RawMaterials[[#This Row],[Lab Quote Count]]&amp;"]]")),LOG(INDIRECT("RawMaterials[@[Lab Q Model Units 1]:[Lab Q Model Units "&amp;RawMaterials[[#This Row],[Lab Quote Count]]&amp;"]]"))),"")</f>
        <v/>
      </c>
      <c r="AG200" s="392" t="str">
        <f ca="1">IF(RawMaterials[[#This Row],[Lab Quote Count]]&gt;1,INTERCEPT(LOG(INDIRECT("RawMaterials[@[Lab Unit P 1]:[Lab Unit P "&amp;RawMaterials[[#This Row],[Lab Quote Count]]&amp;"]]")),LOG(INDIRECT("RawMaterials[@[Lab Q Model Units 1]:[Lab Q Model Units "&amp;RawMaterials[[#This Row],[Lab Quote Count]]&amp;"]]"))),"")</f>
        <v/>
      </c>
      <c r="AH200" s="393" t="str">
        <f>IF(RawMaterials[[#This Row],[Material Type]]="Metal Precursor","D13",IF(RawMaterials[[#This Row],[Material Type]]="Ligand","D13","D12"))</f>
        <v>D12</v>
      </c>
      <c r="AI200" s="394" t="str">
        <f ca="1">IF(RawMaterials[[#This Row],[Lab Quote Count]]&gt;1,10^RawMaterials[[#This Row],[Lab Log-Log Intercept]]*INDIRECT(RawMaterials[[#This Row],[Basis Cell]])^RawMaterials[[#This Row],[Lab Log-Log Slope]],"&gt;&gt;&gt; Enter 2 or more lab quotes &lt;&lt;&lt;")</f>
        <v>&gt;&gt;&gt; Enter 2 or more lab quotes &lt;&lt;&lt;</v>
      </c>
      <c r="AJ20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0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2.7557782773109697E-3</v>
      </c>
      <c r="AL200" s="396">
        <f>IF(ISTEXT(RawMaterials[[#This Row],[Unit price in quote year]]),"Check calcs",RawMaterials[[#This Row],[Unit price in quote year]]/VLOOKUP(RawMaterials[[#This Row],[Quote Year]],ChemPPI[],14,FALSE)*VLOOKUP(BasisYear,ChemPPI[],14,FALSE))</f>
        <v>3.7401848468991876E-3</v>
      </c>
      <c r="AM200" s="397" t="str">
        <f t="shared" si="2"/>
        <v>$/kg (2016)</v>
      </c>
    </row>
    <row r="201" spans="1:39">
      <c r="A201" s="259" t="s">
        <v>1295</v>
      </c>
      <c r="B201" s="260"/>
      <c r="C201" s="351"/>
      <c r="D201" s="351"/>
      <c r="E201" s="260">
        <v>100</v>
      </c>
      <c r="F201" s="260"/>
      <c r="G201" s="351"/>
      <c r="H201" s="351"/>
      <c r="I201" s="262"/>
      <c r="J201" s="351"/>
      <c r="K201" s="351"/>
      <c r="L201" s="351"/>
      <c r="M201" s="351"/>
      <c r="N201" s="351"/>
      <c r="O201" s="351"/>
      <c r="P201" s="261">
        <v>166</v>
      </c>
      <c r="Q201" s="260">
        <v>1</v>
      </c>
      <c r="R201" s="260" t="s">
        <v>20</v>
      </c>
      <c r="S201" s="260">
        <v>2006</v>
      </c>
      <c r="T201" s="260" t="s">
        <v>161</v>
      </c>
      <c r="U201" s="386">
        <v>42653</v>
      </c>
      <c r="V201" s="387"/>
      <c r="W201" s="354">
        <f>COUNT(RawMaterials[[#This Row],[Lab Quantity 1]:[Lab Quantity 4]])</f>
        <v>0</v>
      </c>
      <c r="X20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1" s="392" t="e">
        <f>RawMaterials[[#This Row],[Lab Price 1]]/RawMaterials[[#This Row],[Lab Q Model Units 1]]</f>
        <v>#N/A</v>
      </c>
      <c r="AC201" s="392" t="e">
        <f>RawMaterials[[#This Row],[Lab Price 2]]/RawMaterials[[#This Row],[Lab Q Model Units 2]]</f>
        <v>#N/A</v>
      </c>
      <c r="AD201" s="392" t="e">
        <f>RawMaterials[[#This Row],[Lab Price 3]]/RawMaterials[[#This Row],[Lab Q Model Units 3]]</f>
        <v>#N/A</v>
      </c>
      <c r="AE201" s="392" t="e">
        <f>RawMaterials[[#This Row],[Lab Price 4]]/RawMaterials[[#This Row],[Lab Q Model Units 4]]</f>
        <v>#N/A</v>
      </c>
      <c r="AF201" s="392" t="str">
        <f ca="1">IF(RawMaterials[[#This Row],[Lab Quote Count]]&gt;1,SLOPE(LOG(INDIRECT("RawMaterials[@[Lab Unit P 1]:[Lab Unit P "&amp;RawMaterials[[#This Row],[Lab Quote Count]]&amp;"]]")),LOG(INDIRECT("RawMaterials[@[Lab Q Model Units 1]:[Lab Q Model Units "&amp;RawMaterials[[#This Row],[Lab Quote Count]]&amp;"]]"))),"")</f>
        <v/>
      </c>
      <c r="AG201" s="392" t="str">
        <f ca="1">IF(RawMaterials[[#This Row],[Lab Quote Count]]&gt;1,INTERCEPT(LOG(INDIRECT("RawMaterials[@[Lab Unit P 1]:[Lab Unit P "&amp;RawMaterials[[#This Row],[Lab Quote Count]]&amp;"]]")),LOG(INDIRECT("RawMaterials[@[Lab Q Model Units 1]:[Lab Q Model Units "&amp;RawMaterials[[#This Row],[Lab Quote Count]]&amp;"]]"))),"")</f>
        <v/>
      </c>
      <c r="AH201" s="393" t="str">
        <f>IF(RawMaterials[[#This Row],[Material Type]]="Metal Precursor","D13",IF(RawMaterials[[#This Row],[Material Type]]="Ligand","D13","D12"))</f>
        <v>D12</v>
      </c>
      <c r="AI201" s="394" t="str">
        <f ca="1">IF(RawMaterials[[#This Row],[Lab Quote Count]]&gt;1,10^RawMaterials[[#This Row],[Lab Log-Log Intercept]]*INDIRECT(RawMaterials[[#This Row],[Basis Cell]])^RawMaterials[[#This Row],[Lab Log-Log Slope]],"&gt;&gt;&gt; Enter 2 or more lab quotes &lt;&lt;&lt;")</f>
        <v>&gt;&gt;&gt; Enter 2 or more lab quotes &lt;&lt;&lt;</v>
      </c>
      <c r="AJ20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365.96735522689676</v>
      </c>
      <c r="AL201" s="396">
        <f>IF(ISTEXT(RawMaterials[[#This Row],[Unit price in quote year]]),"Check calcs",RawMaterials[[#This Row],[Unit price in quote year]]/VLOOKUP(RawMaterials[[#This Row],[Quote Year]],ChemPPI[],14,FALSE)*VLOOKUP(BasisYear,ChemPPI[],14,FALSE))</f>
        <v>496.69654766821213</v>
      </c>
      <c r="AM201" s="397" t="str">
        <f t="shared" si="2"/>
        <v>$/kg (2016)</v>
      </c>
    </row>
    <row r="202" spans="1:39">
      <c r="A202" s="259" t="s">
        <v>1296</v>
      </c>
      <c r="B202" s="260"/>
      <c r="C202" s="351"/>
      <c r="D202" s="351"/>
      <c r="E202" s="260">
        <v>100</v>
      </c>
      <c r="F202" s="260"/>
      <c r="G202" s="351"/>
      <c r="H202" s="351"/>
      <c r="I202" s="262"/>
      <c r="J202" s="351"/>
      <c r="K202" s="351"/>
      <c r="L202" s="351"/>
      <c r="M202" s="351"/>
      <c r="N202" s="351"/>
      <c r="O202" s="351"/>
      <c r="P202" s="261">
        <v>12.5</v>
      </c>
      <c r="Q202" s="260">
        <v>1</v>
      </c>
      <c r="R202" s="260" t="s">
        <v>401</v>
      </c>
      <c r="S202" s="260">
        <v>2006</v>
      </c>
      <c r="T202" s="260" t="s">
        <v>161</v>
      </c>
      <c r="U202" s="386">
        <v>42653</v>
      </c>
      <c r="V202" s="387"/>
      <c r="W202" s="354">
        <f>COUNT(RawMaterials[[#This Row],[Lab Quantity 1]:[Lab Quantity 4]])</f>
        <v>0</v>
      </c>
      <c r="X20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2" s="392" t="e">
        <f>RawMaterials[[#This Row],[Lab Price 1]]/RawMaterials[[#This Row],[Lab Q Model Units 1]]</f>
        <v>#N/A</v>
      </c>
      <c r="AC202" s="392" t="e">
        <f>RawMaterials[[#This Row],[Lab Price 2]]/RawMaterials[[#This Row],[Lab Q Model Units 2]]</f>
        <v>#N/A</v>
      </c>
      <c r="AD202" s="392" t="e">
        <f>RawMaterials[[#This Row],[Lab Price 3]]/RawMaterials[[#This Row],[Lab Q Model Units 3]]</f>
        <v>#N/A</v>
      </c>
      <c r="AE202" s="392" t="e">
        <f>RawMaterials[[#This Row],[Lab Price 4]]/RawMaterials[[#This Row],[Lab Q Model Units 4]]</f>
        <v>#N/A</v>
      </c>
      <c r="AF202" s="392" t="str">
        <f ca="1">IF(RawMaterials[[#This Row],[Lab Quote Count]]&gt;1,SLOPE(LOG(INDIRECT("RawMaterials[@[Lab Unit P 1]:[Lab Unit P "&amp;RawMaterials[[#This Row],[Lab Quote Count]]&amp;"]]")),LOG(INDIRECT("RawMaterials[@[Lab Q Model Units 1]:[Lab Q Model Units "&amp;RawMaterials[[#This Row],[Lab Quote Count]]&amp;"]]"))),"")</f>
        <v/>
      </c>
      <c r="AG202" s="392" t="str">
        <f ca="1">IF(RawMaterials[[#This Row],[Lab Quote Count]]&gt;1,INTERCEPT(LOG(INDIRECT("RawMaterials[@[Lab Unit P 1]:[Lab Unit P "&amp;RawMaterials[[#This Row],[Lab Quote Count]]&amp;"]]")),LOG(INDIRECT("RawMaterials[@[Lab Q Model Units 1]:[Lab Q Model Units "&amp;RawMaterials[[#This Row],[Lab Quote Count]]&amp;"]]"))),"")</f>
        <v/>
      </c>
      <c r="AH202" s="393" t="str">
        <f>IF(RawMaterials[[#This Row],[Material Type]]="Metal Precursor","D13",IF(RawMaterials[[#This Row],[Material Type]]="Ligand","D13","D12"))</f>
        <v>D12</v>
      </c>
      <c r="AI202" s="394" t="str">
        <f ca="1">IF(RawMaterials[[#This Row],[Lab Quote Count]]&gt;1,10^RawMaterials[[#This Row],[Lab Log-Log Intercept]]*INDIRECT(RawMaterials[[#This Row],[Basis Cell]])^RawMaterials[[#This Row],[Lab Log-Log Slope]],"&gt;&gt;&gt; Enter 2 or more lab quotes &lt;&lt;&lt;")</f>
        <v>&gt;&gt;&gt; Enter 2 or more lab quotes &lt;&lt;&lt;</v>
      </c>
      <c r="AJ20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0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1.3778891386554849E-2</v>
      </c>
      <c r="AL202" s="396">
        <f>IF(ISTEXT(RawMaterials[[#This Row],[Unit price in quote year]]),"Check calcs",RawMaterials[[#This Row],[Unit price in quote year]]/VLOOKUP(RawMaterials[[#This Row],[Quote Year]],ChemPPI[],14,FALSE)*VLOOKUP(BasisYear,ChemPPI[],14,FALSE))</f>
        <v>1.8700924234495941E-2</v>
      </c>
      <c r="AM202" s="397" t="str">
        <f t="shared" si="2"/>
        <v>$/kg (2016)</v>
      </c>
    </row>
    <row r="203" spans="1:39">
      <c r="A203" s="259" t="s">
        <v>1297</v>
      </c>
      <c r="B203" s="260"/>
      <c r="C203" s="351"/>
      <c r="D203" s="351"/>
      <c r="E203" s="260">
        <v>100</v>
      </c>
      <c r="F203" s="260"/>
      <c r="G203" s="351"/>
      <c r="H203" s="351"/>
      <c r="I203" s="262"/>
      <c r="J203" s="351"/>
      <c r="K203" s="351"/>
      <c r="L203" s="351"/>
      <c r="M203" s="351"/>
      <c r="N203" s="351"/>
      <c r="O203" s="351"/>
      <c r="P203" s="261">
        <v>0.55000000000000004</v>
      </c>
      <c r="Q203" s="260">
        <v>1</v>
      </c>
      <c r="R203" s="260" t="s">
        <v>20</v>
      </c>
      <c r="S203" s="260">
        <v>2006</v>
      </c>
      <c r="T203" s="260" t="s">
        <v>161</v>
      </c>
      <c r="U203" s="386">
        <v>42653</v>
      </c>
      <c r="V203" s="387"/>
      <c r="W203" s="354">
        <f>COUNT(RawMaterials[[#This Row],[Lab Quantity 1]:[Lab Quantity 4]])</f>
        <v>0</v>
      </c>
      <c r="X20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3" s="392" t="e">
        <f>RawMaterials[[#This Row],[Lab Price 1]]/RawMaterials[[#This Row],[Lab Q Model Units 1]]</f>
        <v>#N/A</v>
      </c>
      <c r="AC203" s="392" t="e">
        <f>RawMaterials[[#This Row],[Lab Price 2]]/RawMaterials[[#This Row],[Lab Q Model Units 2]]</f>
        <v>#N/A</v>
      </c>
      <c r="AD203" s="392" t="e">
        <f>RawMaterials[[#This Row],[Lab Price 3]]/RawMaterials[[#This Row],[Lab Q Model Units 3]]</f>
        <v>#N/A</v>
      </c>
      <c r="AE203" s="392" t="e">
        <f>RawMaterials[[#This Row],[Lab Price 4]]/RawMaterials[[#This Row],[Lab Q Model Units 4]]</f>
        <v>#N/A</v>
      </c>
      <c r="AF203" s="392" t="str">
        <f ca="1">IF(RawMaterials[[#This Row],[Lab Quote Count]]&gt;1,SLOPE(LOG(INDIRECT("RawMaterials[@[Lab Unit P 1]:[Lab Unit P "&amp;RawMaterials[[#This Row],[Lab Quote Count]]&amp;"]]")),LOG(INDIRECT("RawMaterials[@[Lab Q Model Units 1]:[Lab Q Model Units "&amp;RawMaterials[[#This Row],[Lab Quote Count]]&amp;"]]"))),"")</f>
        <v/>
      </c>
      <c r="AG203" s="392" t="str">
        <f ca="1">IF(RawMaterials[[#This Row],[Lab Quote Count]]&gt;1,INTERCEPT(LOG(INDIRECT("RawMaterials[@[Lab Unit P 1]:[Lab Unit P "&amp;RawMaterials[[#This Row],[Lab Quote Count]]&amp;"]]")),LOG(INDIRECT("RawMaterials[@[Lab Q Model Units 1]:[Lab Q Model Units "&amp;RawMaterials[[#This Row],[Lab Quote Count]]&amp;"]]"))),"")</f>
        <v/>
      </c>
      <c r="AH203" s="393" t="str">
        <f>IF(RawMaterials[[#This Row],[Material Type]]="Metal Precursor","D13",IF(RawMaterials[[#This Row],[Material Type]]="Ligand","D13","D12"))</f>
        <v>D12</v>
      </c>
      <c r="AI203" s="394" t="str">
        <f ca="1">IF(RawMaterials[[#This Row],[Lab Quote Count]]&gt;1,10^RawMaterials[[#This Row],[Lab Log-Log Intercept]]*INDIRECT(RawMaterials[[#This Row],[Basis Cell]])^RawMaterials[[#This Row],[Lab Log-Log Slope]],"&gt;&gt;&gt; Enter 2 or more lab quotes &lt;&lt;&lt;")</f>
        <v>&gt;&gt;&gt; Enter 2 or more lab quotes &lt;&lt;&lt;</v>
      </c>
      <c r="AJ20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1.2125424420168267</v>
      </c>
      <c r="AL203" s="396">
        <f>IF(ISTEXT(RawMaterials[[#This Row],[Unit price in quote year]]),"Check calcs",RawMaterials[[#This Row],[Unit price in quote year]]/VLOOKUP(RawMaterials[[#This Row],[Quote Year]],ChemPPI[],14,FALSE)*VLOOKUP(BasisYear,ChemPPI[],14,FALSE))</f>
        <v>1.6456813326356425</v>
      </c>
      <c r="AM203" s="397" t="str">
        <f t="shared" si="2"/>
        <v>$/kg (2016)</v>
      </c>
    </row>
    <row r="204" spans="1:39">
      <c r="A204" s="259" t="s">
        <v>1298</v>
      </c>
      <c r="B204" s="260"/>
      <c r="C204" s="351"/>
      <c r="D204" s="351"/>
      <c r="E204" s="260">
        <v>37</v>
      </c>
      <c r="F204" s="260"/>
      <c r="G204" s="351"/>
      <c r="H204" s="351"/>
      <c r="I204" s="262"/>
      <c r="J204" s="351"/>
      <c r="K204" s="351"/>
      <c r="L204" s="351"/>
      <c r="M204" s="351"/>
      <c r="N204" s="351"/>
      <c r="O204" s="351"/>
      <c r="P204" s="261">
        <v>0.21</v>
      </c>
      <c r="Q204" s="260">
        <v>1</v>
      </c>
      <c r="R204" s="260" t="s">
        <v>20</v>
      </c>
      <c r="S204" s="260">
        <v>2006</v>
      </c>
      <c r="T204" s="260" t="s">
        <v>161</v>
      </c>
      <c r="U204" s="386">
        <v>42653</v>
      </c>
      <c r="V204" s="387"/>
      <c r="W204" s="354">
        <f>COUNT(RawMaterials[[#This Row],[Lab Quantity 1]:[Lab Quantity 4]])</f>
        <v>0</v>
      </c>
      <c r="X20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4" s="392" t="e">
        <f>RawMaterials[[#This Row],[Lab Price 1]]/RawMaterials[[#This Row],[Lab Q Model Units 1]]</f>
        <v>#N/A</v>
      </c>
      <c r="AC204" s="392" t="e">
        <f>RawMaterials[[#This Row],[Lab Price 2]]/RawMaterials[[#This Row],[Lab Q Model Units 2]]</f>
        <v>#N/A</v>
      </c>
      <c r="AD204" s="392" t="e">
        <f>RawMaterials[[#This Row],[Lab Price 3]]/RawMaterials[[#This Row],[Lab Q Model Units 3]]</f>
        <v>#N/A</v>
      </c>
      <c r="AE204" s="392" t="e">
        <f>RawMaterials[[#This Row],[Lab Price 4]]/RawMaterials[[#This Row],[Lab Q Model Units 4]]</f>
        <v>#N/A</v>
      </c>
      <c r="AF204" s="392" t="str">
        <f ca="1">IF(RawMaterials[[#This Row],[Lab Quote Count]]&gt;1,SLOPE(LOG(INDIRECT("RawMaterials[@[Lab Unit P 1]:[Lab Unit P "&amp;RawMaterials[[#This Row],[Lab Quote Count]]&amp;"]]")),LOG(INDIRECT("RawMaterials[@[Lab Q Model Units 1]:[Lab Q Model Units "&amp;RawMaterials[[#This Row],[Lab Quote Count]]&amp;"]]"))),"")</f>
        <v/>
      </c>
      <c r="AG204" s="392" t="str">
        <f ca="1">IF(RawMaterials[[#This Row],[Lab Quote Count]]&gt;1,INTERCEPT(LOG(INDIRECT("RawMaterials[@[Lab Unit P 1]:[Lab Unit P "&amp;RawMaterials[[#This Row],[Lab Quote Count]]&amp;"]]")),LOG(INDIRECT("RawMaterials[@[Lab Q Model Units 1]:[Lab Q Model Units "&amp;RawMaterials[[#This Row],[Lab Quote Count]]&amp;"]]"))),"")</f>
        <v/>
      </c>
      <c r="AH204" s="393" t="str">
        <f>IF(RawMaterials[[#This Row],[Material Type]]="Metal Precursor","D13",IF(RawMaterials[[#This Row],[Material Type]]="Ligand","D13","D12"))</f>
        <v>D12</v>
      </c>
      <c r="AI204" s="394" t="str">
        <f ca="1">IF(RawMaterials[[#This Row],[Lab Quote Count]]&gt;1,10^RawMaterials[[#This Row],[Lab Log-Log Intercept]]*INDIRECT(RawMaterials[[#This Row],[Basis Cell]])^RawMaterials[[#This Row],[Lab Log-Log Slope]],"&gt;&gt;&gt; Enter 2 or more lab quotes &lt;&lt;&lt;")</f>
        <v>&gt;&gt;&gt; Enter 2 or more lab quotes &lt;&lt;&lt;</v>
      </c>
      <c r="AJ20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0.46297075058824289</v>
      </c>
      <c r="AL204" s="396">
        <f>IF(ISTEXT(RawMaterials[[#This Row],[Unit price in quote year]]),"Check calcs",RawMaterials[[#This Row],[Unit price in quote year]]/VLOOKUP(RawMaterials[[#This Row],[Quote Year]],ChemPPI[],14,FALSE)*VLOOKUP(BasisYear,ChemPPI[],14,FALSE))</f>
        <v>0.62835105427906357</v>
      </c>
      <c r="AM204" s="397" t="str">
        <f t="shared" si="2"/>
        <v>$/kg (2016)</v>
      </c>
    </row>
    <row r="205" spans="1:39">
      <c r="A205" s="259" t="s">
        <v>1299</v>
      </c>
      <c r="B205" s="260"/>
      <c r="C205" s="351"/>
      <c r="D205" s="351"/>
      <c r="E205" s="260">
        <v>37</v>
      </c>
      <c r="F205" s="260"/>
      <c r="G205" s="351"/>
      <c r="H205" s="351"/>
      <c r="I205" s="262"/>
      <c r="J205" s="351"/>
      <c r="K205" s="351"/>
      <c r="L205" s="351"/>
      <c r="M205" s="351"/>
      <c r="N205" s="351"/>
      <c r="O205" s="351"/>
      <c r="P205" s="261">
        <v>0.21</v>
      </c>
      <c r="Q205" s="260">
        <v>1</v>
      </c>
      <c r="R205" s="260" t="s">
        <v>20</v>
      </c>
      <c r="S205" s="260">
        <v>2006</v>
      </c>
      <c r="T205" s="260" t="s">
        <v>161</v>
      </c>
      <c r="U205" s="386">
        <v>42653</v>
      </c>
      <c r="V205" s="387"/>
      <c r="W205" s="354">
        <f>COUNT(RawMaterials[[#This Row],[Lab Quantity 1]:[Lab Quantity 4]])</f>
        <v>0</v>
      </c>
      <c r="X20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5" s="392" t="e">
        <f>RawMaterials[[#This Row],[Lab Price 1]]/RawMaterials[[#This Row],[Lab Q Model Units 1]]</f>
        <v>#N/A</v>
      </c>
      <c r="AC205" s="392" t="e">
        <f>RawMaterials[[#This Row],[Lab Price 2]]/RawMaterials[[#This Row],[Lab Q Model Units 2]]</f>
        <v>#N/A</v>
      </c>
      <c r="AD205" s="392" t="e">
        <f>RawMaterials[[#This Row],[Lab Price 3]]/RawMaterials[[#This Row],[Lab Q Model Units 3]]</f>
        <v>#N/A</v>
      </c>
      <c r="AE205" s="392" t="e">
        <f>RawMaterials[[#This Row],[Lab Price 4]]/RawMaterials[[#This Row],[Lab Q Model Units 4]]</f>
        <v>#N/A</v>
      </c>
      <c r="AF205" s="392" t="str">
        <f ca="1">IF(RawMaterials[[#This Row],[Lab Quote Count]]&gt;1,SLOPE(LOG(INDIRECT("RawMaterials[@[Lab Unit P 1]:[Lab Unit P "&amp;RawMaterials[[#This Row],[Lab Quote Count]]&amp;"]]")),LOG(INDIRECT("RawMaterials[@[Lab Q Model Units 1]:[Lab Q Model Units "&amp;RawMaterials[[#This Row],[Lab Quote Count]]&amp;"]]"))),"")</f>
        <v/>
      </c>
      <c r="AG205" s="392" t="str">
        <f ca="1">IF(RawMaterials[[#This Row],[Lab Quote Count]]&gt;1,INTERCEPT(LOG(INDIRECT("RawMaterials[@[Lab Unit P 1]:[Lab Unit P "&amp;RawMaterials[[#This Row],[Lab Quote Count]]&amp;"]]")),LOG(INDIRECT("RawMaterials[@[Lab Q Model Units 1]:[Lab Q Model Units "&amp;RawMaterials[[#This Row],[Lab Quote Count]]&amp;"]]"))),"")</f>
        <v/>
      </c>
      <c r="AH205" s="393" t="str">
        <f>IF(RawMaterials[[#This Row],[Material Type]]="Metal Precursor","D13",IF(RawMaterials[[#This Row],[Material Type]]="Ligand","D13","D12"))</f>
        <v>D12</v>
      </c>
      <c r="AI205" s="394" t="str">
        <f ca="1">IF(RawMaterials[[#This Row],[Lab Quote Count]]&gt;1,10^RawMaterials[[#This Row],[Lab Log-Log Intercept]]*INDIRECT(RawMaterials[[#This Row],[Basis Cell]])^RawMaterials[[#This Row],[Lab Log-Log Slope]],"&gt;&gt;&gt; Enter 2 or more lab quotes &lt;&lt;&lt;")</f>
        <v>&gt;&gt;&gt; Enter 2 or more lab quotes &lt;&lt;&lt;</v>
      </c>
      <c r="AJ20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0.46297075058824289</v>
      </c>
      <c r="AL205" s="396">
        <f>IF(ISTEXT(RawMaterials[[#This Row],[Unit price in quote year]]),"Check calcs",RawMaterials[[#This Row],[Unit price in quote year]]/VLOOKUP(RawMaterials[[#This Row],[Quote Year]],ChemPPI[],14,FALSE)*VLOOKUP(BasisYear,ChemPPI[],14,FALSE))</f>
        <v>0.62835105427906357</v>
      </c>
      <c r="AM205" s="397" t="str">
        <f t="shared" si="2"/>
        <v>$/kg (2016)</v>
      </c>
    </row>
    <row r="206" spans="1:39">
      <c r="A206" s="259" t="s">
        <v>1300</v>
      </c>
      <c r="B206" s="260"/>
      <c r="C206" s="351"/>
      <c r="D206" s="351"/>
      <c r="E206" s="260">
        <v>37</v>
      </c>
      <c r="F206" s="260"/>
      <c r="G206" s="351"/>
      <c r="H206" s="351"/>
      <c r="I206" s="262"/>
      <c r="J206" s="351"/>
      <c r="K206" s="351"/>
      <c r="L206" s="351"/>
      <c r="M206" s="351"/>
      <c r="N206" s="351"/>
      <c r="O206" s="351"/>
      <c r="P206" s="261">
        <v>0.21</v>
      </c>
      <c r="Q206" s="260">
        <v>1</v>
      </c>
      <c r="R206" s="260" t="s">
        <v>20</v>
      </c>
      <c r="S206" s="260">
        <v>2006</v>
      </c>
      <c r="T206" s="260" t="s">
        <v>161</v>
      </c>
      <c r="U206" s="386">
        <v>42653</v>
      </c>
      <c r="V206" s="387"/>
      <c r="W206" s="354">
        <f>COUNT(RawMaterials[[#This Row],[Lab Quantity 1]:[Lab Quantity 4]])</f>
        <v>0</v>
      </c>
      <c r="X20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6" s="392" t="e">
        <f>RawMaterials[[#This Row],[Lab Price 1]]/RawMaterials[[#This Row],[Lab Q Model Units 1]]</f>
        <v>#N/A</v>
      </c>
      <c r="AC206" s="392" t="e">
        <f>RawMaterials[[#This Row],[Lab Price 2]]/RawMaterials[[#This Row],[Lab Q Model Units 2]]</f>
        <v>#N/A</v>
      </c>
      <c r="AD206" s="392" t="e">
        <f>RawMaterials[[#This Row],[Lab Price 3]]/RawMaterials[[#This Row],[Lab Q Model Units 3]]</f>
        <v>#N/A</v>
      </c>
      <c r="AE206" s="392" t="e">
        <f>RawMaterials[[#This Row],[Lab Price 4]]/RawMaterials[[#This Row],[Lab Q Model Units 4]]</f>
        <v>#N/A</v>
      </c>
      <c r="AF206" s="392" t="str">
        <f ca="1">IF(RawMaterials[[#This Row],[Lab Quote Count]]&gt;1,SLOPE(LOG(INDIRECT("RawMaterials[@[Lab Unit P 1]:[Lab Unit P "&amp;RawMaterials[[#This Row],[Lab Quote Count]]&amp;"]]")),LOG(INDIRECT("RawMaterials[@[Lab Q Model Units 1]:[Lab Q Model Units "&amp;RawMaterials[[#This Row],[Lab Quote Count]]&amp;"]]"))),"")</f>
        <v/>
      </c>
      <c r="AG206" s="392" t="str">
        <f ca="1">IF(RawMaterials[[#This Row],[Lab Quote Count]]&gt;1,INTERCEPT(LOG(INDIRECT("RawMaterials[@[Lab Unit P 1]:[Lab Unit P "&amp;RawMaterials[[#This Row],[Lab Quote Count]]&amp;"]]")),LOG(INDIRECT("RawMaterials[@[Lab Q Model Units 1]:[Lab Q Model Units "&amp;RawMaterials[[#This Row],[Lab Quote Count]]&amp;"]]"))),"")</f>
        <v/>
      </c>
      <c r="AH206" s="393" t="str">
        <f>IF(RawMaterials[[#This Row],[Material Type]]="Metal Precursor","D13",IF(RawMaterials[[#This Row],[Material Type]]="Ligand","D13","D12"))</f>
        <v>D12</v>
      </c>
      <c r="AI206" s="394" t="str">
        <f ca="1">IF(RawMaterials[[#This Row],[Lab Quote Count]]&gt;1,10^RawMaterials[[#This Row],[Lab Log-Log Intercept]]*INDIRECT(RawMaterials[[#This Row],[Basis Cell]])^RawMaterials[[#This Row],[Lab Log-Log Slope]],"&gt;&gt;&gt; Enter 2 or more lab quotes &lt;&lt;&lt;")</f>
        <v>&gt;&gt;&gt; Enter 2 or more lab quotes &lt;&lt;&lt;</v>
      </c>
      <c r="AJ20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0.46297075058824289</v>
      </c>
      <c r="AL206" s="396">
        <f>IF(ISTEXT(RawMaterials[[#This Row],[Unit price in quote year]]),"Check calcs",RawMaterials[[#This Row],[Unit price in quote year]]/VLOOKUP(RawMaterials[[#This Row],[Quote Year]],ChemPPI[],14,FALSE)*VLOOKUP(BasisYear,ChemPPI[],14,FALSE))</f>
        <v>0.62835105427906357</v>
      </c>
      <c r="AM206" s="397" t="str">
        <f t="shared" si="2"/>
        <v>$/kg (2016)</v>
      </c>
    </row>
    <row r="207" spans="1:39">
      <c r="A207" s="259" t="s">
        <v>1301</v>
      </c>
      <c r="B207" s="260"/>
      <c r="C207" s="351"/>
      <c r="D207" s="351"/>
      <c r="E207" s="260">
        <v>100</v>
      </c>
      <c r="F207" s="260"/>
      <c r="G207" s="351"/>
      <c r="H207" s="351"/>
      <c r="I207" s="262"/>
      <c r="J207" s="351"/>
      <c r="K207" s="351"/>
      <c r="L207" s="351"/>
      <c r="M207" s="351"/>
      <c r="N207" s="351"/>
      <c r="O207" s="351"/>
      <c r="P207" s="261">
        <v>0.83499999999999996</v>
      </c>
      <c r="Q207" s="260">
        <v>1</v>
      </c>
      <c r="R207" s="260" t="s">
        <v>20</v>
      </c>
      <c r="S207" s="260">
        <v>2006</v>
      </c>
      <c r="T207" s="260" t="s">
        <v>161</v>
      </c>
      <c r="U207" s="386">
        <v>42653</v>
      </c>
      <c r="V207" s="387"/>
      <c r="W207" s="354">
        <f>COUNT(RawMaterials[[#This Row],[Lab Quantity 1]:[Lab Quantity 4]])</f>
        <v>0</v>
      </c>
      <c r="X20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7" s="392" t="e">
        <f>RawMaterials[[#This Row],[Lab Price 1]]/RawMaterials[[#This Row],[Lab Q Model Units 1]]</f>
        <v>#N/A</v>
      </c>
      <c r="AC207" s="392" t="e">
        <f>RawMaterials[[#This Row],[Lab Price 2]]/RawMaterials[[#This Row],[Lab Q Model Units 2]]</f>
        <v>#N/A</v>
      </c>
      <c r="AD207" s="392" t="e">
        <f>RawMaterials[[#This Row],[Lab Price 3]]/RawMaterials[[#This Row],[Lab Q Model Units 3]]</f>
        <v>#N/A</v>
      </c>
      <c r="AE207" s="392" t="e">
        <f>RawMaterials[[#This Row],[Lab Price 4]]/RawMaterials[[#This Row],[Lab Q Model Units 4]]</f>
        <v>#N/A</v>
      </c>
      <c r="AF207" s="392" t="str">
        <f ca="1">IF(RawMaterials[[#This Row],[Lab Quote Count]]&gt;1,SLOPE(LOG(INDIRECT("RawMaterials[@[Lab Unit P 1]:[Lab Unit P "&amp;RawMaterials[[#This Row],[Lab Quote Count]]&amp;"]]")),LOG(INDIRECT("RawMaterials[@[Lab Q Model Units 1]:[Lab Q Model Units "&amp;RawMaterials[[#This Row],[Lab Quote Count]]&amp;"]]"))),"")</f>
        <v/>
      </c>
      <c r="AG207" s="392" t="str">
        <f ca="1">IF(RawMaterials[[#This Row],[Lab Quote Count]]&gt;1,INTERCEPT(LOG(INDIRECT("RawMaterials[@[Lab Unit P 1]:[Lab Unit P "&amp;RawMaterials[[#This Row],[Lab Quote Count]]&amp;"]]")),LOG(INDIRECT("RawMaterials[@[Lab Q Model Units 1]:[Lab Q Model Units "&amp;RawMaterials[[#This Row],[Lab Quote Count]]&amp;"]]"))),"")</f>
        <v/>
      </c>
      <c r="AH207" s="393" t="str">
        <f>IF(RawMaterials[[#This Row],[Material Type]]="Metal Precursor","D13",IF(RawMaterials[[#This Row],[Material Type]]="Ligand","D13","D12"))</f>
        <v>D12</v>
      </c>
      <c r="AI207" s="394" t="str">
        <f ca="1">IF(RawMaterials[[#This Row],[Lab Quote Count]]&gt;1,10^RawMaterials[[#This Row],[Lab Log-Log Intercept]]*INDIRECT(RawMaterials[[#This Row],[Basis Cell]])^RawMaterials[[#This Row],[Lab Log-Log Slope]],"&gt;&gt;&gt; Enter 2 or more lab quotes &lt;&lt;&lt;")</f>
        <v>&gt;&gt;&gt; Enter 2 or more lab quotes &lt;&lt;&lt;</v>
      </c>
      <c r="AJ20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1.8408598892437276</v>
      </c>
      <c r="AL207" s="396">
        <f>IF(ISTEXT(RawMaterials[[#This Row],[Unit price in quote year]]),"Check calcs",RawMaterials[[#This Row],[Unit price in quote year]]/VLOOKUP(RawMaterials[[#This Row],[Quote Year]],ChemPPI[],14,FALSE)*VLOOKUP(BasisYear,ChemPPI[],14,FALSE))</f>
        <v>2.498443477728657</v>
      </c>
      <c r="AM207" s="397" t="str">
        <f t="shared" si="2"/>
        <v>$/kg (2016)</v>
      </c>
    </row>
    <row r="208" spans="1:39">
      <c r="A208" s="259" t="s">
        <v>1302</v>
      </c>
      <c r="B208" s="260"/>
      <c r="C208" s="351"/>
      <c r="D208" s="351"/>
      <c r="E208" s="260">
        <v>100</v>
      </c>
      <c r="F208" s="260"/>
      <c r="G208" s="351"/>
      <c r="H208" s="351"/>
      <c r="I208" s="262"/>
      <c r="J208" s="351"/>
      <c r="K208" s="351"/>
      <c r="L208" s="351"/>
      <c r="M208" s="351"/>
      <c r="N208" s="351"/>
      <c r="O208" s="351"/>
      <c r="P208" s="261">
        <v>2.75</v>
      </c>
      <c r="Q208" s="260">
        <v>1</v>
      </c>
      <c r="R208" s="260" t="s">
        <v>20</v>
      </c>
      <c r="S208" s="260">
        <v>2006</v>
      </c>
      <c r="T208" s="260" t="s">
        <v>161</v>
      </c>
      <c r="U208" s="386">
        <v>42653</v>
      </c>
      <c r="V208" s="387"/>
      <c r="W208" s="354">
        <f>COUNT(RawMaterials[[#This Row],[Lab Quantity 1]:[Lab Quantity 4]])</f>
        <v>0</v>
      </c>
      <c r="X20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8" s="392" t="e">
        <f>RawMaterials[[#This Row],[Lab Price 1]]/RawMaterials[[#This Row],[Lab Q Model Units 1]]</f>
        <v>#N/A</v>
      </c>
      <c r="AC208" s="392" t="e">
        <f>RawMaterials[[#This Row],[Lab Price 2]]/RawMaterials[[#This Row],[Lab Q Model Units 2]]</f>
        <v>#N/A</v>
      </c>
      <c r="AD208" s="392" t="e">
        <f>RawMaterials[[#This Row],[Lab Price 3]]/RawMaterials[[#This Row],[Lab Q Model Units 3]]</f>
        <v>#N/A</v>
      </c>
      <c r="AE208" s="392" t="e">
        <f>RawMaterials[[#This Row],[Lab Price 4]]/RawMaterials[[#This Row],[Lab Q Model Units 4]]</f>
        <v>#N/A</v>
      </c>
      <c r="AF208" s="392" t="str">
        <f ca="1">IF(RawMaterials[[#This Row],[Lab Quote Count]]&gt;1,SLOPE(LOG(INDIRECT("RawMaterials[@[Lab Unit P 1]:[Lab Unit P "&amp;RawMaterials[[#This Row],[Lab Quote Count]]&amp;"]]")),LOG(INDIRECT("RawMaterials[@[Lab Q Model Units 1]:[Lab Q Model Units "&amp;RawMaterials[[#This Row],[Lab Quote Count]]&amp;"]]"))),"")</f>
        <v/>
      </c>
      <c r="AG208" s="392" t="str">
        <f ca="1">IF(RawMaterials[[#This Row],[Lab Quote Count]]&gt;1,INTERCEPT(LOG(INDIRECT("RawMaterials[@[Lab Unit P 1]:[Lab Unit P "&amp;RawMaterials[[#This Row],[Lab Quote Count]]&amp;"]]")),LOG(INDIRECT("RawMaterials[@[Lab Q Model Units 1]:[Lab Q Model Units "&amp;RawMaterials[[#This Row],[Lab Quote Count]]&amp;"]]"))),"")</f>
        <v/>
      </c>
      <c r="AH208" s="393" t="str">
        <f>IF(RawMaterials[[#This Row],[Material Type]]="Metal Precursor","D13",IF(RawMaterials[[#This Row],[Material Type]]="Ligand","D13","D12"))</f>
        <v>D12</v>
      </c>
      <c r="AI208" s="394" t="str">
        <f ca="1">IF(RawMaterials[[#This Row],[Lab Quote Count]]&gt;1,10^RawMaterials[[#This Row],[Lab Log-Log Intercept]]*INDIRECT(RawMaterials[[#This Row],[Basis Cell]])^RawMaterials[[#This Row],[Lab Log-Log Slope]],"&gt;&gt;&gt; Enter 2 or more lab quotes &lt;&lt;&lt;")</f>
        <v>&gt;&gt;&gt; Enter 2 or more lab quotes &lt;&lt;&lt;</v>
      </c>
      <c r="AJ20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6.0627122100841335</v>
      </c>
      <c r="AL208" s="396">
        <f>IF(ISTEXT(RawMaterials[[#This Row],[Unit price in quote year]]),"Check calcs",RawMaterials[[#This Row],[Unit price in quote year]]/VLOOKUP(RawMaterials[[#This Row],[Quote Year]],ChemPPI[],14,FALSE)*VLOOKUP(BasisYear,ChemPPI[],14,FALSE))</f>
        <v>8.2284066631782125</v>
      </c>
      <c r="AM208" s="397" t="str">
        <f t="shared" ref="AM208:AM271" si="3">CurrencySymbol&amp;"/"&amp;OutMassUnit&amp;" ("&amp;BasisYear&amp;")"</f>
        <v>$/kg (2016)</v>
      </c>
    </row>
    <row r="209" spans="1:39">
      <c r="A209" s="259" t="s">
        <v>1303</v>
      </c>
      <c r="B209" s="260"/>
      <c r="C209" s="351"/>
      <c r="D209" s="351"/>
      <c r="E209" s="260">
        <v>100</v>
      </c>
      <c r="F209" s="260"/>
      <c r="G209" s="351"/>
      <c r="H209" s="351"/>
      <c r="I209" s="262"/>
      <c r="J209" s="351"/>
      <c r="K209" s="351"/>
      <c r="L209" s="351"/>
      <c r="M209" s="351"/>
      <c r="N209" s="351"/>
      <c r="O209" s="351"/>
      <c r="P209" s="261">
        <v>2.95</v>
      </c>
      <c r="Q209" s="260">
        <v>1</v>
      </c>
      <c r="R209" s="260" t="s">
        <v>20</v>
      </c>
      <c r="S209" s="260">
        <v>2006</v>
      </c>
      <c r="T209" s="260" t="s">
        <v>161</v>
      </c>
      <c r="U209" s="386">
        <v>42653</v>
      </c>
      <c r="V209" s="387"/>
      <c r="W209" s="354">
        <f>COUNT(RawMaterials[[#This Row],[Lab Quantity 1]:[Lab Quantity 4]])</f>
        <v>0</v>
      </c>
      <c r="X20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9" s="392" t="e">
        <f>RawMaterials[[#This Row],[Lab Price 1]]/RawMaterials[[#This Row],[Lab Q Model Units 1]]</f>
        <v>#N/A</v>
      </c>
      <c r="AC209" s="392" t="e">
        <f>RawMaterials[[#This Row],[Lab Price 2]]/RawMaterials[[#This Row],[Lab Q Model Units 2]]</f>
        <v>#N/A</v>
      </c>
      <c r="AD209" s="392" t="e">
        <f>RawMaterials[[#This Row],[Lab Price 3]]/RawMaterials[[#This Row],[Lab Q Model Units 3]]</f>
        <v>#N/A</v>
      </c>
      <c r="AE209" s="392" t="e">
        <f>RawMaterials[[#This Row],[Lab Price 4]]/RawMaterials[[#This Row],[Lab Q Model Units 4]]</f>
        <v>#N/A</v>
      </c>
      <c r="AF209" s="392" t="str">
        <f ca="1">IF(RawMaterials[[#This Row],[Lab Quote Count]]&gt;1,SLOPE(LOG(INDIRECT("RawMaterials[@[Lab Unit P 1]:[Lab Unit P "&amp;RawMaterials[[#This Row],[Lab Quote Count]]&amp;"]]")),LOG(INDIRECT("RawMaterials[@[Lab Q Model Units 1]:[Lab Q Model Units "&amp;RawMaterials[[#This Row],[Lab Quote Count]]&amp;"]]"))),"")</f>
        <v/>
      </c>
      <c r="AG209" s="392" t="str">
        <f ca="1">IF(RawMaterials[[#This Row],[Lab Quote Count]]&gt;1,INTERCEPT(LOG(INDIRECT("RawMaterials[@[Lab Unit P 1]:[Lab Unit P "&amp;RawMaterials[[#This Row],[Lab Quote Count]]&amp;"]]")),LOG(INDIRECT("RawMaterials[@[Lab Q Model Units 1]:[Lab Q Model Units "&amp;RawMaterials[[#This Row],[Lab Quote Count]]&amp;"]]"))),"")</f>
        <v/>
      </c>
      <c r="AH209" s="393" t="str">
        <f>IF(RawMaterials[[#This Row],[Material Type]]="Metal Precursor","D13",IF(RawMaterials[[#This Row],[Material Type]]="Ligand","D13","D12"))</f>
        <v>D12</v>
      </c>
      <c r="AI209" s="394" t="str">
        <f ca="1">IF(RawMaterials[[#This Row],[Lab Quote Count]]&gt;1,10^RawMaterials[[#This Row],[Lab Log-Log Intercept]]*INDIRECT(RawMaterials[[#This Row],[Basis Cell]])^RawMaterials[[#This Row],[Lab Log-Log Slope]],"&gt;&gt;&gt; Enter 2 or more lab quotes &lt;&lt;&lt;")</f>
        <v>&gt;&gt;&gt; Enter 2 or more lab quotes &lt;&lt;&lt;</v>
      </c>
      <c r="AJ20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6.503636734453889</v>
      </c>
      <c r="AL209" s="396">
        <f>IF(ISTEXT(RawMaterials[[#This Row],[Unit price in quote year]]),"Check calcs",RawMaterials[[#This Row],[Unit price in quote year]]/VLOOKUP(RawMaterials[[#This Row],[Quote Year]],ChemPPI[],14,FALSE)*VLOOKUP(BasisYear,ChemPPI[],14,FALSE))</f>
        <v>8.826836238682084</v>
      </c>
      <c r="AM209" s="397" t="str">
        <f t="shared" si="3"/>
        <v>$/kg (2016)</v>
      </c>
    </row>
    <row r="210" spans="1:39">
      <c r="A210" s="259" t="s">
        <v>1304</v>
      </c>
      <c r="B210" s="260"/>
      <c r="C210" s="351"/>
      <c r="D210" s="351"/>
      <c r="E210" s="260">
        <v>100</v>
      </c>
      <c r="F210" s="260"/>
      <c r="G210" s="351"/>
      <c r="H210" s="351"/>
      <c r="I210" s="262"/>
      <c r="J210" s="351"/>
      <c r="K210" s="351"/>
      <c r="L210" s="351"/>
      <c r="M210" s="351"/>
      <c r="N210" s="351"/>
      <c r="O210" s="351"/>
      <c r="P210" s="261">
        <v>3.0249999999999999</v>
      </c>
      <c r="Q210" s="260">
        <v>1</v>
      </c>
      <c r="R210" s="260" t="s">
        <v>20</v>
      </c>
      <c r="S210" s="260">
        <v>2006</v>
      </c>
      <c r="T210" s="260" t="s">
        <v>161</v>
      </c>
      <c r="U210" s="386">
        <v>42653</v>
      </c>
      <c r="V210" s="387"/>
      <c r="W210" s="354">
        <f>COUNT(RawMaterials[[#This Row],[Lab Quantity 1]:[Lab Quantity 4]])</f>
        <v>0</v>
      </c>
      <c r="X21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0" s="392" t="e">
        <f>RawMaterials[[#This Row],[Lab Price 1]]/RawMaterials[[#This Row],[Lab Q Model Units 1]]</f>
        <v>#N/A</v>
      </c>
      <c r="AC210" s="392" t="e">
        <f>RawMaterials[[#This Row],[Lab Price 2]]/RawMaterials[[#This Row],[Lab Q Model Units 2]]</f>
        <v>#N/A</v>
      </c>
      <c r="AD210" s="392" t="e">
        <f>RawMaterials[[#This Row],[Lab Price 3]]/RawMaterials[[#This Row],[Lab Q Model Units 3]]</f>
        <v>#N/A</v>
      </c>
      <c r="AE210" s="392" t="e">
        <f>RawMaterials[[#This Row],[Lab Price 4]]/RawMaterials[[#This Row],[Lab Q Model Units 4]]</f>
        <v>#N/A</v>
      </c>
      <c r="AF210" s="392" t="str">
        <f ca="1">IF(RawMaterials[[#This Row],[Lab Quote Count]]&gt;1,SLOPE(LOG(INDIRECT("RawMaterials[@[Lab Unit P 1]:[Lab Unit P "&amp;RawMaterials[[#This Row],[Lab Quote Count]]&amp;"]]")),LOG(INDIRECT("RawMaterials[@[Lab Q Model Units 1]:[Lab Q Model Units "&amp;RawMaterials[[#This Row],[Lab Quote Count]]&amp;"]]"))),"")</f>
        <v/>
      </c>
      <c r="AG210" s="392" t="str">
        <f ca="1">IF(RawMaterials[[#This Row],[Lab Quote Count]]&gt;1,INTERCEPT(LOG(INDIRECT("RawMaterials[@[Lab Unit P 1]:[Lab Unit P "&amp;RawMaterials[[#This Row],[Lab Quote Count]]&amp;"]]")),LOG(INDIRECT("RawMaterials[@[Lab Q Model Units 1]:[Lab Q Model Units "&amp;RawMaterials[[#This Row],[Lab Quote Count]]&amp;"]]"))),"")</f>
        <v/>
      </c>
      <c r="AH210" s="393" t="str">
        <f>IF(RawMaterials[[#This Row],[Material Type]]="Metal Precursor","D13",IF(RawMaterials[[#This Row],[Material Type]]="Ligand","D13","D12"))</f>
        <v>D12</v>
      </c>
      <c r="AI210" s="394" t="str">
        <f ca="1">IF(RawMaterials[[#This Row],[Lab Quote Count]]&gt;1,10^RawMaterials[[#This Row],[Lab Log-Log Intercept]]*INDIRECT(RawMaterials[[#This Row],[Basis Cell]])^RawMaterials[[#This Row],[Lab Log-Log Slope]],"&gt;&gt;&gt; Enter 2 or more lab quotes &lt;&lt;&lt;")</f>
        <v>&gt;&gt;&gt; Enter 2 or more lab quotes &lt;&lt;&lt;</v>
      </c>
      <c r="AJ21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6.6689834310925464</v>
      </c>
      <c r="AL210" s="396">
        <f>IF(ISTEXT(RawMaterials[[#This Row],[Unit price in quote year]]),"Check calcs",RawMaterials[[#This Row],[Unit price in quote year]]/VLOOKUP(RawMaterials[[#This Row],[Quote Year]],ChemPPI[],14,FALSE)*VLOOKUP(BasisYear,ChemPPI[],14,FALSE))</f>
        <v>9.0512473294960341</v>
      </c>
      <c r="AM210" s="397" t="str">
        <f t="shared" si="3"/>
        <v>$/kg (2016)</v>
      </c>
    </row>
    <row r="211" spans="1:39">
      <c r="A211" s="259" t="s">
        <v>1305</v>
      </c>
      <c r="B211" s="260"/>
      <c r="C211" s="351"/>
      <c r="D211" s="351"/>
      <c r="E211" s="260">
        <v>100</v>
      </c>
      <c r="F211" s="260"/>
      <c r="G211" s="351"/>
      <c r="H211" s="351"/>
      <c r="I211" s="262"/>
      <c r="J211" s="351"/>
      <c r="K211" s="351"/>
      <c r="L211" s="351"/>
      <c r="M211" s="351"/>
      <c r="N211" s="351"/>
      <c r="O211" s="351"/>
      <c r="P211" s="261">
        <v>3.1</v>
      </c>
      <c r="Q211" s="260">
        <v>1</v>
      </c>
      <c r="R211" s="260" t="s">
        <v>20</v>
      </c>
      <c r="S211" s="260">
        <v>2006</v>
      </c>
      <c r="T211" s="260" t="s">
        <v>161</v>
      </c>
      <c r="U211" s="386">
        <v>42653</v>
      </c>
      <c r="V211" s="387"/>
      <c r="W211" s="354">
        <f>COUNT(RawMaterials[[#This Row],[Lab Quantity 1]:[Lab Quantity 4]])</f>
        <v>0</v>
      </c>
      <c r="X21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1" s="392" t="e">
        <f>RawMaterials[[#This Row],[Lab Price 1]]/RawMaterials[[#This Row],[Lab Q Model Units 1]]</f>
        <v>#N/A</v>
      </c>
      <c r="AC211" s="392" t="e">
        <f>RawMaterials[[#This Row],[Lab Price 2]]/RawMaterials[[#This Row],[Lab Q Model Units 2]]</f>
        <v>#N/A</v>
      </c>
      <c r="AD211" s="392" t="e">
        <f>RawMaterials[[#This Row],[Lab Price 3]]/RawMaterials[[#This Row],[Lab Q Model Units 3]]</f>
        <v>#N/A</v>
      </c>
      <c r="AE211" s="392" t="e">
        <f>RawMaterials[[#This Row],[Lab Price 4]]/RawMaterials[[#This Row],[Lab Q Model Units 4]]</f>
        <v>#N/A</v>
      </c>
      <c r="AF211" s="392" t="str">
        <f ca="1">IF(RawMaterials[[#This Row],[Lab Quote Count]]&gt;1,SLOPE(LOG(INDIRECT("RawMaterials[@[Lab Unit P 1]:[Lab Unit P "&amp;RawMaterials[[#This Row],[Lab Quote Count]]&amp;"]]")),LOG(INDIRECT("RawMaterials[@[Lab Q Model Units 1]:[Lab Q Model Units "&amp;RawMaterials[[#This Row],[Lab Quote Count]]&amp;"]]"))),"")</f>
        <v/>
      </c>
      <c r="AG211" s="392" t="str">
        <f ca="1">IF(RawMaterials[[#This Row],[Lab Quote Count]]&gt;1,INTERCEPT(LOG(INDIRECT("RawMaterials[@[Lab Unit P 1]:[Lab Unit P "&amp;RawMaterials[[#This Row],[Lab Quote Count]]&amp;"]]")),LOG(INDIRECT("RawMaterials[@[Lab Q Model Units 1]:[Lab Q Model Units "&amp;RawMaterials[[#This Row],[Lab Quote Count]]&amp;"]]"))),"")</f>
        <v/>
      </c>
      <c r="AH211" s="393" t="str">
        <f>IF(RawMaterials[[#This Row],[Material Type]]="Metal Precursor","D13",IF(RawMaterials[[#This Row],[Material Type]]="Ligand","D13","D12"))</f>
        <v>D12</v>
      </c>
      <c r="AI211" s="394" t="str">
        <f ca="1">IF(RawMaterials[[#This Row],[Lab Quote Count]]&gt;1,10^RawMaterials[[#This Row],[Lab Log-Log Intercept]]*INDIRECT(RawMaterials[[#This Row],[Basis Cell]])^RawMaterials[[#This Row],[Lab Log-Log Slope]],"&gt;&gt;&gt; Enter 2 or more lab quotes &lt;&lt;&lt;")</f>
        <v>&gt;&gt;&gt; Enter 2 or more lab quotes &lt;&lt;&lt;</v>
      </c>
      <c r="AJ21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6.8343301277312047</v>
      </c>
      <c r="AL211" s="396">
        <f>IF(ISTEXT(RawMaterials[[#This Row],[Unit price in quote year]]),"Check calcs",RawMaterials[[#This Row],[Unit price in quote year]]/VLOOKUP(RawMaterials[[#This Row],[Quote Year]],ChemPPI[],14,FALSE)*VLOOKUP(BasisYear,ChemPPI[],14,FALSE))</f>
        <v>9.2756584203099859</v>
      </c>
      <c r="AM211" s="397" t="str">
        <f t="shared" si="3"/>
        <v>$/kg (2016)</v>
      </c>
    </row>
    <row r="212" spans="1:39">
      <c r="A212" s="259" t="s">
        <v>1306</v>
      </c>
      <c r="B212" s="260"/>
      <c r="C212" s="351"/>
      <c r="D212" s="351"/>
      <c r="E212" s="260">
        <v>100</v>
      </c>
      <c r="F212" s="260"/>
      <c r="G212" s="351"/>
      <c r="H212" s="351"/>
      <c r="I212" s="262"/>
      <c r="J212" s="351"/>
      <c r="K212" s="351"/>
      <c r="L212" s="351"/>
      <c r="M212" s="351"/>
      <c r="N212" s="351"/>
      <c r="O212" s="351"/>
      <c r="P212" s="261">
        <v>3.2</v>
      </c>
      <c r="Q212" s="260">
        <v>1</v>
      </c>
      <c r="R212" s="260" t="s">
        <v>20</v>
      </c>
      <c r="S212" s="260">
        <v>2006</v>
      </c>
      <c r="T212" s="260" t="s">
        <v>161</v>
      </c>
      <c r="U212" s="386">
        <v>42653</v>
      </c>
      <c r="V212" s="387"/>
      <c r="W212" s="354">
        <f>COUNT(RawMaterials[[#This Row],[Lab Quantity 1]:[Lab Quantity 4]])</f>
        <v>0</v>
      </c>
      <c r="X21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2" s="392" t="e">
        <f>RawMaterials[[#This Row],[Lab Price 1]]/RawMaterials[[#This Row],[Lab Q Model Units 1]]</f>
        <v>#N/A</v>
      </c>
      <c r="AC212" s="392" t="e">
        <f>RawMaterials[[#This Row],[Lab Price 2]]/RawMaterials[[#This Row],[Lab Q Model Units 2]]</f>
        <v>#N/A</v>
      </c>
      <c r="AD212" s="392" t="e">
        <f>RawMaterials[[#This Row],[Lab Price 3]]/RawMaterials[[#This Row],[Lab Q Model Units 3]]</f>
        <v>#N/A</v>
      </c>
      <c r="AE212" s="392" t="e">
        <f>RawMaterials[[#This Row],[Lab Price 4]]/RawMaterials[[#This Row],[Lab Q Model Units 4]]</f>
        <v>#N/A</v>
      </c>
      <c r="AF212" s="392" t="str">
        <f ca="1">IF(RawMaterials[[#This Row],[Lab Quote Count]]&gt;1,SLOPE(LOG(INDIRECT("RawMaterials[@[Lab Unit P 1]:[Lab Unit P "&amp;RawMaterials[[#This Row],[Lab Quote Count]]&amp;"]]")),LOG(INDIRECT("RawMaterials[@[Lab Q Model Units 1]:[Lab Q Model Units "&amp;RawMaterials[[#This Row],[Lab Quote Count]]&amp;"]]"))),"")</f>
        <v/>
      </c>
      <c r="AG212" s="392" t="str">
        <f ca="1">IF(RawMaterials[[#This Row],[Lab Quote Count]]&gt;1,INTERCEPT(LOG(INDIRECT("RawMaterials[@[Lab Unit P 1]:[Lab Unit P "&amp;RawMaterials[[#This Row],[Lab Quote Count]]&amp;"]]")),LOG(INDIRECT("RawMaterials[@[Lab Q Model Units 1]:[Lab Q Model Units "&amp;RawMaterials[[#This Row],[Lab Quote Count]]&amp;"]]"))),"")</f>
        <v/>
      </c>
      <c r="AH212" s="393" t="str">
        <f>IF(RawMaterials[[#This Row],[Material Type]]="Metal Precursor","D13",IF(RawMaterials[[#This Row],[Material Type]]="Ligand","D13","D12"))</f>
        <v>D12</v>
      </c>
      <c r="AI212" s="394" t="str">
        <f ca="1">IF(RawMaterials[[#This Row],[Lab Quote Count]]&gt;1,10^RawMaterials[[#This Row],[Lab Log-Log Intercept]]*INDIRECT(RawMaterials[[#This Row],[Basis Cell]])^RawMaterials[[#This Row],[Lab Log-Log Slope]],"&gt;&gt;&gt; Enter 2 or more lab quotes &lt;&lt;&lt;")</f>
        <v>&gt;&gt;&gt; Enter 2 or more lab quotes &lt;&lt;&lt;</v>
      </c>
      <c r="AJ21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7.0547923899160825</v>
      </c>
      <c r="AL212" s="396">
        <f>IF(ISTEXT(RawMaterials[[#This Row],[Unit price in quote year]]),"Check calcs",RawMaterials[[#This Row],[Unit price in quote year]]/VLOOKUP(RawMaterials[[#This Row],[Quote Year]],ChemPPI[],14,FALSE)*VLOOKUP(BasisYear,ChemPPI[],14,FALSE))</f>
        <v>9.5748732080619217</v>
      </c>
      <c r="AM212" s="397" t="str">
        <f t="shared" si="3"/>
        <v>$/kg (2016)</v>
      </c>
    </row>
    <row r="213" spans="1:39">
      <c r="A213" s="259" t="s">
        <v>1307</v>
      </c>
      <c r="B213" s="260"/>
      <c r="C213" s="351"/>
      <c r="D213" s="351"/>
      <c r="E213" s="260">
        <v>100</v>
      </c>
      <c r="F213" s="260"/>
      <c r="G213" s="351"/>
      <c r="H213" s="351"/>
      <c r="I213" s="262"/>
      <c r="J213" s="351"/>
      <c r="K213" s="351"/>
      <c r="L213" s="351"/>
      <c r="M213" s="351"/>
      <c r="N213" s="351"/>
      <c r="O213" s="351"/>
      <c r="P213" s="261">
        <v>3.45</v>
      </c>
      <c r="Q213" s="260">
        <v>1</v>
      </c>
      <c r="R213" s="260" t="s">
        <v>20</v>
      </c>
      <c r="S213" s="260">
        <v>2006</v>
      </c>
      <c r="T213" s="260" t="s">
        <v>161</v>
      </c>
      <c r="U213" s="386">
        <v>42653</v>
      </c>
      <c r="V213" s="387"/>
      <c r="W213" s="354">
        <f>COUNT(RawMaterials[[#This Row],[Lab Quantity 1]:[Lab Quantity 4]])</f>
        <v>0</v>
      </c>
      <c r="X21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3" s="392" t="e">
        <f>RawMaterials[[#This Row],[Lab Price 1]]/RawMaterials[[#This Row],[Lab Q Model Units 1]]</f>
        <v>#N/A</v>
      </c>
      <c r="AC213" s="392" t="e">
        <f>RawMaterials[[#This Row],[Lab Price 2]]/RawMaterials[[#This Row],[Lab Q Model Units 2]]</f>
        <v>#N/A</v>
      </c>
      <c r="AD213" s="392" t="e">
        <f>RawMaterials[[#This Row],[Lab Price 3]]/RawMaterials[[#This Row],[Lab Q Model Units 3]]</f>
        <v>#N/A</v>
      </c>
      <c r="AE213" s="392" t="e">
        <f>RawMaterials[[#This Row],[Lab Price 4]]/RawMaterials[[#This Row],[Lab Q Model Units 4]]</f>
        <v>#N/A</v>
      </c>
      <c r="AF213" s="392" t="str">
        <f ca="1">IF(RawMaterials[[#This Row],[Lab Quote Count]]&gt;1,SLOPE(LOG(INDIRECT("RawMaterials[@[Lab Unit P 1]:[Lab Unit P "&amp;RawMaterials[[#This Row],[Lab Quote Count]]&amp;"]]")),LOG(INDIRECT("RawMaterials[@[Lab Q Model Units 1]:[Lab Q Model Units "&amp;RawMaterials[[#This Row],[Lab Quote Count]]&amp;"]]"))),"")</f>
        <v/>
      </c>
      <c r="AG213" s="392" t="str">
        <f ca="1">IF(RawMaterials[[#This Row],[Lab Quote Count]]&gt;1,INTERCEPT(LOG(INDIRECT("RawMaterials[@[Lab Unit P 1]:[Lab Unit P "&amp;RawMaterials[[#This Row],[Lab Quote Count]]&amp;"]]")),LOG(INDIRECT("RawMaterials[@[Lab Q Model Units 1]:[Lab Q Model Units "&amp;RawMaterials[[#This Row],[Lab Quote Count]]&amp;"]]"))),"")</f>
        <v/>
      </c>
      <c r="AH213" s="393" t="str">
        <f>IF(RawMaterials[[#This Row],[Material Type]]="Metal Precursor","D13",IF(RawMaterials[[#This Row],[Material Type]]="Ligand","D13","D12"))</f>
        <v>D12</v>
      </c>
      <c r="AI213" s="394" t="str">
        <f ca="1">IF(RawMaterials[[#This Row],[Lab Quote Count]]&gt;1,10^RawMaterials[[#This Row],[Lab Log-Log Intercept]]*INDIRECT(RawMaterials[[#This Row],[Basis Cell]])^RawMaterials[[#This Row],[Lab Log-Log Slope]],"&gt;&gt;&gt; Enter 2 or more lab quotes &lt;&lt;&lt;")</f>
        <v>&gt;&gt;&gt; Enter 2 or more lab quotes &lt;&lt;&lt;</v>
      </c>
      <c r="AJ21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7.6059480453782768</v>
      </c>
      <c r="AL213" s="396">
        <f>IF(ISTEXT(RawMaterials[[#This Row],[Unit price in quote year]]),"Check calcs",RawMaterials[[#This Row],[Unit price in quote year]]/VLOOKUP(RawMaterials[[#This Row],[Quote Year]],ChemPPI[],14,FALSE)*VLOOKUP(BasisYear,ChemPPI[],14,FALSE))</f>
        <v>10.322910177441759</v>
      </c>
      <c r="AM213" s="397" t="str">
        <f t="shared" si="3"/>
        <v>$/kg (2016)</v>
      </c>
    </row>
    <row r="214" spans="1:39">
      <c r="A214" s="259" t="s">
        <v>1308</v>
      </c>
      <c r="B214" s="260"/>
      <c r="C214" s="351"/>
      <c r="D214" s="351"/>
      <c r="E214" s="260">
        <v>100</v>
      </c>
      <c r="F214" s="260"/>
      <c r="G214" s="351"/>
      <c r="H214" s="351"/>
      <c r="I214" s="262"/>
      <c r="J214" s="351"/>
      <c r="K214" s="351"/>
      <c r="L214" s="351"/>
      <c r="M214" s="351"/>
      <c r="N214" s="351"/>
      <c r="O214" s="351"/>
      <c r="P214" s="261">
        <v>3.8499999999999899</v>
      </c>
      <c r="Q214" s="260">
        <v>1</v>
      </c>
      <c r="R214" s="260" t="s">
        <v>20</v>
      </c>
      <c r="S214" s="260">
        <v>2006</v>
      </c>
      <c r="T214" s="260" t="s">
        <v>161</v>
      </c>
      <c r="U214" s="386">
        <v>42653</v>
      </c>
      <c r="V214" s="387"/>
      <c r="W214" s="354">
        <f>COUNT(RawMaterials[[#This Row],[Lab Quantity 1]:[Lab Quantity 4]])</f>
        <v>0</v>
      </c>
      <c r="X21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4" s="392" t="e">
        <f>RawMaterials[[#This Row],[Lab Price 1]]/RawMaterials[[#This Row],[Lab Q Model Units 1]]</f>
        <v>#N/A</v>
      </c>
      <c r="AC214" s="392" t="e">
        <f>RawMaterials[[#This Row],[Lab Price 2]]/RawMaterials[[#This Row],[Lab Q Model Units 2]]</f>
        <v>#N/A</v>
      </c>
      <c r="AD214" s="392" t="e">
        <f>RawMaterials[[#This Row],[Lab Price 3]]/RawMaterials[[#This Row],[Lab Q Model Units 3]]</f>
        <v>#N/A</v>
      </c>
      <c r="AE214" s="392" t="e">
        <f>RawMaterials[[#This Row],[Lab Price 4]]/RawMaterials[[#This Row],[Lab Q Model Units 4]]</f>
        <v>#N/A</v>
      </c>
      <c r="AF214" s="392" t="str">
        <f ca="1">IF(RawMaterials[[#This Row],[Lab Quote Count]]&gt;1,SLOPE(LOG(INDIRECT("RawMaterials[@[Lab Unit P 1]:[Lab Unit P "&amp;RawMaterials[[#This Row],[Lab Quote Count]]&amp;"]]")),LOG(INDIRECT("RawMaterials[@[Lab Q Model Units 1]:[Lab Q Model Units "&amp;RawMaterials[[#This Row],[Lab Quote Count]]&amp;"]]"))),"")</f>
        <v/>
      </c>
      <c r="AG214" s="392" t="str">
        <f ca="1">IF(RawMaterials[[#This Row],[Lab Quote Count]]&gt;1,INTERCEPT(LOG(INDIRECT("RawMaterials[@[Lab Unit P 1]:[Lab Unit P "&amp;RawMaterials[[#This Row],[Lab Quote Count]]&amp;"]]")),LOG(INDIRECT("RawMaterials[@[Lab Q Model Units 1]:[Lab Q Model Units "&amp;RawMaterials[[#This Row],[Lab Quote Count]]&amp;"]]"))),"")</f>
        <v/>
      </c>
      <c r="AH214" s="393" t="str">
        <f>IF(RawMaterials[[#This Row],[Material Type]]="Metal Precursor","D13",IF(RawMaterials[[#This Row],[Material Type]]="Ligand","D13","D12"))</f>
        <v>D12</v>
      </c>
      <c r="AI214" s="394" t="str">
        <f ca="1">IF(RawMaterials[[#This Row],[Lab Quote Count]]&gt;1,10^RawMaterials[[#This Row],[Lab Log-Log Intercept]]*INDIRECT(RawMaterials[[#This Row],[Basis Cell]])^RawMaterials[[#This Row],[Lab Log-Log Slope]],"&gt;&gt;&gt; Enter 2 or more lab quotes &lt;&lt;&lt;")</f>
        <v>&gt;&gt;&gt; Enter 2 or more lab quotes &lt;&lt;&lt;</v>
      </c>
      <c r="AJ21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8.4877970941177647</v>
      </c>
      <c r="AL214" s="396">
        <f>IF(ISTEXT(RawMaterials[[#This Row],[Unit price in quote year]]),"Check calcs",RawMaterials[[#This Row],[Unit price in quote year]]/VLOOKUP(RawMaterials[[#This Row],[Quote Year]],ChemPPI[],14,FALSE)*VLOOKUP(BasisYear,ChemPPI[],14,FALSE))</f>
        <v>11.519769328449469</v>
      </c>
      <c r="AM214" s="397" t="str">
        <f t="shared" si="3"/>
        <v>$/kg (2016)</v>
      </c>
    </row>
    <row r="215" spans="1:39">
      <c r="A215" s="259" t="s">
        <v>1309</v>
      </c>
      <c r="B215" s="260"/>
      <c r="C215" s="351"/>
      <c r="D215" s="351"/>
      <c r="E215" s="260">
        <v>100</v>
      </c>
      <c r="F215" s="260"/>
      <c r="G215" s="351"/>
      <c r="H215" s="351"/>
      <c r="I215" s="262"/>
      <c r="J215" s="351"/>
      <c r="K215" s="351"/>
      <c r="L215" s="351"/>
      <c r="M215" s="351"/>
      <c r="N215" s="351"/>
      <c r="O215" s="351"/>
      <c r="P215" s="261">
        <v>4.1749999999999998</v>
      </c>
      <c r="Q215" s="260">
        <v>1</v>
      </c>
      <c r="R215" s="260" t="s">
        <v>20</v>
      </c>
      <c r="S215" s="260">
        <v>2006</v>
      </c>
      <c r="T215" s="260" t="s">
        <v>161</v>
      </c>
      <c r="U215" s="386">
        <v>42653</v>
      </c>
      <c r="V215" s="387"/>
      <c r="W215" s="354">
        <f>COUNT(RawMaterials[[#This Row],[Lab Quantity 1]:[Lab Quantity 4]])</f>
        <v>0</v>
      </c>
      <c r="X21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5" s="392" t="e">
        <f>RawMaterials[[#This Row],[Lab Price 1]]/RawMaterials[[#This Row],[Lab Q Model Units 1]]</f>
        <v>#N/A</v>
      </c>
      <c r="AC215" s="392" t="e">
        <f>RawMaterials[[#This Row],[Lab Price 2]]/RawMaterials[[#This Row],[Lab Q Model Units 2]]</f>
        <v>#N/A</v>
      </c>
      <c r="AD215" s="392" t="e">
        <f>RawMaterials[[#This Row],[Lab Price 3]]/RawMaterials[[#This Row],[Lab Q Model Units 3]]</f>
        <v>#N/A</v>
      </c>
      <c r="AE215" s="392" t="e">
        <f>RawMaterials[[#This Row],[Lab Price 4]]/RawMaterials[[#This Row],[Lab Q Model Units 4]]</f>
        <v>#N/A</v>
      </c>
      <c r="AF215" s="392" t="str">
        <f ca="1">IF(RawMaterials[[#This Row],[Lab Quote Count]]&gt;1,SLOPE(LOG(INDIRECT("RawMaterials[@[Lab Unit P 1]:[Lab Unit P "&amp;RawMaterials[[#This Row],[Lab Quote Count]]&amp;"]]")),LOG(INDIRECT("RawMaterials[@[Lab Q Model Units 1]:[Lab Q Model Units "&amp;RawMaterials[[#This Row],[Lab Quote Count]]&amp;"]]"))),"")</f>
        <v/>
      </c>
      <c r="AG215" s="392" t="str">
        <f ca="1">IF(RawMaterials[[#This Row],[Lab Quote Count]]&gt;1,INTERCEPT(LOG(INDIRECT("RawMaterials[@[Lab Unit P 1]:[Lab Unit P "&amp;RawMaterials[[#This Row],[Lab Quote Count]]&amp;"]]")),LOG(INDIRECT("RawMaterials[@[Lab Q Model Units 1]:[Lab Q Model Units "&amp;RawMaterials[[#This Row],[Lab Quote Count]]&amp;"]]"))),"")</f>
        <v/>
      </c>
      <c r="AH215" s="393" t="str">
        <f>IF(RawMaterials[[#This Row],[Material Type]]="Metal Precursor","D13",IF(RawMaterials[[#This Row],[Material Type]]="Ligand","D13","D12"))</f>
        <v>D12</v>
      </c>
      <c r="AI215" s="394" t="str">
        <f ca="1">IF(RawMaterials[[#This Row],[Lab Quote Count]]&gt;1,10^RawMaterials[[#This Row],[Lab Log-Log Intercept]]*INDIRECT(RawMaterials[[#This Row],[Basis Cell]])^RawMaterials[[#This Row],[Lab Log-Log Slope]],"&gt;&gt;&gt; Enter 2 or more lab quotes &lt;&lt;&lt;")</f>
        <v>&gt;&gt;&gt; Enter 2 or more lab quotes &lt;&lt;&lt;</v>
      </c>
      <c r="AJ21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9.2042994462186378</v>
      </c>
      <c r="AL215" s="396">
        <f>IF(ISTEXT(RawMaterials[[#This Row],[Unit price in quote year]]),"Check calcs",RawMaterials[[#This Row],[Unit price in quote year]]/VLOOKUP(RawMaterials[[#This Row],[Quote Year]],ChemPPI[],14,FALSE)*VLOOKUP(BasisYear,ChemPPI[],14,FALSE))</f>
        <v>12.492217388643287</v>
      </c>
      <c r="AM215" s="397" t="str">
        <f t="shared" si="3"/>
        <v>$/kg (2016)</v>
      </c>
    </row>
    <row r="216" spans="1:39">
      <c r="A216" s="259" t="s">
        <v>1310</v>
      </c>
      <c r="B216" s="260"/>
      <c r="C216" s="351"/>
      <c r="D216" s="351"/>
      <c r="E216" s="260">
        <v>100</v>
      </c>
      <c r="F216" s="260"/>
      <c r="G216" s="351"/>
      <c r="H216" s="351"/>
      <c r="I216" s="262"/>
      <c r="J216" s="351"/>
      <c r="K216" s="351"/>
      <c r="L216" s="351"/>
      <c r="M216" s="351"/>
      <c r="N216" s="351"/>
      <c r="O216" s="351"/>
      <c r="P216" s="261">
        <v>6.5</v>
      </c>
      <c r="Q216" s="260">
        <v>1</v>
      </c>
      <c r="R216" s="260" t="s">
        <v>71</v>
      </c>
      <c r="S216" s="260">
        <v>2006</v>
      </c>
      <c r="T216" s="260" t="s">
        <v>161</v>
      </c>
      <c r="U216" s="386">
        <v>42653</v>
      </c>
      <c r="V216" s="387"/>
      <c r="W216" s="354">
        <f>COUNT(RawMaterials[[#This Row],[Lab Quantity 1]:[Lab Quantity 4]])</f>
        <v>0</v>
      </c>
      <c r="X21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6" s="392" t="e">
        <f>RawMaterials[[#This Row],[Lab Price 1]]/RawMaterials[[#This Row],[Lab Q Model Units 1]]</f>
        <v>#N/A</v>
      </c>
      <c r="AC216" s="392" t="e">
        <f>RawMaterials[[#This Row],[Lab Price 2]]/RawMaterials[[#This Row],[Lab Q Model Units 2]]</f>
        <v>#N/A</v>
      </c>
      <c r="AD216" s="392" t="e">
        <f>RawMaterials[[#This Row],[Lab Price 3]]/RawMaterials[[#This Row],[Lab Q Model Units 3]]</f>
        <v>#N/A</v>
      </c>
      <c r="AE216" s="392" t="e">
        <f>RawMaterials[[#This Row],[Lab Price 4]]/RawMaterials[[#This Row],[Lab Q Model Units 4]]</f>
        <v>#N/A</v>
      </c>
      <c r="AF216" s="392" t="str">
        <f ca="1">IF(RawMaterials[[#This Row],[Lab Quote Count]]&gt;1,SLOPE(LOG(INDIRECT("RawMaterials[@[Lab Unit P 1]:[Lab Unit P "&amp;RawMaterials[[#This Row],[Lab Quote Count]]&amp;"]]")),LOG(INDIRECT("RawMaterials[@[Lab Q Model Units 1]:[Lab Q Model Units "&amp;RawMaterials[[#This Row],[Lab Quote Count]]&amp;"]]"))),"")</f>
        <v/>
      </c>
      <c r="AG216" s="392" t="str">
        <f ca="1">IF(RawMaterials[[#This Row],[Lab Quote Count]]&gt;1,INTERCEPT(LOG(INDIRECT("RawMaterials[@[Lab Unit P 1]:[Lab Unit P "&amp;RawMaterials[[#This Row],[Lab Quote Count]]&amp;"]]")),LOG(INDIRECT("RawMaterials[@[Lab Q Model Units 1]:[Lab Q Model Units "&amp;RawMaterials[[#This Row],[Lab Quote Count]]&amp;"]]"))),"")</f>
        <v/>
      </c>
      <c r="AH216" s="393" t="str">
        <f>IF(RawMaterials[[#This Row],[Material Type]]="Metal Precursor","D13",IF(RawMaterials[[#This Row],[Material Type]]="Ligand","D13","D12"))</f>
        <v>D12</v>
      </c>
      <c r="AI216" s="394" t="str">
        <f ca="1">IF(RawMaterials[[#This Row],[Lab Quote Count]]&gt;1,10^RawMaterials[[#This Row],[Lab Log-Log Intercept]]*INDIRECT(RawMaterials[[#This Row],[Basis Cell]])^RawMaterials[[#This Row],[Lab Log-Log Slope]],"&gt;&gt;&gt; Enter 2 or more lab quotes &lt;&lt;&lt;")</f>
        <v>&gt;&gt;&gt; Enter 2 or more lab quotes &lt;&lt;&lt;</v>
      </c>
      <c r="AJ21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6.5</v>
      </c>
      <c r="AL216" s="396">
        <f>IF(ISTEXT(RawMaterials[[#This Row],[Unit price in quote year]]),"Check calcs",RawMaterials[[#This Row],[Unit price in quote year]]/VLOOKUP(RawMaterials[[#This Row],[Quote Year]],ChemPPI[],14,FALSE)*VLOOKUP(BasisYear,ChemPPI[],14,FALSE))</f>
        <v>8.8219004065040671</v>
      </c>
      <c r="AM216" s="397" t="str">
        <f t="shared" si="3"/>
        <v>$/kg (2016)</v>
      </c>
    </row>
    <row r="217" spans="1:39">
      <c r="A217" s="259" t="s">
        <v>1311</v>
      </c>
      <c r="B217" s="260"/>
      <c r="C217" s="351"/>
      <c r="D217" s="351"/>
      <c r="E217" s="260">
        <v>100</v>
      </c>
      <c r="F217" s="260"/>
      <c r="G217" s="351"/>
      <c r="H217" s="351"/>
      <c r="I217" s="262"/>
      <c r="J217" s="351"/>
      <c r="K217" s="351"/>
      <c r="L217" s="351"/>
      <c r="M217" s="351"/>
      <c r="N217" s="351"/>
      <c r="O217" s="351"/>
      <c r="P217" s="261">
        <v>0.45</v>
      </c>
      <c r="Q217" s="260">
        <v>1</v>
      </c>
      <c r="R217" s="260" t="s">
        <v>20</v>
      </c>
      <c r="S217" s="260">
        <v>2006</v>
      </c>
      <c r="T217" s="260" t="s">
        <v>161</v>
      </c>
      <c r="U217" s="386">
        <v>42653</v>
      </c>
      <c r="V217" s="387"/>
      <c r="W217" s="354">
        <f>COUNT(RawMaterials[[#This Row],[Lab Quantity 1]:[Lab Quantity 4]])</f>
        <v>0</v>
      </c>
      <c r="X21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7" s="392" t="e">
        <f>RawMaterials[[#This Row],[Lab Price 1]]/RawMaterials[[#This Row],[Lab Q Model Units 1]]</f>
        <v>#N/A</v>
      </c>
      <c r="AC217" s="392" t="e">
        <f>RawMaterials[[#This Row],[Lab Price 2]]/RawMaterials[[#This Row],[Lab Q Model Units 2]]</f>
        <v>#N/A</v>
      </c>
      <c r="AD217" s="392" t="e">
        <f>RawMaterials[[#This Row],[Lab Price 3]]/RawMaterials[[#This Row],[Lab Q Model Units 3]]</f>
        <v>#N/A</v>
      </c>
      <c r="AE217" s="392" t="e">
        <f>RawMaterials[[#This Row],[Lab Price 4]]/RawMaterials[[#This Row],[Lab Q Model Units 4]]</f>
        <v>#N/A</v>
      </c>
      <c r="AF217" s="392" t="str">
        <f ca="1">IF(RawMaterials[[#This Row],[Lab Quote Count]]&gt;1,SLOPE(LOG(INDIRECT("RawMaterials[@[Lab Unit P 1]:[Lab Unit P "&amp;RawMaterials[[#This Row],[Lab Quote Count]]&amp;"]]")),LOG(INDIRECT("RawMaterials[@[Lab Q Model Units 1]:[Lab Q Model Units "&amp;RawMaterials[[#This Row],[Lab Quote Count]]&amp;"]]"))),"")</f>
        <v/>
      </c>
      <c r="AG217" s="392" t="str">
        <f ca="1">IF(RawMaterials[[#This Row],[Lab Quote Count]]&gt;1,INTERCEPT(LOG(INDIRECT("RawMaterials[@[Lab Unit P 1]:[Lab Unit P "&amp;RawMaterials[[#This Row],[Lab Quote Count]]&amp;"]]")),LOG(INDIRECT("RawMaterials[@[Lab Q Model Units 1]:[Lab Q Model Units "&amp;RawMaterials[[#This Row],[Lab Quote Count]]&amp;"]]"))),"")</f>
        <v/>
      </c>
      <c r="AH217" s="393" t="str">
        <f>IF(RawMaterials[[#This Row],[Material Type]]="Metal Precursor","D13",IF(RawMaterials[[#This Row],[Material Type]]="Ligand","D13","D12"))</f>
        <v>D12</v>
      </c>
      <c r="AI217" s="394" t="str">
        <f ca="1">IF(RawMaterials[[#This Row],[Lab Quote Count]]&gt;1,10^RawMaterials[[#This Row],[Lab Log-Log Intercept]]*INDIRECT(RawMaterials[[#This Row],[Basis Cell]])^RawMaterials[[#This Row],[Lab Log-Log Slope]],"&gt;&gt;&gt; Enter 2 or more lab quotes &lt;&lt;&lt;")</f>
        <v>&gt;&gt;&gt; Enter 2 or more lab quotes &lt;&lt;&lt;</v>
      </c>
      <c r="AJ21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0.99208017983194907</v>
      </c>
      <c r="AL217" s="396">
        <f>IF(ISTEXT(RawMaterials[[#This Row],[Unit price in quote year]]),"Check calcs",RawMaterials[[#This Row],[Unit price in quote year]]/VLOOKUP(RawMaterials[[#This Row],[Quote Year]],ChemPPI[],14,FALSE)*VLOOKUP(BasisYear,ChemPPI[],14,FALSE))</f>
        <v>1.3464665448837074</v>
      </c>
      <c r="AM217" s="397" t="str">
        <f t="shared" si="3"/>
        <v>$/kg (2016)</v>
      </c>
    </row>
    <row r="218" spans="1:39">
      <c r="A218" s="259" t="s">
        <v>1312</v>
      </c>
      <c r="B218" s="260"/>
      <c r="C218" s="351"/>
      <c r="D218" s="351"/>
      <c r="E218" s="260">
        <v>100</v>
      </c>
      <c r="F218" s="260"/>
      <c r="G218" s="351"/>
      <c r="H218" s="351"/>
      <c r="I218" s="262"/>
      <c r="J218" s="351"/>
      <c r="K218" s="351"/>
      <c r="L218" s="351"/>
      <c r="M218" s="351"/>
      <c r="N218" s="351"/>
      <c r="O218" s="351"/>
      <c r="P218" s="261">
        <v>0.52749999999999997</v>
      </c>
      <c r="Q218" s="260">
        <v>1</v>
      </c>
      <c r="R218" s="260" t="s">
        <v>20</v>
      </c>
      <c r="S218" s="260">
        <v>2006</v>
      </c>
      <c r="T218" s="260" t="s">
        <v>161</v>
      </c>
      <c r="U218" s="386">
        <v>42653</v>
      </c>
      <c r="V218" s="387"/>
      <c r="W218" s="354">
        <f>COUNT(RawMaterials[[#This Row],[Lab Quantity 1]:[Lab Quantity 4]])</f>
        <v>0</v>
      </c>
      <c r="X21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8" s="392" t="e">
        <f>RawMaterials[[#This Row],[Lab Price 1]]/RawMaterials[[#This Row],[Lab Q Model Units 1]]</f>
        <v>#N/A</v>
      </c>
      <c r="AC218" s="392" t="e">
        <f>RawMaterials[[#This Row],[Lab Price 2]]/RawMaterials[[#This Row],[Lab Q Model Units 2]]</f>
        <v>#N/A</v>
      </c>
      <c r="AD218" s="392" t="e">
        <f>RawMaterials[[#This Row],[Lab Price 3]]/RawMaterials[[#This Row],[Lab Q Model Units 3]]</f>
        <v>#N/A</v>
      </c>
      <c r="AE218" s="392" t="e">
        <f>RawMaterials[[#This Row],[Lab Price 4]]/RawMaterials[[#This Row],[Lab Q Model Units 4]]</f>
        <v>#N/A</v>
      </c>
      <c r="AF218" s="392" t="str">
        <f ca="1">IF(RawMaterials[[#This Row],[Lab Quote Count]]&gt;1,SLOPE(LOG(INDIRECT("RawMaterials[@[Lab Unit P 1]:[Lab Unit P "&amp;RawMaterials[[#This Row],[Lab Quote Count]]&amp;"]]")),LOG(INDIRECT("RawMaterials[@[Lab Q Model Units 1]:[Lab Q Model Units "&amp;RawMaterials[[#This Row],[Lab Quote Count]]&amp;"]]"))),"")</f>
        <v/>
      </c>
      <c r="AG218" s="392" t="str">
        <f ca="1">IF(RawMaterials[[#This Row],[Lab Quote Count]]&gt;1,INTERCEPT(LOG(INDIRECT("RawMaterials[@[Lab Unit P 1]:[Lab Unit P "&amp;RawMaterials[[#This Row],[Lab Quote Count]]&amp;"]]")),LOG(INDIRECT("RawMaterials[@[Lab Q Model Units 1]:[Lab Q Model Units "&amp;RawMaterials[[#This Row],[Lab Quote Count]]&amp;"]]"))),"")</f>
        <v/>
      </c>
      <c r="AH218" s="393" t="str">
        <f>IF(RawMaterials[[#This Row],[Material Type]]="Metal Precursor","D13",IF(RawMaterials[[#This Row],[Material Type]]="Ligand","D13","D12"))</f>
        <v>D12</v>
      </c>
      <c r="AI218" s="394" t="str">
        <f ca="1">IF(RawMaterials[[#This Row],[Lab Quote Count]]&gt;1,10^RawMaterials[[#This Row],[Lab Log-Log Intercept]]*INDIRECT(RawMaterials[[#This Row],[Basis Cell]])^RawMaterials[[#This Row],[Lab Log-Log Slope]],"&gt;&gt;&gt; Enter 2 or more lab quotes &lt;&lt;&lt;")</f>
        <v>&gt;&gt;&gt; Enter 2 or more lab quotes &lt;&lt;&lt;</v>
      </c>
      <c r="AJ21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1.162938433025229</v>
      </c>
      <c r="AL218" s="396">
        <f>IF(ISTEXT(RawMaterials[[#This Row],[Unit price in quote year]]),"Check calcs",RawMaterials[[#This Row],[Unit price in quote year]]/VLOOKUP(RawMaterials[[#This Row],[Quote Year]],ChemPPI[],14,FALSE)*VLOOKUP(BasisYear,ChemPPI[],14,FALSE))</f>
        <v>1.578358005391457</v>
      </c>
      <c r="AM218" s="397" t="str">
        <f t="shared" si="3"/>
        <v>$/kg (2016)</v>
      </c>
    </row>
    <row r="219" spans="1:39">
      <c r="A219" s="259" t="s">
        <v>1313</v>
      </c>
      <c r="B219" s="260"/>
      <c r="C219" s="351"/>
      <c r="D219" s="351"/>
      <c r="E219" s="260">
        <v>100</v>
      </c>
      <c r="F219" s="260"/>
      <c r="G219" s="351"/>
      <c r="H219" s="351"/>
      <c r="I219" s="262"/>
      <c r="J219" s="351"/>
      <c r="K219" s="351"/>
      <c r="L219" s="351"/>
      <c r="M219" s="351"/>
      <c r="N219" s="351"/>
      <c r="O219" s="351"/>
      <c r="P219" s="261">
        <v>1.0449999999999999</v>
      </c>
      <c r="Q219" s="260">
        <v>1</v>
      </c>
      <c r="R219" s="260" t="s">
        <v>20</v>
      </c>
      <c r="S219" s="260">
        <v>2008</v>
      </c>
      <c r="T219" s="260" t="s">
        <v>161</v>
      </c>
      <c r="U219" s="386">
        <v>42653</v>
      </c>
      <c r="V219" s="387"/>
      <c r="W219" s="354">
        <f>COUNT(RawMaterials[[#This Row],[Lab Quantity 1]:[Lab Quantity 4]])</f>
        <v>0</v>
      </c>
      <c r="X21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9" s="392" t="e">
        <f>RawMaterials[[#This Row],[Lab Price 1]]/RawMaterials[[#This Row],[Lab Q Model Units 1]]</f>
        <v>#N/A</v>
      </c>
      <c r="AC219" s="392" t="e">
        <f>RawMaterials[[#This Row],[Lab Price 2]]/RawMaterials[[#This Row],[Lab Q Model Units 2]]</f>
        <v>#N/A</v>
      </c>
      <c r="AD219" s="392" t="e">
        <f>RawMaterials[[#This Row],[Lab Price 3]]/RawMaterials[[#This Row],[Lab Q Model Units 3]]</f>
        <v>#N/A</v>
      </c>
      <c r="AE219" s="392" t="e">
        <f>RawMaterials[[#This Row],[Lab Price 4]]/RawMaterials[[#This Row],[Lab Q Model Units 4]]</f>
        <v>#N/A</v>
      </c>
      <c r="AF219" s="392" t="str">
        <f ca="1">IF(RawMaterials[[#This Row],[Lab Quote Count]]&gt;1,SLOPE(LOG(INDIRECT("RawMaterials[@[Lab Unit P 1]:[Lab Unit P "&amp;RawMaterials[[#This Row],[Lab Quote Count]]&amp;"]]")),LOG(INDIRECT("RawMaterials[@[Lab Q Model Units 1]:[Lab Q Model Units "&amp;RawMaterials[[#This Row],[Lab Quote Count]]&amp;"]]"))),"")</f>
        <v/>
      </c>
      <c r="AG219" s="392" t="str">
        <f ca="1">IF(RawMaterials[[#This Row],[Lab Quote Count]]&gt;1,INTERCEPT(LOG(INDIRECT("RawMaterials[@[Lab Unit P 1]:[Lab Unit P "&amp;RawMaterials[[#This Row],[Lab Quote Count]]&amp;"]]")),LOG(INDIRECT("RawMaterials[@[Lab Q Model Units 1]:[Lab Q Model Units "&amp;RawMaterials[[#This Row],[Lab Quote Count]]&amp;"]]"))),"")</f>
        <v/>
      </c>
      <c r="AH219" s="393" t="str">
        <f>IF(RawMaterials[[#This Row],[Material Type]]="Metal Precursor","D13",IF(RawMaterials[[#This Row],[Material Type]]="Ligand","D13","D12"))</f>
        <v>D12</v>
      </c>
      <c r="AI219" s="394" t="str">
        <f ca="1">IF(RawMaterials[[#This Row],[Lab Quote Count]]&gt;1,10^RawMaterials[[#This Row],[Lab Log-Log Intercept]]*INDIRECT(RawMaterials[[#This Row],[Basis Cell]])^RawMaterials[[#This Row],[Lab Log-Log Slope]],"&gt;&gt;&gt; Enter 2 or more lab quotes &lt;&lt;&lt;")</f>
        <v>&gt;&gt;&gt; Enter 2 or more lab quotes &lt;&lt;&lt;</v>
      </c>
      <c r="AJ21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2.3038306398319706</v>
      </c>
      <c r="AL219" s="396">
        <f>IF(ISTEXT(RawMaterials[[#This Row],[Unit price in quote year]]),"Check calcs",RawMaterials[[#This Row],[Unit price in quote year]]/VLOOKUP(RawMaterials[[#This Row],[Quote Year]],ChemPPI[],14,FALSE)*VLOOKUP(BasisYear,ChemPPI[],14,FALSE))</f>
        <v>2.6964535208287139</v>
      </c>
      <c r="AM219" s="397" t="str">
        <f t="shared" si="3"/>
        <v>$/kg (2016)</v>
      </c>
    </row>
    <row r="220" spans="1:39">
      <c r="A220" s="259" t="s">
        <v>1314</v>
      </c>
      <c r="B220" s="260"/>
      <c r="C220" s="351"/>
      <c r="D220" s="351"/>
      <c r="E220" s="260">
        <v>100</v>
      </c>
      <c r="F220" s="260"/>
      <c r="G220" s="351"/>
      <c r="H220" s="351"/>
      <c r="I220" s="262"/>
      <c r="J220" s="351"/>
      <c r="K220" s="351"/>
      <c r="L220" s="351"/>
      <c r="M220" s="351"/>
      <c r="N220" s="351"/>
      <c r="O220" s="351"/>
      <c r="P220" s="261">
        <v>0.75</v>
      </c>
      <c r="Q220" s="260">
        <v>1</v>
      </c>
      <c r="R220" s="260" t="s">
        <v>20</v>
      </c>
      <c r="S220" s="260">
        <v>2008</v>
      </c>
      <c r="T220" s="260" t="s">
        <v>161</v>
      </c>
      <c r="U220" s="386">
        <v>42653</v>
      </c>
      <c r="V220" s="387"/>
      <c r="W220" s="354">
        <f>COUNT(RawMaterials[[#This Row],[Lab Quantity 1]:[Lab Quantity 4]])</f>
        <v>0</v>
      </c>
      <c r="X22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0" s="392" t="e">
        <f>RawMaterials[[#This Row],[Lab Price 1]]/RawMaterials[[#This Row],[Lab Q Model Units 1]]</f>
        <v>#N/A</v>
      </c>
      <c r="AC220" s="392" t="e">
        <f>RawMaterials[[#This Row],[Lab Price 2]]/RawMaterials[[#This Row],[Lab Q Model Units 2]]</f>
        <v>#N/A</v>
      </c>
      <c r="AD220" s="392" t="e">
        <f>RawMaterials[[#This Row],[Lab Price 3]]/RawMaterials[[#This Row],[Lab Q Model Units 3]]</f>
        <v>#N/A</v>
      </c>
      <c r="AE220" s="392" t="e">
        <f>RawMaterials[[#This Row],[Lab Price 4]]/RawMaterials[[#This Row],[Lab Q Model Units 4]]</f>
        <v>#N/A</v>
      </c>
      <c r="AF220" s="392" t="str">
        <f ca="1">IF(RawMaterials[[#This Row],[Lab Quote Count]]&gt;1,SLOPE(LOG(INDIRECT("RawMaterials[@[Lab Unit P 1]:[Lab Unit P "&amp;RawMaterials[[#This Row],[Lab Quote Count]]&amp;"]]")),LOG(INDIRECT("RawMaterials[@[Lab Q Model Units 1]:[Lab Q Model Units "&amp;RawMaterials[[#This Row],[Lab Quote Count]]&amp;"]]"))),"")</f>
        <v/>
      </c>
      <c r="AG220" s="392" t="str">
        <f ca="1">IF(RawMaterials[[#This Row],[Lab Quote Count]]&gt;1,INTERCEPT(LOG(INDIRECT("RawMaterials[@[Lab Unit P 1]:[Lab Unit P "&amp;RawMaterials[[#This Row],[Lab Quote Count]]&amp;"]]")),LOG(INDIRECT("RawMaterials[@[Lab Q Model Units 1]:[Lab Q Model Units "&amp;RawMaterials[[#This Row],[Lab Quote Count]]&amp;"]]"))),"")</f>
        <v/>
      </c>
      <c r="AH220" s="393" t="str">
        <f>IF(RawMaterials[[#This Row],[Material Type]]="Metal Precursor","D13",IF(RawMaterials[[#This Row],[Material Type]]="Ligand","D13","D12"))</f>
        <v>D12</v>
      </c>
      <c r="AI220" s="394" t="str">
        <f ca="1">IF(RawMaterials[[#This Row],[Lab Quote Count]]&gt;1,10^RawMaterials[[#This Row],[Lab Log-Log Intercept]]*INDIRECT(RawMaterials[[#This Row],[Basis Cell]])^RawMaterials[[#This Row],[Lab Log-Log Slope]],"&gt;&gt;&gt; Enter 2 or more lab quotes &lt;&lt;&lt;")</f>
        <v>&gt;&gt;&gt; Enter 2 or more lab quotes &lt;&lt;&lt;</v>
      </c>
      <c r="AJ22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1.6534669663865817</v>
      </c>
      <c r="AL220" s="396">
        <f>IF(ISTEXT(RawMaterials[[#This Row],[Unit price in quote year]]),"Check calcs",RawMaterials[[#This Row],[Unit price in quote year]]/VLOOKUP(RawMaterials[[#This Row],[Quote Year]],ChemPPI[],14,FALSE)*VLOOKUP(BasisYear,ChemPPI[],14,FALSE))</f>
        <v>1.9352537230828089</v>
      </c>
      <c r="AM220" s="397" t="str">
        <f t="shared" si="3"/>
        <v>$/kg (2016)</v>
      </c>
    </row>
    <row r="221" spans="1:39">
      <c r="A221" s="259" t="s">
        <v>1315</v>
      </c>
      <c r="B221" s="260"/>
      <c r="C221" s="351"/>
      <c r="D221" s="351"/>
      <c r="E221" s="260">
        <v>100</v>
      </c>
      <c r="F221" s="260"/>
      <c r="G221" s="351"/>
      <c r="H221" s="351"/>
      <c r="I221" s="262"/>
      <c r="J221" s="351"/>
      <c r="K221" s="351"/>
      <c r="L221" s="351"/>
      <c r="M221" s="351"/>
      <c r="N221" s="351"/>
      <c r="O221" s="351"/>
      <c r="P221" s="261">
        <v>0.9</v>
      </c>
      <c r="Q221" s="260">
        <v>1</v>
      </c>
      <c r="R221" s="260" t="s">
        <v>20</v>
      </c>
      <c r="S221" s="260">
        <v>2008</v>
      </c>
      <c r="T221" s="260" t="s">
        <v>161</v>
      </c>
      <c r="U221" s="386">
        <v>42653</v>
      </c>
      <c r="V221" s="387"/>
      <c r="W221" s="354">
        <f>COUNT(RawMaterials[[#This Row],[Lab Quantity 1]:[Lab Quantity 4]])</f>
        <v>0</v>
      </c>
      <c r="X22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1" s="392" t="e">
        <f>RawMaterials[[#This Row],[Lab Price 1]]/RawMaterials[[#This Row],[Lab Q Model Units 1]]</f>
        <v>#N/A</v>
      </c>
      <c r="AC221" s="392" t="e">
        <f>RawMaterials[[#This Row],[Lab Price 2]]/RawMaterials[[#This Row],[Lab Q Model Units 2]]</f>
        <v>#N/A</v>
      </c>
      <c r="AD221" s="392" t="e">
        <f>RawMaterials[[#This Row],[Lab Price 3]]/RawMaterials[[#This Row],[Lab Q Model Units 3]]</f>
        <v>#N/A</v>
      </c>
      <c r="AE221" s="392" t="e">
        <f>RawMaterials[[#This Row],[Lab Price 4]]/RawMaterials[[#This Row],[Lab Q Model Units 4]]</f>
        <v>#N/A</v>
      </c>
      <c r="AF221" s="392" t="str">
        <f ca="1">IF(RawMaterials[[#This Row],[Lab Quote Count]]&gt;1,SLOPE(LOG(INDIRECT("RawMaterials[@[Lab Unit P 1]:[Lab Unit P "&amp;RawMaterials[[#This Row],[Lab Quote Count]]&amp;"]]")),LOG(INDIRECT("RawMaterials[@[Lab Q Model Units 1]:[Lab Q Model Units "&amp;RawMaterials[[#This Row],[Lab Quote Count]]&amp;"]]"))),"")</f>
        <v/>
      </c>
      <c r="AG221" s="392" t="str">
        <f ca="1">IF(RawMaterials[[#This Row],[Lab Quote Count]]&gt;1,INTERCEPT(LOG(INDIRECT("RawMaterials[@[Lab Unit P 1]:[Lab Unit P "&amp;RawMaterials[[#This Row],[Lab Quote Count]]&amp;"]]")),LOG(INDIRECT("RawMaterials[@[Lab Q Model Units 1]:[Lab Q Model Units "&amp;RawMaterials[[#This Row],[Lab Quote Count]]&amp;"]]"))),"")</f>
        <v/>
      </c>
      <c r="AH221" s="393" t="str">
        <f>IF(RawMaterials[[#This Row],[Material Type]]="Metal Precursor","D13",IF(RawMaterials[[#This Row],[Material Type]]="Ligand","D13","D12"))</f>
        <v>D12</v>
      </c>
      <c r="AI221" s="394" t="str">
        <f ca="1">IF(RawMaterials[[#This Row],[Lab Quote Count]]&gt;1,10^RawMaterials[[#This Row],[Lab Log-Log Intercept]]*INDIRECT(RawMaterials[[#This Row],[Basis Cell]])^RawMaterials[[#This Row],[Lab Log-Log Slope]],"&gt;&gt;&gt; Enter 2 or more lab quotes &lt;&lt;&lt;")</f>
        <v>&gt;&gt;&gt; Enter 2 or more lab quotes &lt;&lt;&lt;</v>
      </c>
      <c r="AJ22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1.9841603596638981</v>
      </c>
      <c r="AL221" s="396">
        <f>IF(ISTEXT(RawMaterials[[#This Row],[Unit price in quote year]]),"Check calcs",RawMaterials[[#This Row],[Unit price in quote year]]/VLOOKUP(RawMaterials[[#This Row],[Quote Year]],ChemPPI[],14,FALSE)*VLOOKUP(BasisYear,ChemPPI[],14,FALSE))</f>
        <v>2.3223044676993707</v>
      </c>
      <c r="AM221" s="397" t="str">
        <f t="shared" si="3"/>
        <v>$/kg (2016)</v>
      </c>
    </row>
    <row r="222" spans="1:39">
      <c r="A222" s="259" t="s">
        <v>1316</v>
      </c>
      <c r="B222" s="260"/>
      <c r="C222" s="351"/>
      <c r="D222" s="351"/>
      <c r="E222" s="260">
        <v>100</v>
      </c>
      <c r="F222" s="260"/>
      <c r="G222" s="351"/>
      <c r="H222" s="351"/>
      <c r="I222" s="262"/>
      <c r="J222" s="351"/>
      <c r="K222" s="351"/>
      <c r="L222" s="351"/>
      <c r="M222" s="351"/>
      <c r="N222" s="351"/>
      <c r="O222" s="351"/>
      <c r="P222" s="261">
        <v>0.76</v>
      </c>
      <c r="Q222" s="260">
        <v>1</v>
      </c>
      <c r="R222" s="260" t="s">
        <v>20</v>
      </c>
      <c r="S222" s="260">
        <v>2008</v>
      </c>
      <c r="T222" s="260" t="s">
        <v>161</v>
      </c>
      <c r="U222" s="386">
        <v>42653</v>
      </c>
      <c r="V222" s="387"/>
      <c r="W222" s="354">
        <f>COUNT(RawMaterials[[#This Row],[Lab Quantity 1]:[Lab Quantity 4]])</f>
        <v>0</v>
      </c>
      <c r="X22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2" s="392" t="e">
        <f>RawMaterials[[#This Row],[Lab Price 1]]/RawMaterials[[#This Row],[Lab Q Model Units 1]]</f>
        <v>#N/A</v>
      </c>
      <c r="AC222" s="392" t="e">
        <f>RawMaterials[[#This Row],[Lab Price 2]]/RawMaterials[[#This Row],[Lab Q Model Units 2]]</f>
        <v>#N/A</v>
      </c>
      <c r="AD222" s="392" t="e">
        <f>RawMaterials[[#This Row],[Lab Price 3]]/RawMaterials[[#This Row],[Lab Q Model Units 3]]</f>
        <v>#N/A</v>
      </c>
      <c r="AE222" s="392" t="e">
        <f>RawMaterials[[#This Row],[Lab Price 4]]/RawMaterials[[#This Row],[Lab Q Model Units 4]]</f>
        <v>#N/A</v>
      </c>
      <c r="AF222" s="392" t="str">
        <f ca="1">IF(RawMaterials[[#This Row],[Lab Quote Count]]&gt;1,SLOPE(LOG(INDIRECT("RawMaterials[@[Lab Unit P 1]:[Lab Unit P "&amp;RawMaterials[[#This Row],[Lab Quote Count]]&amp;"]]")),LOG(INDIRECT("RawMaterials[@[Lab Q Model Units 1]:[Lab Q Model Units "&amp;RawMaterials[[#This Row],[Lab Quote Count]]&amp;"]]"))),"")</f>
        <v/>
      </c>
      <c r="AG222" s="392" t="str">
        <f ca="1">IF(RawMaterials[[#This Row],[Lab Quote Count]]&gt;1,INTERCEPT(LOG(INDIRECT("RawMaterials[@[Lab Unit P 1]:[Lab Unit P "&amp;RawMaterials[[#This Row],[Lab Quote Count]]&amp;"]]")),LOG(INDIRECT("RawMaterials[@[Lab Q Model Units 1]:[Lab Q Model Units "&amp;RawMaterials[[#This Row],[Lab Quote Count]]&amp;"]]"))),"")</f>
        <v/>
      </c>
      <c r="AH222" s="393" t="str">
        <f>IF(RawMaterials[[#This Row],[Material Type]]="Metal Precursor","D13",IF(RawMaterials[[#This Row],[Material Type]]="Ligand","D13","D12"))</f>
        <v>D12</v>
      </c>
      <c r="AI222" s="394" t="str">
        <f ca="1">IF(RawMaterials[[#This Row],[Lab Quote Count]]&gt;1,10^RawMaterials[[#This Row],[Lab Log-Log Intercept]]*INDIRECT(RawMaterials[[#This Row],[Basis Cell]])^RawMaterials[[#This Row],[Lab Log-Log Slope]],"&gt;&gt;&gt; Enter 2 or more lab quotes &lt;&lt;&lt;")</f>
        <v>&gt;&gt;&gt; Enter 2 or more lab quotes &lt;&lt;&lt;</v>
      </c>
      <c r="AJ22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1.6755131926050695</v>
      </c>
      <c r="AL222" s="396">
        <f>IF(ISTEXT(RawMaterials[[#This Row],[Unit price in quote year]]),"Check calcs",RawMaterials[[#This Row],[Unit price in quote year]]/VLOOKUP(RawMaterials[[#This Row],[Quote Year]],ChemPPI[],14,FALSE)*VLOOKUP(BasisYear,ChemPPI[],14,FALSE))</f>
        <v>1.9610571060572464</v>
      </c>
      <c r="AM222" s="397" t="str">
        <f t="shared" si="3"/>
        <v>$/kg (2016)</v>
      </c>
    </row>
    <row r="223" spans="1:39">
      <c r="A223" s="259" t="s">
        <v>1317</v>
      </c>
      <c r="B223" s="260"/>
      <c r="C223" s="351"/>
      <c r="D223" s="351"/>
      <c r="E223" s="260">
        <v>100</v>
      </c>
      <c r="F223" s="260"/>
      <c r="G223" s="351"/>
      <c r="H223" s="351"/>
      <c r="I223" s="262"/>
      <c r="J223" s="351"/>
      <c r="K223" s="351"/>
      <c r="L223" s="351"/>
      <c r="M223" s="351"/>
      <c r="N223" s="351"/>
      <c r="O223" s="351"/>
      <c r="P223" s="261">
        <v>0.93500000000000005</v>
      </c>
      <c r="Q223" s="260">
        <v>1</v>
      </c>
      <c r="R223" s="260" t="s">
        <v>20</v>
      </c>
      <c r="S223" s="260">
        <v>2008</v>
      </c>
      <c r="T223" s="260" t="s">
        <v>161</v>
      </c>
      <c r="U223" s="386">
        <v>42653</v>
      </c>
      <c r="V223" s="387"/>
      <c r="W223" s="354">
        <f>COUNT(RawMaterials[[#This Row],[Lab Quantity 1]:[Lab Quantity 4]])</f>
        <v>0</v>
      </c>
      <c r="X22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3" s="392" t="e">
        <f>RawMaterials[[#This Row],[Lab Price 1]]/RawMaterials[[#This Row],[Lab Q Model Units 1]]</f>
        <v>#N/A</v>
      </c>
      <c r="AC223" s="392" t="e">
        <f>RawMaterials[[#This Row],[Lab Price 2]]/RawMaterials[[#This Row],[Lab Q Model Units 2]]</f>
        <v>#N/A</v>
      </c>
      <c r="AD223" s="392" t="e">
        <f>RawMaterials[[#This Row],[Lab Price 3]]/RawMaterials[[#This Row],[Lab Q Model Units 3]]</f>
        <v>#N/A</v>
      </c>
      <c r="AE223" s="392" t="e">
        <f>RawMaterials[[#This Row],[Lab Price 4]]/RawMaterials[[#This Row],[Lab Q Model Units 4]]</f>
        <v>#N/A</v>
      </c>
      <c r="AF223" s="392" t="str">
        <f ca="1">IF(RawMaterials[[#This Row],[Lab Quote Count]]&gt;1,SLOPE(LOG(INDIRECT("RawMaterials[@[Lab Unit P 1]:[Lab Unit P "&amp;RawMaterials[[#This Row],[Lab Quote Count]]&amp;"]]")),LOG(INDIRECT("RawMaterials[@[Lab Q Model Units 1]:[Lab Q Model Units "&amp;RawMaterials[[#This Row],[Lab Quote Count]]&amp;"]]"))),"")</f>
        <v/>
      </c>
      <c r="AG223" s="392" t="str">
        <f ca="1">IF(RawMaterials[[#This Row],[Lab Quote Count]]&gt;1,INTERCEPT(LOG(INDIRECT("RawMaterials[@[Lab Unit P 1]:[Lab Unit P "&amp;RawMaterials[[#This Row],[Lab Quote Count]]&amp;"]]")),LOG(INDIRECT("RawMaterials[@[Lab Q Model Units 1]:[Lab Q Model Units "&amp;RawMaterials[[#This Row],[Lab Quote Count]]&amp;"]]"))),"")</f>
        <v/>
      </c>
      <c r="AH223" s="393" t="str">
        <f>IF(RawMaterials[[#This Row],[Material Type]]="Metal Precursor","D13",IF(RawMaterials[[#This Row],[Material Type]]="Ligand","D13","D12"))</f>
        <v>D12</v>
      </c>
      <c r="AI223" s="394" t="str">
        <f ca="1">IF(RawMaterials[[#This Row],[Lab Quote Count]]&gt;1,10^RawMaterials[[#This Row],[Lab Log-Log Intercept]]*INDIRECT(RawMaterials[[#This Row],[Basis Cell]])^RawMaterials[[#This Row],[Lab Log-Log Slope]],"&gt;&gt;&gt; Enter 2 or more lab quotes &lt;&lt;&lt;")</f>
        <v>&gt;&gt;&gt; Enter 2 or more lab quotes &lt;&lt;&lt;</v>
      </c>
      <c r="AJ22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2.0613221514286053</v>
      </c>
      <c r="AL223" s="396">
        <f>IF(ISTEXT(RawMaterials[[#This Row],[Unit price in quote year]]),"Check calcs",RawMaterials[[#This Row],[Unit price in quote year]]/VLOOKUP(RawMaterials[[#This Row],[Quote Year]],ChemPPI[],14,FALSE)*VLOOKUP(BasisYear,ChemPPI[],14,FALSE))</f>
        <v>2.4126163081099019</v>
      </c>
      <c r="AM223" s="397" t="str">
        <f t="shared" si="3"/>
        <v>$/kg (2016)</v>
      </c>
    </row>
    <row r="224" spans="1:39">
      <c r="A224" s="352" t="s">
        <v>188</v>
      </c>
      <c r="B224" s="354"/>
      <c r="C224" s="353"/>
      <c r="D224" s="353"/>
      <c r="E224" s="354">
        <v>100</v>
      </c>
      <c r="F224" s="354"/>
      <c r="G224" s="353"/>
      <c r="H224" s="353"/>
      <c r="I224" s="355"/>
      <c r="J224" s="353"/>
      <c r="K224" s="353"/>
      <c r="L224" s="353"/>
      <c r="M224" s="353"/>
      <c r="N224" s="353"/>
      <c r="O224" s="353"/>
      <c r="P224" s="356">
        <v>1200.8</v>
      </c>
      <c r="Q224" s="260">
        <v>1</v>
      </c>
      <c r="R224" s="354" t="s">
        <v>62</v>
      </c>
      <c r="S224" s="354">
        <v>2018</v>
      </c>
      <c r="T224" s="354" t="s">
        <v>1094</v>
      </c>
      <c r="U224" s="400">
        <v>43339</v>
      </c>
      <c r="V224" s="387" t="s">
        <v>1705</v>
      </c>
      <c r="W224" s="354">
        <f>COUNT(RawMaterials[[#This Row],[Lab Quantity 1]:[Lab Quantity 4]])</f>
        <v>0</v>
      </c>
      <c r="X22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4" s="392" t="e">
        <f>RawMaterials[[#This Row],[Lab Price 1]]/RawMaterials[[#This Row],[Lab Q Model Units 1]]</f>
        <v>#N/A</v>
      </c>
      <c r="AC224" s="392" t="e">
        <f>RawMaterials[[#This Row],[Lab Price 2]]/RawMaterials[[#This Row],[Lab Q Model Units 2]]</f>
        <v>#N/A</v>
      </c>
      <c r="AD224" s="392" t="e">
        <f>RawMaterials[[#This Row],[Lab Price 3]]/RawMaterials[[#This Row],[Lab Q Model Units 3]]</f>
        <v>#N/A</v>
      </c>
      <c r="AE224" s="392" t="e">
        <f>RawMaterials[[#This Row],[Lab Price 4]]/RawMaterials[[#This Row],[Lab Q Model Units 4]]</f>
        <v>#N/A</v>
      </c>
      <c r="AF224" s="392" t="str">
        <f ca="1">IF(RawMaterials[[#This Row],[Lab Quote Count]]&gt;1,SLOPE(LOG(INDIRECT("RawMaterials[@[Lab Unit P 1]:[Lab Unit P "&amp;RawMaterials[[#This Row],[Lab Quote Count]]&amp;"]]")),LOG(INDIRECT("RawMaterials[@[Lab Q Model Units 1]:[Lab Q Model Units "&amp;RawMaterials[[#This Row],[Lab Quote Count]]&amp;"]]"))),"")</f>
        <v/>
      </c>
      <c r="AG224" s="392" t="str">
        <f ca="1">IF(RawMaterials[[#This Row],[Lab Quote Count]]&gt;1,INTERCEPT(LOG(INDIRECT("RawMaterials[@[Lab Unit P 1]:[Lab Unit P "&amp;RawMaterials[[#This Row],[Lab Quote Count]]&amp;"]]")),LOG(INDIRECT("RawMaterials[@[Lab Q Model Units 1]:[Lab Q Model Units "&amp;RawMaterials[[#This Row],[Lab Quote Count]]&amp;"]]"))),"")</f>
        <v/>
      </c>
      <c r="AH224" s="393" t="str">
        <f>IF(RawMaterials[[#This Row],[Material Type]]="Metal Precursor","D13",IF(RawMaterials[[#This Row],[Material Type]]="Ligand","D13","D12"))</f>
        <v>D12</v>
      </c>
      <c r="AI224" s="394" t="str">
        <f ca="1">IF(RawMaterials[[#This Row],[Lab Quote Count]]&gt;1,10^RawMaterials[[#This Row],[Lab Log-Log Intercept]]*INDIRECT(RawMaterials[[#This Row],[Basis Cell]])^RawMaterials[[#This Row],[Lab Log-Log Slope]],"&gt;&gt;&gt; Enter 2 or more lab quotes &lt;&lt;&lt;")</f>
        <v>&gt;&gt;&gt; Enter 2 or more lab quotes &lt;&lt;&lt;</v>
      </c>
      <c r="AJ22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22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38606.616479608478</v>
      </c>
      <c r="AL224" s="396">
        <f>IF(ISTEXT(RawMaterials[[#This Row],[Unit price in quote year]]),"Check calcs",RawMaterials[[#This Row],[Unit price in quote year]]/VLOOKUP(RawMaterials[[#This Row],[Quote Year]],ChemPPI[],14,FALSE)*VLOOKUP(BasisYear,ChemPPI[],14,FALSE))</f>
        <v>35538.621769850113</v>
      </c>
      <c r="AM224" s="397" t="str">
        <f t="shared" si="3"/>
        <v>$/kg (2016)</v>
      </c>
    </row>
    <row r="225" spans="1:39">
      <c r="A225" s="259" t="s">
        <v>1318</v>
      </c>
      <c r="B225" s="260"/>
      <c r="C225" s="351"/>
      <c r="D225" s="351"/>
      <c r="E225" s="260">
        <v>100</v>
      </c>
      <c r="F225" s="260"/>
      <c r="G225" s="351"/>
      <c r="H225" s="351"/>
      <c r="I225" s="262"/>
      <c r="J225" s="351"/>
      <c r="K225" s="351"/>
      <c r="L225" s="351"/>
      <c r="M225" s="351"/>
      <c r="N225" s="351"/>
      <c r="O225" s="351"/>
      <c r="P225" s="261">
        <v>0.26</v>
      </c>
      <c r="Q225" s="260">
        <v>1</v>
      </c>
      <c r="R225" s="260" t="s">
        <v>20</v>
      </c>
      <c r="S225" s="260">
        <v>2007</v>
      </c>
      <c r="T225" s="260" t="s">
        <v>161</v>
      </c>
      <c r="U225" s="386">
        <v>42653</v>
      </c>
      <c r="V225" s="387"/>
      <c r="W225" s="354">
        <f>COUNT(RawMaterials[[#This Row],[Lab Quantity 1]:[Lab Quantity 4]])</f>
        <v>0</v>
      </c>
      <c r="X22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5" s="392" t="e">
        <f>RawMaterials[[#This Row],[Lab Price 1]]/RawMaterials[[#This Row],[Lab Q Model Units 1]]</f>
        <v>#N/A</v>
      </c>
      <c r="AC225" s="392" t="e">
        <f>RawMaterials[[#This Row],[Lab Price 2]]/RawMaterials[[#This Row],[Lab Q Model Units 2]]</f>
        <v>#N/A</v>
      </c>
      <c r="AD225" s="392" t="e">
        <f>RawMaterials[[#This Row],[Lab Price 3]]/RawMaterials[[#This Row],[Lab Q Model Units 3]]</f>
        <v>#N/A</v>
      </c>
      <c r="AE225" s="392" t="e">
        <f>RawMaterials[[#This Row],[Lab Price 4]]/RawMaterials[[#This Row],[Lab Q Model Units 4]]</f>
        <v>#N/A</v>
      </c>
      <c r="AF225" s="392" t="str">
        <f ca="1">IF(RawMaterials[[#This Row],[Lab Quote Count]]&gt;1,SLOPE(LOG(INDIRECT("RawMaterials[@[Lab Unit P 1]:[Lab Unit P "&amp;RawMaterials[[#This Row],[Lab Quote Count]]&amp;"]]")),LOG(INDIRECT("RawMaterials[@[Lab Q Model Units 1]:[Lab Q Model Units "&amp;RawMaterials[[#This Row],[Lab Quote Count]]&amp;"]]"))),"")</f>
        <v/>
      </c>
      <c r="AG225" s="392" t="str">
        <f ca="1">IF(RawMaterials[[#This Row],[Lab Quote Count]]&gt;1,INTERCEPT(LOG(INDIRECT("RawMaterials[@[Lab Unit P 1]:[Lab Unit P "&amp;RawMaterials[[#This Row],[Lab Quote Count]]&amp;"]]")),LOG(INDIRECT("RawMaterials[@[Lab Q Model Units 1]:[Lab Q Model Units "&amp;RawMaterials[[#This Row],[Lab Quote Count]]&amp;"]]"))),"")</f>
        <v/>
      </c>
      <c r="AH225" s="393" t="str">
        <f>IF(RawMaterials[[#This Row],[Material Type]]="Metal Precursor","D13",IF(RawMaterials[[#This Row],[Material Type]]="Ligand","D13","D12"))</f>
        <v>D12</v>
      </c>
      <c r="AI225" s="394" t="str">
        <f ca="1">IF(RawMaterials[[#This Row],[Lab Quote Count]]&gt;1,10^RawMaterials[[#This Row],[Lab Log-Log Intercept]]*INDIRECT(RawMaterials[[#This Row],[Basis Cell]])^RawMaterials[[#This Row],[Lab Log-Log Slope]],"&gt;&gt;&gt; Enter 2 or more lab quotes &lt;&lt;&lt;")</f>
        <v>&gt;&gt;&gt; Enter 2 or more lab quotes &lt;&lt;&lt;</v>
      </c>
      <c r="AJ22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0.57320188168068165</v>
      </c>
      <c r="AL225" s="396">
        <f>IF(ISTEXT(RawMaterials[[#This Row],[Unit price in quote year]]),"Check calcs",RawMaterials[[#This Row],[Unit price in quote year]]/VLOOKUP(RawMaterials[[#This Row],[Quote Year]],ChemPPI[],14,FALSE)*VLOOKUP(BasisYear,ChemPPI[],14,FALSE))</f>
        <v>0.75293089265313762</v>
      </c>
      <c r="AM225" s="397" t="str">
        <f t="shared" si="3"/>
        <v>$/kg (2016)</v>
      </c>
    </row>
    <row r="226" spans="1:39">
      <c r="A226" s="259" t="s">
        <v>1319</v>
      </c>
      <c r="B226" s="260"/>
      <c r="C226" s="351"/>
      <c r="D226" s="351"/>
      <c r="E226" s="260">
        <v>100</v>
      </c>
      <c r="F226" s="260"/>
      <c r="G226" s="351"/>
      <c r="H226" s="351"/>
      <c r="I226" s="262"/>
      <c r="J226" s="351"/>
      <c r="K226" s="351"/>
      <c r="L226" s="351"/>
      <c r="M226" s="351"/>
      <c r="N226" s="351"/>
      <c r="O226" s="351"/>
      <c r="P226" s="261">
        <v>0.32</v>
      </c>
      <c r="Q226" s="260">
        <v>1</v>
      </c>
      <c r="R226" s="260" t="s">
        <v>20</v>
      </c>
      <c r="S226" s="260">
        <v>2007</v>
      </c>
      <c r="T226" s="260" t="s">
        <v>161</v>
      </c>
      <c r="U226" s="386">
        <v>42653</v>
      </c>
      <c r="V226" s="387"/>
      <c r="W226" s="354">
        <f>COUNT(RawMaterials[[#This Row],[Lab Quantity 1]:[Lab Quantity 4]])</f>
        <v>0</v>
      </c>
      <c r="X22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6" s="392" t="e">
        <f>RawMaterials[[#This Row],[Lab Price 1]]/RawMaterials[[#This Row],[Lab Q Model Units 1]]</f>
        <v>#N/A</v>
      </c>
      <c r="AC226" s="392" t="e">
        <f>RawMaterials[[#This Row],[Lab Price 2]]/RawMaterials[[#This Row],[Lab Q Model Units 2]]</f>
        <v>#N/A</v>
      </c>
      <c r="AD226" s="392" t="e">
        <f>RawMaterials[[#This Row],[Lab Price 3]]/RawMaterials[[#This Row],[Lab Q Model Units 3]]</f>
        <v>#N/A</v>
      </c>
      <c r="AE226" s="392" t="e">
        <f>RawMaterials[[#This Row],[Lab Price 4]]/RawMaterials[[#This Row],[Lab Q Model Units 4]]</f>
        <v>#N/A</v>
      </c>
      <c r="AF226" s="392" t="str">
        <f ca="1">IF(RawMaterials[[#This Row],[Lab Quote Count]]&gt;1,SLOPE(LOG(INDIRECT("RawMaterials[@[Lab Unit P 1]:[Lab Unit P "&amp;RawMaterials[[#This Row],[Lab Quote Count]]&amp;"]]")),LOG(INDIRECT("RawMaterials[@[Lab Q Model Units 1]:[Lab Q Model Units "&amp;RawMaterials[[#This Row],[Lab Quote Count]]&amp;"]]"))),"")</f>
        <v/>
      </c>
      <c r="AG226" s="392" t="str">
        <f ca="1">IF(RawMaterials[[#This Row],[Lab Quote Count]]&gt;1,INTERCEPT(LOG(INDIRECT("RawMaterials[@[Lab Unit P 1]:[Lab Unit P "&amp;RawMaterials[[#This Row],[Lab Quote Count]]&amp;"]]")),LOG(INDIRECT("RawMaterials[@[Lab Q Model Units 1]:[Lab Q Model Units "&amp;RawMaterials[[#This Row],[Lab Quote Count]]&amp;"]]"))),"")</f>
        <v/>
      </c>
      <c r="AH226" s="393" t="str">
        <f>IF(RawMaterials[[#This Row],[Material Type]]="Metal Precursor","D13",IF(RawMaterials[[#This Row],[Material Type]]="Ligand","D13","D12"))</f>
        <v>D12</v>
      </c>
      <c r="AI226" s="394" t="str">
        <f ca="1">IF(RawMaterials[[#This Row],[Lab Quote Count]]&gt;1,10^RawMaterials[[#This Row],[Lab Log-Log Intercept]]*INDIRECT(RawMaterials[[#This Row],[Basis Cell]])^RawMaterials[[#This Row],[Lab Log-Log Slope]],"&gt;&gt;&gt; Enter 2 or more lab quotes &lt;&lt;&lt;")</f>
        <v>&gt;&gt;&gt; Enter 2 or more lab quotes &lt;&lt;&lt;</v>
      </c>
      <c r="AJ22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0.70547923899160825</v>
      </c>
      <c r="AL226" s="396">
        <f>IF(ISTEXT(RawMaterials[[#This Row],[Unit price in quote year]]),"Check calcs",RawMaterials[[#This Row],[Unit price in quote year]]/VLOOKUP(RawMaterials[[#This Row],[Quote Year]],ChemPPI[],14,FALSE)*VLOOKUP(BasisYear,ChemPPI[],14,FALSE))</f>
        <v>0.92668417557309246</v>
      </c>
      <c r="AM226" s="397" t="str">
        <f t="shared" si="3"/>
        <v>$/kg (2016)</v>
      </c>
    </row>
    <row r="227" spans="1:39">
      <c r="A227" s="259" t="s">
        <v>1320</v>
      </c>
      <c r="B227" s="260"/>
      <c r="C227" s="351"/>
      <c r="D227" s="351">
        <v>0.68400000000000005</v>
      </c>
      <c r="E227" s="260">
        <v>100</v>
      </c>
      <c r="F227" s="260"/>
      <c r="G227" s="351"/>
      <c r="H227" s="351"/>
      <c r="I227" s="262"/>
      <c r="J227" s="351"/>
      <c r="K227" s="351"/>
      <c r="L227" s="351"/>
      <c r="M227" s="351"/>
      <c r="N227" s="351"/>
      <c r="O227" s="351"/>
      <c r="P227" s="261">
        <v>1.4249999999999901</v>
      </c>
      <c r="Q227" s="260">
        <v>1</v>
      </c>
      <c r="R227" s="260" t="s">
        <v>85</v>
      </c>
      <c r="S227" s="260">
        <v>2006</v>
      </c>
      <c r="T227" s="260" t="s">
        <v>161</v>
      </c>
      <c r="U227" s="386">
        <v>42653</v>
      </c>
      <c r="V227" s="387"/>
      <c r="W227" s="354">
        <f>COUNT(RawMaterials[[#This Row],[Lab Quantity 1]:[Lab Quantity 4]])</f>
        <v>0</v>
      </c>
      <c r="X22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7" s="392" t="e">
        <f>RawMaterials[[#This Row],[Lab Price 1]]/RawMaterials[[#This Row],[Lab Q Model Units 1]]</f>
        <v>#N/A</v>
      </c>
      <c r="AC227" s="392" t="e">
        <f>RawMaterials[[#This Row],[Lab Price 2]]/RawMaterials[[#This Row],[Lab Q Model Units 2]]</f>
        <v>#N/A</v>
      </c>
      <c r="AD227" s="392" t="e">
        <f>RawMaterials[[#This Row],[Lab Price 3]]/RawMaterials[[#This Row],[Lab Q Model Units 3]]</f>
        <v>#N/A</v>
      </c>
      <c r="AE227" s="392" t="e">
        <f>RawMaterials[[#This Row],[Lab Price 4]]/RawMaterials[[#This Row],[Lab Q Model Units 4]]</f>
        <v>#N/A</v>
      </c>
      <c r="AF227" s="392" t="str">
        <f ca="1">IF(RawMaterials[[#This Row],[Lab Quote Count]]&gt;1,SLOPE(LOG(INDIRECT("RawMaterials[@[Lab Unit P 1]:[Lab Unit P "&amp;RawMaterials[[#This Row],[Lab Quote Count]]&amp;"]]")),LOG(INDIRECT("RawMaterials[@[Lab Q Model Units 1]:[Lab Q Model Units "&amp;RawMaterials[[#This Row],[Lab Quote Count]]&amp;"]]"))),"")</f>
        <v/>
      </c>
      <c r="AG227" s="392" t="str">
        <f ca="1">IF(RawMaterials[[#This Row],[Lab Quote Count]]&gt;1,INTERCEPT(LOG(INDIRECT("RawMaterials[@[Lab Unit P 1]:[Lab Unit P "&amp;RawMaterials[[#This Row],[Lab Quote Count]]&amp;"]]")),LOG(INDIRECT("RawMaterials[@[Lab Q Model Units 1]:[Lab Q Model Units "&amp;RawMaterials[[#This Row],[Lab Quote Count]]&amp;"]]"))),"")</f>
        <v/>
      </c>
      <c r="AH227" s="393" t="str">
        <f>IF(RawMaterials[[#This Row],[Material Type]]="Metal Precursor","D13",IF(RawMaterials[[#This Row],[Material Type]]="Ligand","D13","D12"))</f>
        <v>D12</v>
      </c>
      <c r="AI227" s="394" t="str">
        <f ca="1">IF(RawMaterials[[#This Row],[Lab Quote Count]]&gt;1,10^RawMaterials[[#This Row],[Lab Log-Log Intercept]]*INDIRECT(RawMaterials[[#This Row],[Basis Cell]])^RawMaterials[[#This Row],[Lab Log-Log Slope]],"&gt;&gt;&gt; Enter 2 or more lab quotes &lt;&lt;&lt;")</f>
        <v>&gt;&gt;&gt; Enter 2 or more lab quotes &lt;&lt;&lt;</v>
      </c>
      <c r="AJ22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2.5892216602560003</v>
      </c>
      <c r="AK22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0.55035844241280529</v>
      </c>
      <c r="AL227" s="396">
        <f>IF(ISTEXT(RawMaterials[[#This Row],[Unit price in quote year]]),"Check calcs",RawMaterials[[#This Row],[Unit price in quote year]]/VLOOKUP(RawMaterials[[#This Row],[Quote Year]],ChemPPI[],14,FALSE)*VLOOKUP(BasisYear,ChemPPI[],14,FALSE))</f>
        <v>0.74695497951453405</v>
      </c>
      <c r="AM227" s="397" t="str">
        <f t="shared" si="3"/>
        <v>$/kg (2016)</v>
      </c>
    </row>
    <row r="228" spans="1:39">
      <c r="A228" s="259" t="s">
        <v>1321</v>
      </c>
      <c r="B228" s="260"/>
      <c r="C228" s="351"/>
      <c r="D228" s="351">
        <v>0.68400000000000005</v>
      </c>
      <c r="E228" s="260">
        <v>100</v>
      </c>
      <c r="F228" s="260"/>
      <c r="G228" s="351"/>
      <c r="H228" s="351"/>
      <c r="I228" s="262"/>
      <c r="J228" s="351"/>
      <c r="K228" s="351"/>
      <c r="L228" s="351"/>
      <c r="M228" s="351"/>
      <c r="N228" s="351"/>
      <c r="O228" s="351"/>
      <c r="P228" s="261">
        <v>1.4249999999999901</v>
      </c>
      <c r="Q228" s="260">
        <v>1</v>
      </c>
      <c r="R228" s="260" t="s">
        <v>85</v>
      </c>
      <c r="S228" s="260">
        <v>2006</v>
      </c>
      <c r="T228" s="260" t="s">
        <v>161</v>
      </c>
      <c r="U228" s="386">
        <v>42653</v>
      </c>
      <c r="V228" s="387"/>
      <c r="W228" s="354">
        <f>COUNT(RawMaterials[[#This Row],[Lab Quantity 1]:[Lab Quantity 4]])</f>
        <v>0</v>
      </c>
      <c r="X22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8" s="392" t="e">
        <f>RawMaterials[[#This Row],[Lab Price 1]]/RawMaterials[[#This Row],[Lab Q Model Units 1]]</f>
        <v>#N/A</v>
      </c>
      <c r="AC228" s="392" t="e">
        <f>RawMaterials[[#This Row],[Lab Price 2]]/RawMaterials[[#This Row],[Lab Q Model Units 2]]</f>
        <v>#N/A</v>
      </c>
      <c r="AD228" s="392" t="e">
        <f>RawMaterials[[#This Row],[Lab Price 3]]/RawMaterials[[#This Row],[Lab Q Model Units 3]]</f>
        <v>#N/A</v>
      </c>
      <c r="AE228" s="392" t="e">
        <f>RawMaterials[[#This Row],[Lab Price 4]]/RawMaterials[[#This Row],[Lab Q Model Units 4]]</f>
        <v>#N/A</v>
      </c>
      <c r="AF228" s="392" t="str">
        <f ca="1">IF(RawMaterials[[#This Row],[Lab Quote Count]]&gt;1,SLOPE(LOG(INDIRECT("RawMaterials[@[Lab Unit P 1]:[Lab Unit P "&amp;RawMaterials[[#This Row],[Lab Quote Count]]&amp;"]]")),LOG(INDIRECT("RawMaterials[@[Lab Q Model Units 1]:[Lab Q Model Units "&amp;RawMaterials[[#This Row],[Lab Quote Count]]&amp;"]]"))),"")</f>
        <v/>
      </c>
      <c r="AG228" s="392" t="str">
        <f ca="1">IF(RawMaterials[[#This Row],[Lab Quote Count]]&gt;1,INTERCEPT(LOG(INDIRECT("RawMaterials[@[Lab Unit P 1]:[Lab Unit P "&amp;RawMaterials[[#This Row],[Lab Quote Count]]&amp;"]]")),LOG(INDIRECT("RawMaterials[@[Lab Q Model Units 1]:[Lab Q Model Units "&amp;RawMaterials[[#This Row],[Lab Quote Count]]&amp;"]]"))),"")</f>
        <v/>
      </c>
      <c r="AH228" s="393" t="str">
        <f>IF(RawMaterials[[#This Row],[Material Type]]="Metal Precursor","D13",IF(RawMaterials[[#This Row],[Material Type]]="Ligand","D13","D12"))</f>
        <v>D12</v>
      </c>
      <c r="AI228" s="394" t="str">
        <f ca="1">IF(RawMaterials[[#This Row],[Lab Quote Count]]&gt;1,10^RawMaterials[[#This Row],[Lab Log-Log Intercept]]*INDIRECT(RawMaterials[[#This Row],[Basis Cell]])^RawMaterials[[#This Row],[Lab Log-Log Slope]],"&gt;&gt;&gt; Enter 2 or more lab quotes &lt;&lt;&lt;")</f>
        <v>&gt;&gt;&gt; Enter 2 or more lab quotes &lt;&lt;&lt;</v>
      </c>
      <c r="AJ22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2.5892216602560003</v>
      </c>
      <c r="AK22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0.55035844241280529</v>
      </c>
      <c r="AL228" s="396">
        <f>IF(ISTEXT(RawMaterials[[#This Row],[Unit price in quote year]]),"Check calcs",RawMaterials[[#This Row],[Unit price in quote year]]/VLOOKUP(RawMaterials[[#This Row],[Quote Year]],ChemPPI[],14,FALSE)*VLOOKUP(BasisYear,ChemPPI[],14,FALSE))</f>
        <v>0.74695497951453405</v>
      </c>
      <c r="AM228" s="397" t="str">
        <f t="shared" si="3"/>
        <v>$/kg (2016)</v>
      </c>
    </row>
    <row r="229" spans="1:39">
      <c r="A229" s="259" t="s">
        <v>1322</v>
      </c>
      <c r="B229" s="260"/>
      <c r="C229" s="351"/>
      <c r="D229" s="351">
        <v>0.65500000000000003</v>
      </c>
      <c r="E229" s="260">
        <v>100</v>
      </c>
      <c r="F229" s="260"/>
      <c r="G229" s="351"/>
      <c r="H229" s="351"/>
      <c r="I229" s="262"/>
      <c r="J229" s="351"/>
      <c r="K229" s="351"/>
      <c r="L229" s="351"/>
      <c r="M229" s="351"/>
      <c r="N229" s="351"/>
      <c r="O229" s="351"/>
      <c r="P229" s="261">
        <v>1.17</v>
      </c>
      <c r="Q229" s="260">
        <v>1</v>
      </c>
      <c r="R229" s="260" t="s">
        <v>85</v>
      </c>
      <c r="S229" s="260">
        <v>2006</v>
      </c>
      <c r="T229" s="260" t="s">
        <v>161</v>
      </c>
      <c r="U229" s="386">
        <v>42653</v>
      </c>
      <c r="V229" s="387"/>
      <c r="W229" s="354">
        <f>COUNT(RawMaterials[[#This Row],[Lab Quantity 1]:[Lab Quantity 4]])</f>
        <v>0</v>
      </c>
      <c r="X22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9" s="392" t="e">
        <f>RawMaterials[[#This Row],[Lab Price 1]]/RawMaterials[[#This Row],[Lab Q Model Units 1]]</f>
        <v>#N/A</v>
      </c>
      <c r="AC229" s="392" t="e">
        <f>RawMaterials[[#This Row],[Lab Price 2]]/RawMaterials[[#This Row],[Lab Q Model Units 2]]</f>
        <v>#N/A</v>
      </c>
      <c r="AD229" s="392" t="e">
        <f>RawMaterials[[#This Row],[Lab Price 3]]/RawMaterials[[#This Row],[Lab Q Model Units 3]]</f>
        <v>#N/A</v>
      </c>
      <c r="AE229" s="392" t="e">
        <f>RawMaterials[[#This Row],[Lab Price 4]]/RawMaterials[[#This Row],[Lab Q Model Units 4]]</f>
        <v>#N/A</v>
      </c>
      <c r="AF229" s="392" t="str">
        <f ca="1">IF(RawMaterials[[#This Row],[Lab Quote Count]]&gt;1,SLOPE(LOG(INDIRECT("RawMaterials[@[Lab Unit P 1]:[Lab Unit P "&amp;RawMaterials[[#This Row],[Lab Quote Count]]&amp;"]]")),LOG(INDIRECT("RawMaterials[@[Lab Q Model Units 1]:[Lab Q Model Units "&amp;RawMaterials[[#This Row],[Lab Quote Count]]&amp;"]]"))),"")</f>
        <v/>
      </c>
      <c r="AG229" s="392" t="str">
        <f ca="1">IF(RawMaterials[[#This Row],[Lab Quote Count]]&gt;1,INTERCEPT(LOG(INDIRECT("RawMaterials[@[Lab Unit P 1]:[Lab Unit P "&amp;RawMaterials[[#This Row],[Lab Quote Count]]&amp;"]]")),LOG(INDIRECT("RawMaterials[@[Lab Q Model Units 1]:[Lab Q Model Units "&amp;RawMaterials[[#This Row],[Lab Quote Count]]&amp;"]]"))),"")</f>
        <v/>
      </c>
      <c r="AH229" s="393" t="str">
        <f>IF(RawMaterials[[#This Row],[Material Type]]="Metal Precursor","D13",IF(RawMaterials[[#This Row],[Material Type]]="Ligand","D13","D12"))</f>
        <v>D12</v>
      </c>
      <c r="AI229" s="394" t="str">
        <f ca="1">IF(RawMaterials[[#This Row],[Lab Quote Count]]&gt;1,10^RawMaterials[[#This Row],[Lab Log-Log Intercept]]*INDIRECT(RawMaterials[[#This Row],[Basis Cell]])^RawMaterials[[#This Row],[Lab Log-Log Slope]],"&gt;&gt;&gt; Enter 2 or more lab quotes &lt;&lt;&lt;")</f>
        <v>&gt;&gt;&gt; Enter 2 or more lab quotes &lt;&lt;&lt;</v>
      </c>
      <c r="AJ22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2.4794447185199999</v>
      </c>
      <c r="AK22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0.47187984925043303</v>
      </c>
      <c r="AL229" s="396">
        <f>IF(ISTEXT(RawMaterials[[#This Row],[Unit price in quote year]]),"Check calcs",RawMaterials[[#This Row],[Unit price in quote year]]/VLOOKUP(RawMaterials[[#This Row],[Quote Year]],ChemPPI[],14,FALSE)*VLOOKUP(BasisYear,ChemPPI[],14,FALSE))</f>
        <v>0.64044262060361112</v>
      </c>
      <c r="AM229" s="397" t="str">
        <f t="shared" si="3"/>
        <v>$/kg (2016)</v>
      </c>
    </row>
    <row r="230" spans="1:39">
      <c r="A230" s="259" t="s">
        <v>1323</v>
      </c>
      <c r="B230" s="260"/>
      <c r="C230" s="351"/>
      <c r="D230" s="351">
        <v>0.65500000000000003</v>
      </c>
      <c r="E230" s="260">
        <v>100</v>
      </c>
      <c r="F230" s="260"/>
      <c r="G230" s="351"/>
      <c r="H230" s="351"/>
      <c r="I230" s="262"/>
      <c r="J230" s="351"/>
      <c r="K230" s="351"/>
      <c r="L230" s="351"/>
      <c r="M230" s="351"/>
      <c r="N230" s="351"/>
      <c r="O230" s="351"/>
      <c r="P230" s="261">
        <v>1.17</v>
      </c>
      <c r="Q230" s="260">
        <v>1</v>
      </c>
      <c r="R230" s="260" t="s">
        <v>85</v>
      </c>
      <c r="S230" s="260">
        <v>2006</v>
      </c>
      <c r="T230" s="260" t="s">
        <v>161</v>
      </c>
      <c r="U230" s="386">
        <v>42653</v>
      </c>
      <c r="V230" s="387"/>
      <c r="W230" s="354">
        <f>COUNT(RawMaterials[[#This Row],[Lab Quantity 1]:[Lab Quantity 4]])</f>
        <v>0</v>
      </c>
      <c r="X23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0" s="392" t="e">
        <f>RawMaterials[[#This Row],[Lab Price 1]]/RawMaterials[[#This Row],[Lab Q Model Units 1]]</f>
        <v>#N/A</v>
      </c>
      <c r="AC230" s="392" t="e">
        <f>RawMaterials[[#This Row],[Lab Price 2]]/RawMaterials[[#This Row],[Lab Q Model Units 2]]</f>
        <v>#N/A</v>
      </c>
      <c r="AD230" s="392" t="e">
        <f>RawMaterials[[#This Row],[Lab Price 3]]/RawMaterials[[#This Row],[Lab Q Model Units 3]]</f>
        <v>#N/A</v>
      </c>
      <c r="AE230" s="392" t="e">
        <f>RawMaterials[[#This Row],[Lab Price 4]]/RawMaterials[[#This Row],[Lab Q Model Units 4]]</f>
        <v>#N/A</v>
      </c>
      <c r="AF230" s="392" t="str">
        <f ca="1">IF(RawMaterials[[#This Row],[Lab Quote Count]]&gt;1,SLOPE(LOG(INDIRECT("RawMaterials[@[Lab Unit P 1]:[Lab Unit P "&amp;RawMaterials[[#This Row],[Lab Quote Count]]&amp;"]]")),LOG(INDIRECT("RawMaterials[@[Lab Q Model Units 1]:[Lab Q Model Units "&amp;RawMaterials[[#This Row],[Lab Quote Count]]&amp;"]]"))),"")</f>
        <v/>
      </c>
      <c r="AG230" s="392" t="str">
        <f ca="1">IF(RawMaterials[[#This Row],[Lab Quote Count]]&gt;1,INTERCEPT(LOG(INDIRECT("RawMaterials[@[Lab Unit P 1]:[Lab Unit P "&amp;RawMaterials[[#This Row],[Lab Quote Count]]&amp;"]]")),LOG(INDIRECT("RawMaterials[@[Lab Q Model Units 1]:[Lab Q Model Units "&amp;RawMaterials[[#This Row],[Lab Quote Count]]&amp;"]]"))),"")</f>
        <v/>
      </c>
      <c r="AH230" s="393" t="str">
        <f>IF(RawMaterials[[#This Row],[Material Type]]="Metal Precursor","D13",IF(RawMaterials[[#This Row],[Material Type]]="Ligand","D13","D12"))</f>
        <v>D12</v>
      </c>
      <c r="AI230" s="394" t="str">
        <f ca="1">IF(RawMaterials[[#This Row],[Lab Quote Count]]&gt;1,10^RawMaterials[[#This Row],[Lab Log-Log Intercept]]*INDIRECT(RawMaterials[[#This Row],[Basis Cell]])^RawMaterials[[#This Row],[Lab Log-Log Slope]],"&gt;&gt;&gt; Enter 2 or more lab quotes &lt;&lt;&lt;")</f>
        <v>&gt;&gt;&gt; Enter 2 or more lab quotes &lt;&lt;&lt;</v>
      </c>
      <c r="AJ23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2.4794447185199999</v>
      </c>
      <c r="AK23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0.47187984925043303</v>
      </c>
      <c r="AL230" s="396">
        <f>IF(ISTEXT(RawMaterials[[#This Row],[Unit price in quote year]]),"Check calcs",RawMaterials[[#This Row],[Unit price in quote year]]/VLOOKUP(RawMaterials[[#This Row],[Quote Year]],ChemPPI[],14,FALSE)*VLOOKUP(BasisYear,ChemPPI[],14,FALSE))</f>
        <v>0.64044262060361112</v>
      </c>
      <c r="AM230" s="397" t="str">
        <f t="shared" si="3"/>
        <v>$/kg (2016)</v>
      </c>
    </row>
    <row r="231" spans="1:39">
      <c r="A231" s="259" t="s">
        <v>1324</v>
      </c>
      <c r="B231" s="260"/>
      <c r="C231" s="351"/>
      <c r="D231" s="351"/>
      <c r="E231" s="260">
        <v>100</v>
      </c>
      <c r="F231" s="260"/>
      <c r="G231" s="351"/>
      <c r="H231" s="351"/>
      <c r="I231" s="262"/>
      <c r="J231" s="351"/>
      <c r="K231" s="351"/>
      <c r="L231" s="351"/>
      <c r="M231" s="351"/>
      <c r="N231" s="351"/>
      <c r="O231" s="351"/>
      <c r="P231" s="261">
        <v>85.43</v>
      </c>
      <c r="Q231" s="260">
        <v>1</v>
      </c>
      <c r="R231" s="260" t="s">
        <v>1112</v>
      </c>
      <c r="S231" s="260">
        <v>2007</v>
      </c>
      <c r="T231" s="260" t="s">
        <v>161</v>
      </c>
      <c r="U231" s="386">
        <v>42653</v>
      </c>
      <c r="V231" s="387"/>
      <c r="W231" s="354">
        <f>COUNT(RawMaterials[[#This Row],[Lab Quantity 1]:[Lab Quantity 4]])</f>
        <v>0</v>
      </c>
      <c r="X23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1" s="392" t="e">
        <f>RawMaterials[[#This Row],[Lab Price 1]]/RawMaterials[[#This Row],[Lab Q Model Units 1]]</f>
        <v>#N/A</v>
      </c>
      <c r="AC231" s="392" t="e">
        <f>RawMaterials[[#This Row],[Lab Price 2]]/RawMaterials[[#This Row],[Lab Q Model Units 2]]</f>
        <v>#N/A</v>
      </c>
      <c r="AD231" s="392" t="e">
        <f>RawMaterials[[#This Row],[Lab Price 3]]/RawMaterials[[#This Row],[Lab Q Model Units 3]]</f>
        <v>#N/A</v>
      </c>
      <c r="AE231" s="392" t="e">
        <f>RawMaterials[[#This Row],[Lab Price 4]]/RawMaterials[[#This Row],[Lab Q Model Units 4]]</f>
        <v>#N/A</v>
      </c>
      <c r="AF231" s="392" t="str">
        <f ca="1">IF(RawMaterials[[#This Row],[Lab Quote Count]]&gt;1,SLOPE(LOG(INDIRECT("RawMaterials[@[Lab Unit P 1]:[Lab Unit P "&amp;RawMaterials[[#This Row],[Lab Quote Count]]&amp;"]]")),LOG(INDIRECT("RawMaterials[@[Lab Q Model Units 1]:[Lab Q Model Units "&amp;RawMaterials[[#This Row],[Lab Quote Count]]&amp;"]]"))),"")</f>
        <v/>
      </c>
      <c r="AG231" s="392" t="str">
        <f ca="1">IF(RawMaterials[[#This Row],[Lab Quote Count]]&gt;1,INTERCEPT(LOG(INDIRECT("RawMaterials[@[Lab Unit P 1]:[Lab Unit P "&amp;RawMaterials[[#This Row],[Lab Quote Count]]&amp;"]]")),LOG(INDIRECT("RawMaterials[@[Lab Q Model Units 1]:[Lab Q Model Units "&amp;RawMaterials[[#This Row],[Lab Quote Count]]&amp;"]]"))),"")</f>
        <v/>
      </c>
      <c r="AH231" s="393" t="str">
        <f>IF(RawMaterials[[#This Row],[Material Type]]="Metal Precursor","D13",IF(RawMaterials[[#This Row],[Material Type]]="Ligand","D13","D12"))</f>
        <v>D12</v>
      </c>
      <c r="AI231" s="394" t="str">
        <f ca="1">IF(RawMaterials[[#This Row],[Lab Quote Count]]&gt;1,10^RawMaterials[[#This Row],[Lab Log-Log Intercept]]*INDIRECT(RawMaterials[[#This Row],[Basis Cell]])^RawMaterials[[#This Row],[Lab Log-Log Slope]],"&gt;&gt;&gt; Enter 2 or more lab quotes &lt;&lt;&lt;")</f>
        <v>&gt;&gt;&gt; Enter 2 or more lab quotes &lt;&lt;&lt;</v>
      </c>
      <c r="AJ23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23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8.5430000000000006E-2</v>
      </c>
      <c r="AL231" s="396">
        <f>IF(ISTEXT(RawMaterials[[#This Row],[Unit price in quote year]]),"Check calcs",RawMaterials[[#This Row],[Unit price in quote year]]/VLOOKUP(RawMaterials[[#This Row],[Quote Year]],ChemPPI[],14,FALSE)*VLOOKUP(BasisYear,ChemPPI[],14,FALSE))</f>
        <v>0.11221680914716611</v>
      </c>
      <c r="AM231" s="397" t="str">
        <f t="shared" si="3"/>
        <v>$/kg (2016)</v>
      </c>
    </row>
    <row r="232" spans="1:39">
      <c r="A232" s="259" t="s">
        <v>1325</v>
      </c>
      <c r="B232" s="260"/>
      <c r="C232" s="351"/>
      <c r="D232" s="351"/>
      <c r="E232" s="260">
        <v>100</v>
      </c>
      <c r="F232" s="260"/>
      <c r="G232" s="351"/>
      <c r="H232" s="351"/>
      <c r="I232" s="262"/>
      <c r="J232" s="351"/>
      <c r="K232" s="351"/>
      <c r="L232" s="351"/>
      <c r="M232" s="351"/>
      <c r="N232" s="351"/>
      <c r="O232" s="351"/>
      <c r="P232" s="261">
        <v>93.7</v>
      </c>
      <c r="Q232" s="260">
        <v>1</v>
      </c>
      <c r="R232" s="260" t="s">
        <v>1112</v>
      </c>
      <c r="S232" s="260">
        <v>2007</v>
      </c>
      <c r="T232" s="260" t="s">
        <v>161</v>
      </c>
      <c r="U232" s="386">
        <v>42653</v>
      </c>
      <c r="V232" s="387"/>
      <c r="W232" s="354">
        <f>COUNT(RawMaterials[[#This Row],[Lab Quantity 1]:[Lab Quantity 4]])</f>
        <v>0</v>
      </c>
      <c r="X23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2" s="392" t="e">
        <f>RawMaterials[[#This Row],[Lab Price 1]]/RawMaterials[[#This Row],[Lab Q Model Units 1]]</f>
        <v>#N/A</v>
      </c>
      <c r="AC232" s="392" t="e">
        <f>RawMaterials[[#This Row],[Lab Price 2]]/RawMaterials[[#This Row],[Lab Q Model Units 2]]</f>
        <v>#N/A</v>
      </c>
      <c r="AD232" s="392" t="e">
        <f>RawMaterials[[#This Row],[Lab Price 3]]/RawMaterials[[#This Row],[Lab Q Model Units 3]]</f>
        <v>#N/A</v>
      </c>
      <c r="AE232" s="392" t="e">
        <f>RawMaterials[[#This Row],[Lab Price 4]]/RawMaterials[[#This Row],[Lab Q Model Units 4]]</f>
        <v>#N/A</v>
      </c>
      <c r="AF232" s="392" t="str">
        <f ca="1">IF(RawMaterials[[#This Row],[Lab Quote Count]]&gt;1,SLOPE(LOG(INDIRECT("RawMaterials[@[Lab Unit P 1]:[Lab Unit P "&amp;RawMaterials[[#This Row],[Lab Quote Count]]&amp;"]]")),LOG(INDIRECT("RawMaterials[@[Lab Q Model Units 1]:[Lab Q Model Units "&amp;RawMaterials[[#This Row],[Lab Quote Count]]&amp;"]]"))),"")</f>
        <v/>
      </c>
      <c r="AG232" s="392" t="str">
        <f ca="1">IF(RawMaterials[[#This Row],[Lab Quote Count]]&gt;1,INTERCEPT(LOG(INDIRECT("RawMaterials[@[Lab Unit P 1]:[Lab Unit P "&amp;RawMaterials[[#This Row],[Lab Quote Count]]&amp;"]]")),LOG(INDIRECT("RawMaterials[@[Lab Q Model Units 1]:[Lab Q Model Units "&amp;RawMaterials[[#This Row],[Lab Quote Count]]&amp;"]]"))),"")</f>
        <v/>
      </c>
      <c r="AH232" s="393" t="str">
        <f>IF(RawMaterials[[#This Row],[Material Type]]="Metal Precursor","D13",IF(RawMaterials[[#This Row],[Material Type]]="Ligand","D13","D12"))</f>
        <v>D12</v>
      </c>
      <c r="AI232" s="394" t="str">
        <f ca="1">IF(RawMaterials[[#This Row],[Lab Quote Count]]&gt;1,10^RawMaterials[[#This Row],[Lab Log-Log Intercept]]*INDIRECT(RawMaterials[[#This Row],[Basis Cell]])^RawMaterials[[#This Row],[Lab Log-Log Slope]],"&gt;&gt;&gt; Enter 2 or more lab quotes &lt;&lt;&lt;")</f>
        <v>&gt;&gt;&gt; Enter 2 or more lab quotes &lt;&lt;&lt;</v>
      </c>
      <c r="AJ23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23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9.3700000000000006E-2</v>
      </c>
      <c r="AL232" s="396">
        <f>IF(ISTEXT(RawMaterials[[#This Row],[Unit price in quote year]]),"Check calcs",RawMaterials[[#This Row],[Unit price in quote year]]/VLOOKUP(RawMaterials[[#This Row],[Quote Year]],ChemPPI[],14,FALSE)*VLOOKUP(BasisYear,ChemPPI[],14,FALSE))</f>
        <v>0.12307989016843573</v>
      </c>
      <c r="AM232" s="397" t="str">
        <f t="shared" si="3"/>
        <v>$/kg (2016)</v>
      </c>
    </row>
    <row r="233" spans="1:39">
      <c r="A233" s="259" t="s">
        <v>1326</v>
      </c>
      <c r="B233" s="260"/>
      <c r="C233" s="351"/>
      <c r="D233" s="351"/>
      <c r="E233" s="260">
        <v>100</v>
      </c>
      <c r="F233" s="260"/>
      <c r="G233" s="351"/>
      <c r="H233" s="351"/>
      <c r="I233" s="262"/>
      <c r="J233" s="351"/>
      <c r="K233" s="351"/>
      <c r="L233" s="351"/>
      <c r="M233" s="351"/>
      <c r="N233" s="351"/>
      <c r="O233" s="351"/>
      <c r="P233" s="261">
        <v>0.25750000000000001</v>
      </c>
      <c r="Q233" s="260">
        <v>1</v>
      </c>
      <c r="R233" s="260" t="s">
        <v>20</v>
      </c>
      <c r="S233" s="260">
        <v>2006</v>
      </c>
      <c r="T233" s="260" t="s">
        <v>161</v>
      </c>
      <c r="U233" s="386">
        <v>42653</v>
      </c>
      <c r="V233" s="387"/>
      <c r="W233" s="354">
        <f>COUNT(RawMaterials[[#This Row],[Lab Quantity 1]:[Lab Quantity 4]])</f>
        <v>0</v>
      </c>
      <c r="X23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3" s="392" t="e">
        <f>RawMaterials[[#This Row],[Lab Price 1]]/RawMaterials[[#This Row],[Lab Q Model Units 1]]</f>
        <v>#N/A</v>
      </c>
      <c r="AC233" s="392" t="e">
        <f>RawMaterials[[#This Row],[Lab Price 2]]/RawMaterials[[#This Row],[Lab Q Model Units 2]]</f>
        <v>#N/A</v>
      </c>
      <c r="AD233" s="392" t="e">
        <f>RawMaterials[[#This Row],[Lab Price 3]]/RawMaterials[[#This Row],[Lab Q Model Units 3]]</f>
        <v>#N/A</v>
      </c>
      <c r="AE233" s="392" t="e">
        <f>RawMaterials[[#This Row],[Lab Price 4]]/RawMaterials[[#This Row],[Lab Q Model Units 4]]</f>
        <v>#N/A</v>
      </c>
      <c r="AF233" s="392" t="str">
        <f ca="1">IF(RawMaterials[[#This Row],[Lab Quote Count]]&gt;1,SLOPE(LOG(INDIRECT("RawMaterials[@[Lab Unit P 1]:[Lab Unit P "&amp;RawMaterials[[#This Row],[Lab Quote Count]]&amp;"]]")),LOG(INDIRECT("RawMaterials[@[Lab Q Model Units 1]:[Lab Q Model Units "&amp;RawMaterials[[#This Row],[Lab Quote Count]]&amp;"]]"))),"")</f>
        <v/>
      </c>
      <c r="AG233" s="392" t="str">
        <f ca="1">IF(RawMaterials[[#This Row],[Lab Quote Count]]&gt;1,INTERCEPT(LOG(INDIRECT("RawMaterials[@[Lab Unit P 1]:[Lab Unit P "&amp;RawMaterials[[#This Row],[Lab Quote Count]]&amp;"]]")),LOG(INDIRECT("RawMaterials[@[Lab Q Model Units 1]:[Lab Q Model Units "&amp;RawMaterials[[#This Row],[Lab Quote Count]]&amp;"]]"))),"")</f>
        <v/>
      </c>
      <c r="AH233" s="393" t="str">
        <f>IF(RawMaterials[[#This Row],[Material Type]]="Metal Precursor","D13",IF(RawMaterials[[#This Row],[Material Type]]="Ligand","D13","D12"))</f>
        <v>D12</v>
      </c>
      <c r="AI233" s="394" t="str">
        <f ca="1">IF(RawMaterials[[#This Row],[Lab Quote Count]]&gt;1,10^RawMaterials[[#This Row],[Lab Log-Log Intercept]]*INDIRECT(RawMaterials[[#This Row],[Basis Cell]])^RawMaterials[[#This Row],[Lab Log-Log Slope]],"&gt;&gt;&gt; Enter 2 or more lab quotes &lt;&lt;&lt;")</f>
        <v>&gt;&gt;&gt; Enter 2 or more lab quotes &lt;&lt;&lt;</v>
      </c>
      <c r="AJ23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0.56769032512605977</v>
      </c>
      <c r="AL233" s="396">
        <f>IF(ISTEXT(RawMaterials[[#This Row],[Unit price in quote year]]),"Check calcs",RawMaterials[[#This Row],[Unit price in quote year]]/VLOOKUP(RawMaterials[[#This Row],[Quote Year]],ChemPPI[],14,FALSE)*VLOOKUP(BasisYear,ChemPPI[],14,FALSE))</f>
        <v>0.77047807846123273</v>
      </c>
      <c r="AM233" s="397" t="str">
        <f t="shared" si="3"/>
        <v>$/kg (2016)</v>
      </c>
    </row>
    <row r="234" spans="1:39">
      <c r="A234" s="259" t="s">
        <v>1327</v>
      </c>
      <c r="B234" s="260"/>
      <c r="C234" s="351"/>
      <c r="D234" s="351"/>
      <c r="E234" s="260">
        <v>100</v>
      </c>
      <c r="F234" s="260"/>
      <c r="G234" s="351"/>
      <c r="H234" s="351"/>
      <c r="I234" s="262"/>
      <c r="J234" s="351"/>
      <c r="K234" s="351"/>
      <c r="L234" s="351"/>
      <c r="M234" s="351"/>
      <c r="N234" s="351"/>
      <c r="O234" s="351"/>
      <c r="P234" s="261">
        <v>0.53</v>
      </c>
      <c r="Q234" s="260">
        <v>1</v>
      </c>
      <c r="R234" s="260" t="s">
        <v>20</v>
      </c>
      <c r="S234" s="260">
        <v>2006</v>
      </c>
      <c r="T234" s="260" t="s">
        <v>161</v>
      </c>
      <c r="U234" s="386">
        <v>42653</v>
      </c>
      <c r="V234" s="387"/>
      <c r="W234" s="354">
        <f>COUNT(RawMaterials[[#This Row],[Lab Quantity 1]:[Lab Quantity 4]])</f>
        <v>0</v>
      </c>
      <c r="X23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4" s="392" t="e">
        <f>RawMaterials[[#This Row],[Lab Price 1]]/RawMaterials[[#This Row],[Lab Q Model Units 1]]</f>
        <v>#N/A</v>
      </c>
      <c r="AC234" s="392" t="e">
        <f>RawMaterials[[#This Row],[Lab Price 2]]/RawMaterials[[#This Row],[Lab Q Model Units 2]]</f>
        <v>#N/A</v>
      </c>
      <c r="AD234" s="392" t="e">
        <f>RawMaterials[[#This Row],[Lab Price 3]]/RawMaterials[[#This Row],[Lab Q Model Units 3]]</f>
        <v>#N/A</v>
      </c>
      <c r="AE234" s="392" t="e">
        <f>RawMaterials[[#This Row],[Lab Price 4]]/RawMaterials[[#This Row],[Lab Q Model Units 4]]</f>
        <v>#N/A</v>
      </c>
      <c r="AF234" s="392" t="str">
        <f ca="1">IF(RawMaterials[[#This Row],[Lab Quote Count]]&gt;1,SLOPE(LOG(INDIRECT("RawMaterials[@[Lab Unit P 1]:[Lab Unit P "&amp;RawMaterials[[#This Row],[Lab Quote Count]]&amp;"]]")),LOG(INDIRECT("RawMaterials[@[Lab Q Model Units 1]:[Lab Q Model Units "&amp;RawMaterials[[#This Row],[Lab Quote Count]]&amp;"]]"))),"")</f>
        <v/>
      </c>
      <c r="AG234" s="392" t="str">
        <f ca="1">IF(RawMaterials[[#This Row],[Lab Quote Count]]&gt;1,INTERCEPT(LOG(INDIRECT("RawMaterials[@[Lab Unit P 1]:[Lab Unit P "&amp;RawMaterials[[#This Row],[Lab Quote Count]]&amp;"]]")),LOG(INDIRECT("RawMaterials[@[Lab Q Model Units 1]:[Lab Q Model Units "&amp;RawMaterials[[#This Row],[Lab Quote Count]]&amp;"]]"))),"")</f>
        <v/>
      </c>
      <c r="AH234" s="393" t="str">
        <f>IF(RawMaterials[[#This Row],[Material Type]]="Metal Precursor","D13",IF(RawMaterials[[#This Row],[Material Type]]="Ligand","D13","D12"))</f>
        <v>D12</v>
      </c>
      <c r="AI234" s="394" t="str">
        <f ca="1">IF(RawMaterials[[#This Row],[Lab Quote Count]]&gt;1,10^RawMaterials[[#This Row],[Lab Log-Log Intercept]]*INDIRECT(RawMaterials[[#This Row],[Basis Cell]])^RawMaterials[[#This Row],[Lab Log-Log Slope]],"&gt;&gt;&gt; Enter 2 or more lab quotes &lt;&lt;&lt;")</f>
        <v>&gt;&gt;&gt; Enter 2 or more lab quotes &lt;&lt;&lt;</v>
      </c>
      <c r="AJ23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1.1684499895798512</v>
      </c>
      <c r="AL234" s="396">
        <f>IF(ISTEXT(RawMaterials[[#This Row],[Unit price in quote year]]),"Check calcs",RawMaterials[[#This Row],[Unit price in quote year]]/VLOOKUP(RawMaterials[[#This Row],[Quote Year]],ChemPPI[],14,FALSE)*VLOOKUP(BasisYear,ChemPPI[],14,FALSE))</f>
        <v>1.5858383750852556</v>
      </c>
      <c r="AM234" s="397" t="str">
        <f t="shared" si="3"/>
        <v>$/kg (2016)</v>
      </c>
    </row>
    <row r="235" spans="1:39">
      <c r="A235" s="259" t="s">
        <v>1328</v>
      </c>
      <c r="B235" s="260"/>
      <c r="C235" s="351"/>
      <c r="D235" s="351"/>
      <c r="E235" s="260">
        <v>100</v>
      </c>
      <c r="F235" s="260"/>
      <c r="G235" s="351"/>
      <c r="H235" s="351"/>
      <c r="I235" s="262"/>
      <c r="J235" s="351"/>
      <c r="K235" s="351"/>
      <c r="L235" s="351"/>
      <c r="M235" s="351"/>
      <c r="N235" s="351"/>
      <c r="O235" s="351"/>
      <c r="P235" s="261">
        <v>0.495</v>
      </c>
      <c r="Q235" s="260">
        <v>1</v>
      </c>
      <c r="R235" s="260" t="s">
        <v>20</v>
      </c>
      <c r="S235" s="260">
        <v>2006</v>
      </c>
      <c r="T235" s="260" t="s">
        <v>161</v>
      </c>
      <c r="U235" s="386">
        <v>42653</v>
      </c>
      <c r="V235" s="387"/>
      <c r="W235" s="354">
        <f>COUNT(RawMaterials[[#This Row],[Lab Quantity 1]:[Lab Quantity 4]])</f>
        <v>0</v>
      </c>
      <c r="X23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5" s="392" t="e">
        <f>RawMaterials[[#This Row],[Lab Price 1]]/RawMaterials[[#This Row],[Lab Q Model Units 1]]</f>
        <v>#N/A</v>
      </c>
      <c r="AC235" s="392" t="e">
        <f>RawMaterials[[#This Row],[Lab Price 2]]/RawMaterials[[#This Row],[Lab Q Model Units 2]]</f>
        <v>#N/A</v>
      </c>
      <c r="AD235" s="392" t="e">
        <f>RawMaterials[[#This Row],[Lab Price 3]]/RawMaterials[[#This Row],[Lab Q Model Units 3]]</f>
        <v>#N/A</v>
      </c>
      <c r="AE235" s="392" t="e">
        <f>RawMaterials[[#This Row],[Lab Price 4]]/RawMaterials[[#This Row],[Lab Q Model Units 4]]</f>
        <v>#N/A</v>
      </c>
      <c r="AF235" s="392" t="str">
        <f ca="1">IF(RawMaterials[[#This Row],[Lab Quote Count]]&gt;1,SLOPE(LOG(INDIRECT("RawMaterials[@[Lab Unit P 1]:[Lab Unit P "&amp;RawMaterials[[#This Row],[Lab Quote Count]]&amp;"]]")),LOG(INDIRECT("RawMaterials[@[Lab Q Model Units 1]:[Lab Q Model Units "&amp;RawMaterials[[#This Row],[Lab Quote Count]]&amp;"]]"))),"")</f>
        <v/>
      </c>
      <c r="AG235" s="392" t="str">
        <f ca="1">IF(RawMaterials[[#This Row],[Lab Quote Count]]&gt;1,INTERCEPT(LOG(INDIRECT("RawMaterials[@[Lab Unit P 1]:[Lab Unit P "&amp;RawMaterials[[#This Row],[Lab Quote Count]]&amp;"]]")),LOG(INDIRECT("RawMaterials[@[Lab Q Model Units 1]:[Lab Q Model Units "&amp;RawMaterials[[#This Row],[Lab Quote Count]]&amp;"]]"))),"")</f>
        <v/>
      </c>
      <c r="AH235" s="393" t="str">
        <f>IF(RawMaterials[[#This Row],[Material Type]]="Metal Precursor","D13",IF(RawMaterials[[#This Row],[Material Type]]="Ligand","D13","D12"))</f>
        <v>D12</v>
      </c>
      <c r="AI235" s="394" t="str">
        <f ca="1">IF(RawMaterials[[#This Row],[Lab Quote Count]]&gt;1,10^RawMaterials[[#This Row],[Lab Log-Log Intercept]]*INDIRECT(RawMaterials[[#This Row],[Basis Cell]])^RawMaterials[[#This Row],[Lab Log-Log Slope]],"&gt;&gt;&gt; Enter 2 or more lab quotes &lt;&lt;&lt;")</f>
        <v>&gt;&gt;&gt; Enter 2 or more lab quotes &lt;&lt;&lt;</v>
      </c>
      <c r="AJ23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1.0912881978151439</v>
      </c>
      <c r="AL235" s="396">
        <f>IF(ISTEXT(RawMaterials[[#This Row],[Unit price in quote year]]),"Check calcs",RawMaterials[[#This Row],[Unit price in quote year]]/VLOOKUP(RawMaterials[[#This Row],[Quote Year]],ChemPPI[],14,FALSE)*VLOOKUP(BasisYear,ChemPPI[],14,FALSE))</f>
        <v>1.4811131993720783</v>
      </c>
      <c r="AM235" s="397" t="str">
        <f t="shared" si="3"/>
        <v>$/kg (2016)</v>
      </c>
    </row>
    <row r="236" spans="1:39">
      <c r="A236" s="259" t="s">
        <v>1329</v>
      </c>
      <c r="B236" s="260"/>
      <c r="C236" s="351"/>
      <c r="D236" s="351"/>
      <c r="E236" s="260">
        <v>100</v>
      </c>
      <c r="F236" s="260"/>
      <c r="G236" s="351"/>
      <c r="H236" s="351"/>
      <c r="I236" s="262"/>
      <c r="J236" s="351"/>
      <c r="K236" s="351"/>
      <c r="L236" s="351"/>
      <c r="M236" s="351"/>
      <c r="N236" s="351"/>
      <c r="O236" s="351"/>
      <c r="P236" s="261">
        <v>0.35625000000000001</v>
      </c>
      <c r="Q236" s="260">
        <v>1</v>
      </c>
      <c r="R236" s="260" t="s">
        <v>20</v>
      </c>
      <c r="S236" s="260">
        <v>2006</v>
      </c>
      <c r="T236" s="260" t="s">
        <v>161</v>
      </c>
      <c r="U236" s="386">
        <v>42653</v>
      </c>
      <c r="V236" s="387"/>
      <c r="W236" s="354">
        <f>COUNT(RawMaterials[[#This Row],[Lab Quantity 1]:[Lab Quantity 4]])</f>
        <v>0</v>
      </c>
      <c r="X23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6" s="392" t="e">
        <f>RawMaterials[[#This Row],[Lab Price 1]]/RawMaterials[[#This Row],[Lab Q Model Units 1]]</f>
        <v>#N/A</v>
      </c>
      <c r="AC236" s="392" t="e">
        <f>RawMaterials[[#This Row],[Lab Price 2]]/RawMaterials[[#This Row],[Lab Q Model Units 2]]</f>
        <v>#N/A</v>
      </c>
      <c r="AD236" s="392" t="e">
        <f>RawMaterials[[#This Row],[Lab Price 3]]/RawMaterials[[#This Row],[Lab Q Model Units 3]]</f>
        <v>#N/A</v>
      </c>
      <c r="AE236" s="392" t="e">
        <f>RawMaterials[[#This Row],[Lab Price 4]]/RawMaterials[[#This Row],[Lab Q Model Units 4]]</f>
        <v>#N/A</v>
      </c>
      <c r="AF236" s="392" t="str">
        <f ca="1">IF(RawMaterials[[#This Row],[Lab Quote Count]]&gt;1,SLOPE(LOG(INDIRECT("RawMaterials[@[Lab Unit P 1]:[Lab Unit P "&amp;RawMaterials[[#This Row],[Lab Quote Count]]&amp;"]]")),LOG(INDIRECT("RawMaterials[@[Lab Q Model Units 1]:[Lab Q Model Units "&amp;RawMaterials[[#This Row],[Lab Quote Count]]&amp;"]]"))),"")</f>
        <v/>
      </c>
      <c r="AG236" s="392" t="str">
        <f ca="1">IF(RawMaterials[[#This Row],[Lab Quote Count]]&gt;1,INTERCEPT(LOG(INDIRECT("RawMaterials[@[Lab Unit P 1]:[Lab Unit P "&amp;RawMaterials[[#This Row],[Lab Quote Count]]&amp;"]]")),LOG(INDIRECT("RawMaterials[@[Lab Q Model Units 1]:[Lab Q Model Units "&amp;RawMaterials[[#This Row],[Lab Quote Count]]&amp;"]]"))),"")</f>
        <v/>
      </c>
      <c r="AH236" s="393" t="str">
        <f>IF(RawMaterials[[#This Row],[Material Type]]="Metal Precursor","D13",IF(RawMaterials[[#This Row],[Material Type]]="Ligand","D13","D12"))</f>
        <v>D12</v>
      </c>
      <c r="AI236" s="394" t="str">
        <f ca="1">IF(RawMaterials[[#This Row],[Lab Quote Count]]&gt;1,10^RawMaterials[[#This Row],[Lab Log-Log Intercept]]*INDIRECT(RawMaterials[[#This Row],[Basis Cell]])^RawMaterials[[#This Row],[Lab Log-Log Slope]],"&gt;&gt;&gt; Enter 2 or more lab quotes &lt;&lt;&lt;")</f>
        <v>&gt;&gt;&gt; Enter 2 or more lab quotes &lt;&lt;&lt;</v>
      </c>
      <c r="AJ23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0.78539680903362641</v>
      </c>
      <c r="AL236" s="396">
        <f>IF(ISTEXT(RawMaterials[[#This Row],[Unit price in quote year]]),"Check calcs",RawMaterials[[#This Row],[Unit price in quote year]]/VLOOKUP(RawMaterials[[#This Row],[Quote Year]],ChemPPI[],14,FALSE)*VLOOKUP(BasisYear,ChemPPI[],14,FALSE))</f>
        <v>1.0659526813662685</v>
      </c>
      <c r="AM236" s="397" t="str">
        <f t="shared" si="3"/>
        <v>$/kg (2016)</v>
      </c>
    </row>
    <row r="237" spans="1:39">
      <c r="A237" s="259" t="s">
        <v>1330</v>
      </c>
      <c r="B237" s="260"/>
      <c r="C237" s="351"/>
      <c r="D237" s="351"/>
      <c r="E237" s="260">
        <v>100</v>
      </c>
      <c r="F237" s="260"/>
      <c r="G237" s="351"/>
      <c r="H237" s="351"/>
      <c r="I237" s="262"/>
      <c r="J237" s="351"/>
      <c r="K237" s="351"/>
      <c r="L237" s="351"/>
      <c r="M237" s="351"/>
      <c r="N237" s="351"/>
      <c r="O237" s="351"/>
      <c r="P237" s="261">
        <v>0.47749999999999998</v>
      </c>
      <c r="Q237" s="260">
        <v>1</v>
      </c>
      <c r="R237" s="260" t="s">
        <v>20</v>
      </c>
      <c r="S237" s="260">
        <v>2006</v>
      </c>
      <c r="T237" s="260" t="s">
        <v>161</v>
      </c>
      <c r="U237" s="386">
        <v>42653</v>
      </c>
      <c r="V237" s="387"/>
      <c r="W237" s="354">
        <f>COUNT(RawMaterials[[#This Row],[Lab Quantity 1]:[Lab Quantity 4]])</f>
        <v>0</v>
      </c>
      <c r="X23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7" s="392" t="e">
        <f>RawMaterials[[#This Row],[Lab Price 1]]/RawMaterials[[#This Row],[Lab Q Model Units 1]]</f>
        <v>#N/A</v>
      </c>
      <c r="AC237" s="392" t="e">
        <f>RawMaterials[[#This Row],[Lab Price 2]]/RawMaterials[[#This Row],[Lab Q Model Units 2]]</f>
        <v>#N/A</v>
      </c>
      <c r="AD237" s="392" t="e">
        <f>RawMaterials[[#This Row],[Lab Price 3]]/RawMaterials[[#This Row],[Lab Q Model Units 3]]</f>
        <v>#N/A</v>
      </c>
      <c r="AE237" s="392" t="e">
        <f>RawMaterials[[#This Row],[Lab Price 4]]/RawMaterials[[#This Row],[Lab Q Model Units 4]]</f>
        <v>#N/A</v>
      </c>
      <c r="AF237" s="392" t="str">
        <f ca="1">IF(RawMaterials[[#This Row],[Lab Quote Count]]&gt;1,SLOPE(LOG(INDIRECT("RawMaterials[@[Lab Unit P 1]:[Lab Unit P "&amp;RawMaterials[[#This Row],[Lab Quote Count]]&amp;"]]")),LOG(INDIRECT("RawMaterials[@[Lab Q Model Units 1]:[Lab Q Model Units "&amp;RawMaterials[[#This Row],[Lab Quote Count]]&amp;"]]"))),"")</f>
        <v/>
      </c>
      <c r="AG237" s="392" t="str">
        <f ca="1">IF(RawMaterials[[#This Row],[Lab Quote Count]]&gt;1,INTERCEPT(LOG(INDIRECT("RawMaterials[@[Lab Unit P 1]:[Lab Unit P "&amp;RawMaterials[[#This Row],[Lab Quote Count]]&amp;"]]")),LOG(INDIRECT("RawMaterials[@[Lab Q Model Units 1]:[Lab Q Model Units "&amp;RawMaterials[[#This Row],[Lab Quote Count]]&amp;"]]"))),"")</f>
        <v/>
      </c>
      <c r="AH237" s="393" t="str">
        <f>IF(RawMaterials[[#This Row],[Material Type]]="Metal Precursor","D13",IF(RawMaterials[[#This Row],[Material Type]]="Ligand","D13","D12"))</f>
        <v>D12</v>
      </c>
      <c r="AI237" s="394" t="str">
        <f ca="1">IF(RawMaterials[[#This Row],[Lab Quote Count]]&gt;1,10^RawMaterials[[#This Row],[Lab Log-Log Intercept]]*INDIRECT(RawMaterials[[#This Row],[Basis Cell]])^RawMaterials[[#This Row],[Lab Log-Log Slope]],"&gt;&gt;&gt; Enter 2 or more lab quotes &lt;&lt;&lt;")</f>
        <v>&gt;&gt;&gt; Enter 2 or more lab quotes &lt;&lt;&lt;</v>
      </c>
      <c r="AJ23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1.0527073019327904</v>
      </c>
      <c r="AL237" s="396">
        <f>IF(ISTEXT(RawMaterials[[#This Row],[Unit price in quote year]]),"Check calcs",RawMaterials[[#This Row],[Unit price in quote year]]/VLOOKUP(RawMaterials[[#This Row],[Quote Year]],ChemPPI[],14,FALSE)*VLOOKUP(BasisYear,ChemPPI[],14,FALSE))</f>
        <v>1.4287506115154898</v>
      </c>
      <c r="AM237" s="397" t="str">
        <f t="shared" si="3"/>
        <v>$/kg (2016)</v>
      </c>
    </row>
    <row r="238" spans="1:39">
      <c r="A238" s="259" t="s">
        <v>1331</v>
      </c>
      <c r="B238" s="260"/>
      <c r="C238" s="351"/>
      <c r="D238" s="351"/>
      <c r="E238" s="260">
        <v>100</v>
      </c>
      <c r="F238" s="260"/>
      <c r="G238" s="351"/>
      <c r="H238" s="351"/>
      <c r="I238" s="262"/>
      <c r="J238" s="351"/>
      <c r="K238" s="351"/>
      <c r="L238" s="351"/>
      <c r="M238" s="351"/>
      <c r="N238" s="351"/>
      <c r="O238" s="351"/>
      <c r="P238" s="261">
        <v>23</v>
      </c>
      <c r="Q238" s="260">
        <v>1</v>
      </c>
      <c r="R238" s="260" t="s">
        <v>71</v>
      </c>
      <c r="S238" s="260">
        <v>2006</v>
      </c>
      <c r="T238" s="260" t="s">
        <v>161</v>
      </c>
      <c r="U238" s="386">
        <v>42653</v>
      </c>
      <c r="V238" s="387"/>
      <c r="W238" s="354">
        <f>COUNT(RawMaterials[[#This Row],[Lab Quantity 1]:[Lab Quantity 4]])</f>
        <v>0</v>
      </c>
      <c r="X23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8" s="392" t="e">
        <f>RawMaterials[[#This Row],[Lab Price 1]]/RawMaterials[[#This Row],[Lab Q Model Units 1]]</f>
        <v>#N/A</v>
      </c>
      <c r="AC238" s="392" t="e">
        <f>RawMaterials[[#This Row],[Lab Price 2]]/RawMaterials[[#This Row],[Lab Q Model Units 2]]</f>
        <v>#N/A</v>
      </c>
      <c r="AD238" s="392" t="e">
        <f>RawMaterials[[#This Row],[Lab Price 3]]/RawMaterials[[#This Row],[Lab Q Model Units 3]]</f>
        <v>#N/A</v>
      </c>
      <c r="AE238" s="392" t="e">
        <f>RawMaterials[[#This Row],[Lab Price 4]]/RawMaterials[[#This Row],[Lab Q Model Units 4]]</f>
        <v>#N/A</v>
      </c>
      <c r="AF238" s="392" t="str">
        <f ca="1">IF(RawMaterials[[#This Row],[Lab Quote Count]]&gt;1,SLOPE(LOG(INDIRECT("RawMaterials[@[Lab Unit P 1]:[Lab Unit P "&amp;RawMaterials[[#This Row],[Lab Quote Count]]&amp;"]]")),LOG(INDIRECT("RawMaterials[@[Lab Q Model Units 1]:[Lab Q Model Units "&amp;RawMaterials[[#This Row],[Lab Quote Count]]&amp;"]]"))),"")</f>
        <v/>
      </c>
      <c r="AG238" s="392" t="str">
        <f ca="1">IF(RawMaterials[[#This Row],[Lab Quote Count]]&gt;1,INTERCEPT(LOG(INDIRECT("RawMaterials[@[Lab Unit P 1]:[Lab Unit P "&amp;RawMaterials[[#This Row],[Lab Quote Count]]&amp;"]]")),LOG(INDIRECT("RawMaterials[@[Lab Q Model Units 1]:[Lab Q Model Units "&amp;RawMaterials[[#This Row],[Lab Quote Count]]&amp;"]]"))),"")</f>
        <v/>
      </c>
      <c r="AH238" s="393" t="str">
        <f>IF(RawMaterials[[#This Row],[Material Type]]="Metal Precursor","D13",IF(RawMaterials[[#This Row],[Material Type]]="Ligand","D13","D12"))</f>
        <v>D12</v>
      </c>
      <c r="AI238" s="394" t="str">
        <f ca="1">IF(RawMaterials[[#This Row],[Lab Quote Count]]&gt;1,10^RawMaterials[[#This Row],[Lab Log-Log Intercept]]*INDIRECT(RawMaterials[[#This Row],[Basis Cell]])^RawMaterials[[#This Row],[Lab Log-Log Slope]],"&gt;&gt;&gt; Enter 2 or more lab quotes &lt;&lt;&lt;")</f>
        <v>&gt;&gt;&gt; Enter 2 or more lab quotes &lt;&lt;&lt;</v>
      </c>
      <c r="AJ23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23</v>
      </c>
      <c r="AL238" s="396">
        <f>IF(ISTEXT(RawMaterials[[#This Row],[Unit price in quote year]]),"Check calcs",RawMaterials[[#This Row],[Unit price in quote year]]/VLOOKUP(RawMaterials[[#This Row],[Quote Year]],ChemPPI[],14,FALSE)*VLOOKUP(BasisYear,ChemPPI[],14,FALSE))</f>
        <v>31.215955284552852</v>
      </c>
      <c r="AM238" s="397" t="str">
        <f t="shared" si="3"/>
        <v>$/kg (2016)</v>
      </c>
    </row>
    <row r="239" spans="1:39">
      <c r="A239" s="259" t="s">
        <v>1332</v>
      </c>
      <c r="B239" s="260"/>
      <c r="C239" s="351"/>
      <c r="D239" s="351"/>
      <c r="E239" s="260">
        <v>100</v>
      </c>
      <c r="F239" s="260"/>
      <c r="G239" s="351"/>
      <c r="H239" s="351"/>
      <c r="I239" s="262"/>
      <c r="J239" s="351"/>
      <c r="K239" s="351"/>
      <c r="L239" s="351"/>
      <c r="M239" s="351"/>
      <c r="N239" s="351"/>
      <c r="O239" s="351"/>
      <c r="P239" s="261">
        <v>24</v>
      </c>
      <c r="Q239" s="260">
        <v>1</v>
      </c>
      <c r="R239" s="260" t="s">
        <v>71</v>
      </c>
      <c r="S239" s="260">
        <v>2006</v>
      </c>
      <c r="T239" s="260" t="s">
        <v>161</v>
      </c>
      <c r="U239" s="386">
        <v>42653</v>
      </c>
      <c r="V239" s="387"/>
      <c r="W239" s="354">
        <f>COUNT(RawMaterials[[#This Row],[Lab Quantity 1]:[Lab Quantity 4]])</f>
        <v>0</v>
      </c>
      <c r="X23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9" s="392" t="e">
        <f>RawMaterials[[#This Row],[Lab Price 1]]/RawMaterials[[#This Row],[Lab Q Model Units 1]]</f>
        <v>#N/A</v>
      </c>
      <c r="AC239" s="392" t="e">
        <f>RawMaterials[[#This Row],[Lab Price 2]]/RawMaterials[[#This Row],[Lab Q Model Units 2]]</f>
        <v>#N/A</v>
      </c>
      <c r="AD239" s="392" t="e">
        <f>RawMaterials[[#This Row],[Lab Price 3]]/RawMaterials[[#This Row],[Lab Q Model Units 3]]</f>
        <v>#N/A</v>
      </c>
      <c r="AE239" s="392" t="e">
        <f>RawMaterials[[#This Row],[Lab Price 4]]/RawMaterials[[#This Row],[Lab Q Model Units 4]]</f>
        <v>#N/A</v>
      </c>
      <c r="AF239" s="392" t="str">
        <f ca="1">IF(RawMaterials[[#This Row],[Lab Quote Count]]&gt;1,SLOPE(LOG(INDIRECT("RawMaterials[@[Lab Unit P 1]:[Lab Unit P "&amp;RawMaterials[[#This Row],[Lab Quote Count]]&amp;"]]")),LOG(INDIRECT("RawMaterials[@[Lab Q Model Units 1]:[Lab Q Model Units "&amp;RawMaterials[[#This Row],[Lab Quote Count]]&amp;"]]"))),"")</f>
        <v/>
      </c>
      <c r="AG239" s="392" t="str">
        <f ca="1">IF(RawMaterials[[#This Row],[Lab Quote Count]]&gt;1,INTERCEPT(LOG(INDIRECT("RawMaterials[@[Lab Unit P 1]:[Lab Unit P "&amp;RawMaterials[[#This Row],[Lab Quote Count]]&amp;"]]")),LOG(INDIRECT("RawMaterials[@[Lab Q Model Units 1]:[Lab Q Model Units "&amp;RawMaterials[[#This Row],[Lab Quote Count]]&amp;"]]"))),"")</f>
        <v/>
      </c>
      <c r="AH239" s="393" t="str">
        <f>IF(RawMaterials[[#This Row],[Material Type]]="Metal Precursor","D13",IF(RawMaterials[[#This Row],[Material Type]]="Ligand","D13","D12"))</f>
        <v>D12</v>
      </c>
      <c r="AI239" s="394" t="str">
        <f ca="1">IF(RawMaterials[[#This Row],[Lab Quote Count]]&gt;1,10^RawMaterials[[#This Row],[Lab Log-Log Intercept]]*INDIRECT(RawMaterials[[#This Row],[Basis Cell]])^RawMaterials[[#This Row],[Lab Log-Log Slope]],"&gt;&gt;&gt; Enter 2 or more lab quotes &lt;&lt;&lt;")</f>
        <v>&gt;&gt;&gt; Enter 2 or more lab quotes &lt;&lt;&lt;</v>
      </c>
      <c r="AJ23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24</v>
      </c>
      <c r="AL239" s="396">
        <f>IF(ISTEXT(RawMaterials[[#This Row],[Unit price in quote year]]),"Check calcs",RawMaterials[[#This Row],[Unit price in quote year]]/VLOOKUP(RawMaterials[[#This Row],[Quote Year]],ChemPPI[],14,FALSE)*VLOOKUP(BasisYear,ChemPPI[],14,FALSE))</f>
        <v>32.573170731707322</v>
      </c>
      <c r="AM239" s="397" t="str">
        <f t="shared" si="3"/>
        <v>$/kg (2016)</v>
      </c>
    </row>
    <row r="240" spans="1:39">
      <c r="A240" s="352" t="s">
        <v>185</v>
      </c>
      <c r="B240" s="354"/>
      <c r="C240" s="353"/>
      <c r="D240" s="353"/>
      <c r="E240" s="354">
        <v>100</v>
      </c>
      <c r="F240" s="354"/>
      <c r="G240" s="353"/>
      <c r="H240" s="353"/>
      <c r="I240" s="355"/>
      <c r="J240" s="353"/>
      <c r="K240" s="353"/>
      <c r="L240" s="353"/>
      <c r="M240" s="353"/>
      <c r="N240" s="353"/>
      <c r="O240" s="353"/>
      <c r="P240" s="356">
        <v>1440</v>
      </c>
      <c r="Q240" s="260">
        <v>1</v>
      </c>
      <c r="R240" s="354" t="s">
        <v>62</v>
      </c>
      <c r="S240" s="354">
        <v>2018</v>
      </c>
      <c r="T240" s="354" t="s">
        <v>1094</v>
      </c>
      <c r="U240" s="400">
        <v>43339</v>
      </c>
      <c r="V240" s="387" t="s">
        <v>1705</v>
      </c>
      <c r="W240" s="354">
        <f>COUNT(RawMaterials[[#This Row],[Lab Quantity 1]:[Lab Quantity 4]])</f>
        <v>0</v>
      </c>
      <c r="X24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0" s="392" t="e">
        <f>RawMaterials[[#This Row],[Lab Price 1]]/RawMaterials[[#This Row],[Lab Q Model Units 1]]</f>
        <v>#N/A</v>
      </c>
      <c r="AC240" s="392" t="e">
        <f>RawMaterials[[#This Row],[Lab Price 2]]/RawMaterials[[#This Row],[Lab Q Model Units 2]]</f>
        <v>#N/A</v>
      </c>
      <c r="AD240" s="392" t="e">
        <f>RawMaterials[[#This Row],[Lab Price 3]]/RawMaterials[[#This Row],[Lab Q Model Units 3]]</f>
        <v>#N/A</v>
      </c>
      <c r="AE240" s="392" t="e">
        <f>RawMaterials[[#This Row],[Lab Price 4]]/RawMaterials[[#This Row],[Lab Q Model Units 4]]</f>
        <v>#N/A</v>
      </c>
      <c r="AF240" s="392" t="str">
        <f ca="1">IF(RawMaterials[[#This Row],[Lab Quote Count]]&gt;1,SLOPE(LOG(INDIRECT("RawMaterials[@[Lab Unit P 1]:[Lab Unit P "&amp;RawMaterials[[#This Row],[Lab Quote Count]]&amp;"]]")),LOG(INDIRECT("RawMaterials[@[Lab Q Model Units 1]:[Lab Q Model Units "&amp;RawMaterials[[#This Row],[Lab Quote Count]]&amp;"]]"))),"")</f>
        <v/>
      </c>
      <c r="AG240" s="392" t="str">
        <f ca="1">IF(RawMaterials[[#This Row],[Lab Quote Count]]&gt;1,INTERCEPT(LOG(INDIRECT("RawMaterials[@[Lab Unit P 1]:[Lab Unit P "&amp;RawMaterials[[#This Row],[Lab Quote Count]]&amp;"]]")),LOG(INDIRECT("RawMaterials[@[Lab Q Model Units 1]:[Lab Q Model Units "&amp;RawMaterials[[#This Row],[Lab Quote Count]]&amp;"]]"))),"")</f>
        <v/>
      </c>
      <c r="AH240" s="393" t="str">
        <f>IF(RawMaterials[[#This Row],[Material Type]]="Metal Precursor","D13",IF(RawMaterials[[#This Row],[Material Type]]="Ligand","D13","D12"))</f>
        <v>D12</v>
      </c>
      <c r="AI240" s="394" t="str">
        <f ca="1">IF(RawMaterials[[#This Row],[Lab Quote Count]]&gt;1,10^RawMaterials[[#This Row],[Lab Log-Log Intercept]]*INDIRECT(RawMaterials[[#This Row],[Basis Cell]])^RawMaterials[[#This Row],[Lab Log-Log Slope]],"&gt;&gt;&gt; Enter 2 or more lab quotes &lt;&lt;&lt;")</f>
        <v>&gt;&gt;&gt; Enter 2 or more lab quotes &lt;&lt;&lt;</v>
      </c>
      <c r="AJ24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24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46297.075058824295</v>
      </c>
      <c r="AL240" s="396">
        <f>IF(ISTEXT(RawMaterials[[#This Row],[Unit price in quote year]]),"Check calcs",RawMaterials[[#This Row],[Unit price in quote year]]/VLOOKUP(RawMaterials[[#This Row],[Quote Year]],ChemPPI[],14,FALSE)*VLOOKUP(BasisYear,ChemPPI[],14,FALSE))</f>
        <v>42617.934167708336</v>
      </c>
      <c r="AM240" s="397" t="str">
        <f t="shared" si="3"/>
        <v>$/kg (2016)</v>
      </c>
    </row>
    <row r="241" spans="1:39">
      <c r="A241" s="352" t="s">
        <v>174</v>
      </c>
      <c r="B241" s="354"/>
      <c r="C241" s="353"/>
      <c r="D241" s="353"/>
      <c r="E241" s="354">
        <v>100</v>
      </c>
      <c r="F241" s="354"/>
      <c r="G241" s="353"/>
      <c r="H241" s="353"/>
      <c r="I241" s="355"/>
      <c r="J241" s="353"/>
      <c r="K241" s="353"/>
      <c r="L241" s="353"/>
      <c r="M241" s="353"/>
      <c r="N241" s="353"/>
      <c r="O241" s="353"/>
      <c r="P241" s="356">
        <v>95</v>
      </c>
      <c r="Q241" s="260">
        <v>1</v>
      </c>
      <c r="R241" s="260" t="s">
        <v>401</v>
      </c>
      <c r="S241" s="354">
        <v>2018</v>
      </c>
      <c r="T241" s="260" t="s">
        <v>1707</v>
      </c>
      <c r="U241" s="400">
        <v>43367</v>
      </c>
      <c r="V241" s="387" t="s">
        <v>1705</v>
      </c>
      <c r="W241" s="354">
        <f>COUNT(RawMaterials[[#This Row],[Lab Quantity 1]:[Lab Quantity 4]])</f>
        <v>0</v>
      </c>
      <c r="X24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1" s="392" t="e">
        <f>RawMaterials[[#This Row],[Lab Price 1]]/RawMaterials[[#This Row],[Lab Q Model Units 1]]</f>
        <v>#N/A</v>
      </c>
      <c r="AC241" s="392" t="e">
        <f>RawMaterials[[#This Row],[Lab Price 2]]/RawMaterials[[#This Row],[Lab Q Model Units 2]]</f>
        <v>#N/A</v>
      </c>
      <c r="AD241" s="392" t="e">
        <f>RawMaterials[[#This Row],[Lab Price 3]]/RawMaterials[[#This Row],[Lab Q Model Units 3]]</f>
        <v>#N/A</v>
      </c>
      <c r="AE241" s="392" t="e">
        <f>RawMaterials[[#This Row],[Lab Price 4]]/RawMaterials[[#This Row],[Lab Q Model Units 4]]</f>
        <v>#N/A</v>
      </c>
      <c r="AF241" s="392" t="str">
        <f ca="1">IF(RawMaterials[[#This Row],[Lab Quote Count]]&gt;1,SLOPE(LOG(INDIRECT("RawMaterials[@[Lab Unit P 1]:[Lab Unit P "&amp;RawMaterials[[#This Row],[Lab Quote Count]]&amp;"]]")),LOG(INDIRECT("RawMaterials[@[Lab Q Model Units 1]:[Lab Q Model Units "&amp;RawMaterials[[#This Row],[Lab Quote Count]]&amp;"]]"))),"")</f>
        <v/>
      </c>
      <c r="AG241" s="392" t="str">
        <f ca="1">IF(RawMaterials[[#This Row],[Lab Quote Count]]&gt;1,INTERCEPT(LOG(INDIRECT("RawMaterials[@[Lab Unit P 1]:[Lab Unit P "&amp;RawMaterials[[#This Row],[Lab Quote Count]]&amp;"]]")),LOG(INDIRECT("RawMaterials[@[Lab Q Model Units 1]:[Lab Q Model Units "&amp;RawMaterials[[#This Row],[Lab Quote Count]]&amp;"]]"))),"")</f>
        <v/>
      </c>
      <c r="AH241" s="393" t="str">
        <f>IF(RawMaterials[[#This Row],[Material Type]]="Metal Precursor","D13",IF(RawMaterials[[#This Row],[Material Type]]="Ligand","D13","D12"))</f>
        <v>D12</v>
      </c>
      <c r="AI241" s="394" t="str">
        <f ca="1">IF(RawMaterials[[#This Row],[Lab Quote Count]]&gt;1,10^RawMaterials[[#This Row],[Lab Log-Log Intercept]]*INDIRECT(RawMaterials[[#This Row],[Basis Cell]])^RawMaterials[[#This Row],[Lab Log-Log Slope]],"&gt;&gt;&gt; Enter 2 or more lab quotes &lt;&lt;&lt;")</f>
        <v>&gt;&gt;&gt; Enter 2 or more lab quotes &lt;&lt;&lt;</v>
      </c>
      <c r="AJ24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4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0.10471957453781684</v>
      </c>
      <c r="AL241" s="396">
        <f>IF(ISTEXT(RawMaterials[[#This Row],[Unit price in quote year]]),"Check calcs",RawMaterials[[#This Row],[Unit price in quote year]]/VLOOKUP(RawMaterials[[#This Row],[Quote Year]],ChemPPI[],14,FALSE)*VLOOKUP(BasisYear,ChemPPI[],14,FALSE))</f>
        <v>9.6397708236483123E-2</v>
      </c>
      <c r="AM241" s="397" t="str">
        <f t="shared" si="3"/>
        <v>$/kg (2016)</v>
      </c>
    </row>
    <row r="242" spans="1:39">
      <c r="A242" s="259" t="s">
        <v>1333</v>
      </c>
      <c r="B242" s="260"/>
      <c r="C242" s="351"/>
      <c r="D242" s="351"/>
      <c r="E242" s="260">
        <v>100</v>
      </c>
      <c r="F242" s="260"/>
      <c r="G242" s="351"/>
      <c r="H242" s="351"/>
      <c r="I242" s="262"/>
      <c r="J242" s="351"/>
      <c r="K242" s="351"/>
      <c r="L242" s="351"/>
      <c r="M242" s="351"/>
      <c r="N242" s="351"/>
      <c r="O242" s="351"/>
      <c r="P242" s="261">
        <v>0.94</v>
      </c>
      <c r="Q242" s="260">
        <v>1</v>
      </c>
      <c r="R242" s="260" t="s">
        <v>20</v>
      </c>
      <c r="S242" s="260">
        <v>2006</v>
      </c>
      <c r="T242" s="260" t="s">
        <v>161</v>
      </c>
      <c r="U242" s="386">
        <v>42653</v>
      </c>
      <c r="V242" s="387"/>
      <c r="W242" s="354">
        <f>COUNT(RawMaterials[[#This Row],[Lab Quantity 1]:[Lab Quantity 4]])</f>
        <v>0</v>
      </c>
      <c r="X24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2" s="392" t="e">
        <f>RawMaterials[[#This Row],[Lab Price 1]]/RawMaterials[[#This Row],[Lab Q Model Units 1]]</f>
        <v>#N/A</v>
      </c>
      <c r="AC242" s="392" t="e">
        <f>RawMaterials[[#This Row],[Lab Price 2]]/RawMaterials[[#This Row],[Lab Q Model Units 2]]</f>
        <v>#N/A</v>
      </c>
      <c r="AD242" s="392" t="e">
        <f>RawMaterials[[#This Row],[Lab Price 3]]/RawMaterials[[#This Row],[Lab Q Model Units 3]]</f>
        <v>#N/A</v>
      </c>
      <c r="AE242" s="392" t="e">
        <f>RawMaterials[[#This Row],[Lab Price 4]]/RawMaterials[[#This Row],[Lab Q Model Units 4]]</f>
        <v>#N/A</v>
      </c>
      <c r="AF242" s="392" t="str">
        <f ca="1">IF(RawMaterials[[#This Row],[Lab Quote Count]]&gt;1,SLOPE(LOG(INDIRECT("RawMaterials[@[Lab Unit P 1]:[Lab Unit P "&amp;RawMaterials[[#This Row],[Lab Quote Count]]&amp;"]]")),LOG(INDIRECT("RawMaterials[@[Lab Q Model Units 1]:[Lab Q Model Units "&amp;RawMaterials[[#This Row],[Lab Quote Count]]&amp;"]]"))),"")</f>
        <v/>
      </c>
      <c r="AG242" s="392" t="str">
        <f ca="1">IF(RawMaterials[[#This Row],[Lab Quote Count]]&gt;1,INTERCEPT(LOG(INDIRECT("RawMaterials[@[Lab Unit P 1]:[Lab Unit P "&amp;RawMaterials[[#This Row],[Lab Quote Count]]&amp;"]]")),LOG(INDIRECT("RawMaterials[@[Lab Q Model Units 1]:[Lab Q Model Units "&amp;RawMaterials[[#This Row],[Lab Quote Count]]&amp;"]]"))),"")</f>
        <v/>
      </c>
      <c r="AH242" s="393" t="str">
        <f>IF(RawMaterials[[#This Row],[Material Type]]="Metal Precursor","D13",IF(RawMaterials[[#This Row],[Material Type]]="Ligand","D13","D12"))</f>
        <v>D12</v>
      </c>
      <c r="AI242" s="394" t="str">
        <f ca="1">IF(RawMaterials[[#This Row],[Lab Quote Count]]&gt;1,10^RawMaterials[[#This Row],[Lab Log-Log Intercept]]*INDIRECT(RawMaterials[[#This Row],[Basis Cell]])^RawMaterials[[#This Row],[Lab Log-Log Slope]],"&gt;&gt;&gt; Enter 2 or more lab quotes &lt;&lt;&lt;")</f>
        <v>&gt;&gt;&gt; Enter 2 or more lab quotes &lt;&lt;&lt;</v>
      </c>
      <c r="AJ24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2.0723452645378488</v>
      </c>
      <c r="AL242" s="396">
        <f>IF(ISTEXT(RawMaterials[[#This Row],[Unit price in quote year]]),"Check calcs",RawMaterials[[#This Row],[Unit price in quote year]]/VLOOKUP(RawMaterials[[#This Row],[Quote Year]],ChemPPI[],14,FALSE)*VLOOKUP(BasisYear,ChemPPI[],14,FALSE))</f>
        <v>2.8126190048681887</v>
      </c>
      <c r="AM242" s="397" t="str">
        <f t="shared" si="3"/>
        <v>$/kg (2016)</v>
      </c>
    </row>
    <row r="243" spans="1:39">
      <c r="A243" s="259" t="s">
        <v>1334</v>
      </c>
      <c r="B243" s="260"/>
      <c r="C243" s="351"/>
      <c r="D243" s="351"/>
      <c r="E243" s="260">
        <v>100</v>
      </c>
      <c r="F243" s="260"/>
      <c r="G243" s="351"/>
      <c r="H243" s="351"/>
      <c r="I243" s="262"/>
      <c r="J243" s="351"/>
      <c r="K243" s="351"/>
      <c r="L243" s="351"/>
      <c r="M243" s="351"/>
      <c r="N243" s="351"/>
      <c r="O243" s="351"/>
      <c r="P243" s="261">
        <v>0.63</v>
      </c>
      <c r="Q243" s="260">
        <v>1</v>
      </c>
      <c r="R243" s="260" t="s">
        <v>20</v>
      </c>
      <c r="S243" s="260">
        <v>2006</v>
      </c>
      <c r="T243" s="260" t="s">
        <v>161</v>
      </c>
      <c r="U243" s="386">
        <v>42653</v>
      </c>
      <c r="V243" s="387"/>
      <c r="W243" s="354">
        <f>COUNT(RawMaterials[[#This Row],[Lab Quantity 1]:[Lab Quantity 4]])</f>
        <v>0</v>
      </c>
      <c r="X24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3" s="392" t="e">
        <f>RawMaterials[[#This Row],[Lab Price 1]]/RawMaterials[[#This Row],[Lab Q Model Units 1]]</f>
        <v>#N/A</v>
      </c>
      <c r="AC243" s="392" t="e">
        <f>RawMaterials[[#This Row],[Lab Price 2]]/RawMaterials[[#This Row],[Lab Q Model Units 2]]</f>
        <v>#N/A</v>
      </c>
      <c r="AD243" s="392" t="e">
        <f>RawMaterials[[#This Row],[Lab Price 3]]/RawMaterials[[#This Row],[Lab Q Model Units 3]]</f>
        <v>#N/A</v>
      </c>
      <c r="AE243" s="392" t="e">
        <f>RawMaterials[[#This Row],[Lab Price 4]]/RawMaterials[[#This Row],[Lab Q Model Units 4]]</f>
        <v>#N/A</v>
      </c>
      <c r="AF243" s="392" t="str">
        <f ca="1">IF(RawMaterials[[#This Row],[Lab Quote Count]]&gt;1,SLOPE(LOG(INDIRECT("RawMaterials[@[Lab Unit P 1]:[Lab Unit P "&amp;RawMaterials[[#This Row],[Lab Quote Count]]&amp;"]]")),LOG(INDIRECT("RawMaterials[@[Lab Q Model Units 1]:[Lab Q Model Units "&amp;RawMaterials[[#This Row],[Lab Quote Count]]&amp;"]]"))),"")</f>
        <v/>
      </c>
      <c r="AG243" s="392" t="str">
        <f ca="1">IF(RawMaterials[[#This Row],[Lab Quote Count]]&gt;1,INTERCEPT(LOG(INDIRECT("RawMaterials[@[Lab Unit P 1]:[Lab Unit P "&amp;RawMaterials[[#This Row],[Lab Quote Count]]&amp;"]]")),LOG(INDIRECT("RawMaterials[@[Lab Q Model Units 1]:[Lab Q Model Units "&amp;RawMaterials[[#This Row],[Lab Quote Count]]&amp;"]]"))),"")</f>
        <v/>
      </c>
      <c r="AH243" s="393" t="str">
        <f>IF(RawMaterials[[#This Row],[Material Type]]="Metal Precursor","D13",IF(RawMaterials[[#This Row],[Material Type]]="Ligand","D13","D12"))</f>
        <v>D12</v>
      </c>
      <c r="AI243" s="394" t="str">
        <f ca="1">IF(RawMaterials[[#This Row],[Lab Quote Count]]&gt;1,10^RawMaterials[[#This Row],[Lab Log-Log Intercept]]*INDIRECT(RawMaterials[[#This Row],[Basis Cell]])^RawMaterials[[#This Row],[Lab Log-Log Slope]],"&gt;&gt;&gt; Enter 2 or more lab quotes &lt;&lt;&lt;")</f>
        <v>&gt;&gt;&gt; Enter 2 or more lab quotes &lt;&lt;&lt;</v>
      </c>
      <c r="AJ24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1.3889122517647288</v>
      </c>
      <c r="AL243" s="396">
        <f>IF(ISTEXT(RawMaterials[[#This Row],[Unit price in quote year]]),"Check calcs",RawMaterials[[#This Row],[Unit price in quote year]]/VLOOKUP(RawMaterials[[#This Row],[Quote Year]],ChemPPI[],14,FALSE)*VLOOKUP(BasisYear,ChemPPI[],14,FALSE))</f>
        <v>1.8850531628371907</v>
      </c>
      <c r="AM243" s="397" t="str">
        <f t="shared" si="3"/>
        <v>$/kg (2016)</v>
      </c>
    </row>
    <row r="244" spans="1:39">
      <c r="A244" s="259" t="s">
        <v>1335</v>
      </c>
      <c r="B244" s="260"/>
      <c r="C244" s="351"/>
      <c r="D244" s="351"/>
      <c r="E244" s="260">
        <v>100</v>
      </c>
      <c r="F244" s="260"/>
      <c r="G244" s="351"/>
      <c r="H244" s="351"/>
      <c r="I244" s="262"/>
      <c r="J244" s="351"/>
      <c r="K244" s="351"/>
      <c r="L244" s="351"/>
      <c r="M244" s="351"/>
      <c r="N244" s="351"/>
      <c r="O244" s="351"/>
      <c r="P244" s="261">
        <v>0.96</v>
      </c>
      <c r="Q244" s="260">
        <v>1</v>
      </c>
      <c r="R244" s="260" t="s">
        <v>20</v>
      </c>
      <c r="S244" s="260">
        <v>2006</v>
      </c>
      <c r="T244" s="260" t="s">
        <v>161</v>
      </c>
      <c r="U244" s="386">
        <v>42653</v>
      </c>
      <c r="V244" s="387"/>
      <c r="W244" s="354">
        <f>COUNT(RawMaterials[[#This Row],[Lab Quantity 1]:[Lab Quantity 4]])</f>
        <v>0</v>
      </c>
      <c r="X24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4" s="392" t="e">
        <f>RawMaterials[[#This Row],[Lab Price 1]]/RawMaterials[[#This Row],[Lab Q Model Units 1]]</f>
        <v>#N/A</v>
      </c>
      <c r="AC244" s="392" t="e">
        <f>RawMaterials[[#This Row],[Lab Price 2]]/RawMaterials[[#This Row],[Lab Q Model Units 2]]</f>
        <v>#N/A</v>
      </c>
      <c r="AD244" s="392" t="e">
        <f>RawMaterials[[#This Row],[Lab Price 3]]/RawMaterials[[#This Row],[Lab Q Model Units 3]]</f>
        <v>#N/A</v>
      </c>
      <c r="AE244" s="392" t="e">
        <f>RawMaterials[[#This Row],[Lab Price 4]]/RawMaterials[[#This Row],[Lab Q Model Units 4]]</f>
        <v>#N/A</v>
      </c>
      <c r="AF244" s="392" t="str">
        <f ca="1">IF(RawMaterials[[#This Row],[Lab Quote Count]]&gt;1,SLOPE(LOG(INDIRECT("RawMaterials[@[Lab Unit P 1]:[Lab Unit P "&amp;RawMaterials[[#This Row],[Lab Quote Count]]&amp;"]]")),LOG(INDIRECT("RawMaterials[@[Lab Q Model Units 1]:[Lab Q Model Units "&amp;RawMaterials[[#This Row],[Lab Quote Count]]&amp;"]]"))),"")</f>
        <v/>
      </c>
      <c r="AG244" s="392" t="str">
        <f ca="1">IF(RawMaterials[[#This Row],[Lab Quote Count]]&gt;1,INTERCEPT(LOG(INDIRECT("RawMaterials[@[Lab Unit P 1]:[Lab Unit P "&amp;RawMaterials[[#This Row],[Lab Quote Count]]&amp;"]]")),LOG(INDIRECT("RawMaterials[@[Lab Q Model Units 1]:[Lab Q Model Units "&amp;RawMaterials[[#This Row],[Lab Quote Count]]&amp;"]]"))),"")</f>
        <v/>
      </c>
      <c r="AH244" s="393" t="str">
        <f>IF(RawMaterials[[#This Row],[Material Type]]="Metal Precursor","D13",IF(RawMaterials[[#This Row],[Material Type]]="Ligand","D13","D12"))</f>
        <v>D12</v>
      </c>
      <c r="AI244" s="394" t="str">
        <f ca="1">IF(RawMaterials[[#This Row],[Lab Quote Count]]&gt;1,10^RawMaterials[[#This Row],[Lab Log-Log Intercept]]*INDIRECT(RawMaterials[[#This Row],[Basis Cell]])^RawMaterials[[#This Row],[Lab Log-Log Slope]],"&gt;&gt;&gt; Enter 2 or more lab quotes &lt;&lt;&lt;")</f>
        <v>&gt;&gt;&gt; Enter 2 or more lab quotes &lt;&lt;&lt;</v>
      </c>
      <c r="AJ24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2.1164377169748247</v>
      </c>
      <c r="AL244" s="396">
        <f>IF(ISTEXT(RawMaterials[[#This Row],[Unit price in quote year]]),"Check calcs",RawMaterials[[#This Row],[Unit price in quote year]]/VLOOKUP(RawMaterials[[#This Row],[Quote Year]],ChemPPI[],14,FALSE)*VLOOKUP(BasisYear,ChemPPI[],14,FALSE))</f>
        <v>2.8724619624185759</v>
      </c>
      <c r="AM244" s="397" t="str">
        <f t="shared" si="3"/>
        <v>$/kg (2016)</v>
      </c>
    </row>
    <row r="245" spans="1:39">
      <c r="A245" s="259" t="s">
        <v>1336</v>
      </c>
      <c r="B245" s="260"/>
      <c r="C245" s="351"/>
      <c r="D245" s="351"/>
      <c r="E245" s="260">
        <v>100</v>
      </c>
      <c r="F245" s="260"/>
      <c r="G245" s="351"/>
      <c r="H245" s="351"/>
      <c r="I245" s="262"/>
      <c r="J245" s="351"/>
      <c r="K245" s="351"/>
      <c r="L245" s="351"/>
      <c r="M245" s="351"/>
      <c r="N245" s="351"/>
      <c r="O245" s="351"/>
      <c r="P245" s="261">
        <v>0.55249999999999999</v>
      </c>
      <c r="Q245" s="260">
        <v>1</v>
      </c>
      <c r="R245" s="260" t="s">
        <v>20</v>
      </c>
      <c r="S245" s="260">
        <v>2006</v>
      </c>
      <c r="T245" s="260" t="s">
        <v>161</v>
      </c>
      <c r="U245" s="386">
        <v>42653</v>
      </c>
      <c r="V245" s="387"/>
      <c r="W245" s="354">
        <f>COUNT(RawMaterials[[#This Row],[Lab Quantity 1]:[Lab Quantity 4]])</f>
        <v>0</v>
      </c>
      <c r="X24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5" s="392" t="e">
        <f>RawMaterials[[#This Row],[Lab Price 1]]/RawMaterials[[#This Row],[Lab Q Model Units 1]]</f>
        <v>#N/A</v>
      </c>
      <c r="AC245" s="392" t="e">
        <f>RawMaterials[[#This Row],[Lab Price 2]]/RawMaterials[[#This Row],[Lab Q Model Units 2]]</f>
        <v>#N/A</v>
      </c>
      <c r="AD245" s="392" t="e">
        <f>RawMaterials[[#This Row],[Lab Price 3]]/RawMaterials[[#This Row],[Lab Q Model Units 3]]</f>
        <v>#N/A</v>
      </c>
      <c r="AE245" s="392" t="e">
        <f>RawMaterials[[#This Row],[Lab Price 4]]/RawMaterials[[#This Row],[Lab Q Model Units 4]]</f>
        <v>#N/A</v>
      </c>
      <c r="AF245" s="392" t="str">
        <f ca="1">IF(RawMaterials[[#This Row],[Lab Quote Count]]&gt;1,SLOPE(LOG(INDIRECT("RawMaterials[@[Lab Unit P 1]:[Lab Unit P "&amp;RawMaterials[[#This Row],[Lab Quote Count]]&amp;"]]")),LOG(INDIRECT("RawMaterials[@[Lab Q Model Units 1]:[Lab Q Model Units "&amp;RawMaterials[[#This Row],[Lab Quote Count]]&amp;"]]"))),"")</f>
        <v/>
      </c>
      <c r="AG245" s="392" t="str">
        <f ca="1">IF(RawMaterials[[#This Row],[Lab Quote Count]]&gt;1,INTERCEPT(LOG(INDIRECT("RawMaterials[@[Lab Unit P 1]:[Lab Unit P "&amp;RawMaterials[[#This Row],[Lab Quote Count]]&amp;"]]")),LOG(INDIRECT("RawMaterials[@[Lab Q Model Units 1]:[Lab Q Model Units "&amp;RawMaterials[[#This Row],[Lab Quote Count]]&amp;"]]"))),"")</f>
        <v/>
      </c>
      <c r="AH245" s="393" t="str">
        <f>IF(RawMaterials[[#This Row],[Material Type]]="Metal Precursor","D13",IF(RawMaterials[[#This Row],[Material Type]]="Ligand","D13","D12"))</f>
        <v>D12</v>
      </c>
      <c r="AI245" s="394" t="str">
        <f ca="1">IF(RawMaterials[[#This Row],[Lab Quote Count]]&gt;1,10^RawMaterials[[#This Row],[Lab Log-Log Intercept]]*INDIRECT(RawMaterials[[#This Row],[Basis Cell]])^RawMaterials[[#This Row],[Lab Log-Log Slope]],"&gt;&gt;&gt; Enter 2 or more lab quotes &lt;&lt;&lt;")</f>
        <v>&gt;&gt;&gt; Enter 2 or more lab quotes &lt;&lt;&lt;</v>
      </c>
      <c r="AJ24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1.2180539985714485</v>
      </c>
      <c r="AL245" s="396">
        <f>IF(ISTEXT(RawMaterials[[#This Row],[Unit price in quote year]]),"Check calcs",RawMaterials[[#This Row],[Unit price in quote year]]/VLOOKUP(RawMaterials[[#This Row],[Quote Year]],ChemPPI[],14,FALSE)*VLOOKUP(BasisYear,ChemPPI[],14,FALSE))</f>
        <v>1.6531617023294409</v>
      </c>
      <c r="AM245" s="397" t="str">
        <f t="shared" si="3"/>
        <v>$/kg (2016)</v>
      </c>
    </row>
    <row r="246" spans="1:39">
      <c r="A246" s="259" t="s">
        <v>1337</v>
      </c>
      <c r="B246" s="260"/>
      <c r="C246" s="351"/>
      <c r="D246" s="351"/>
      <c r="E246" s="260">
        <v>100</v>
      </c>
      <c r="F246" s="260"/>
      <c r="G246" s="351"/>
      <c r="H246" s="351"/>
      <c r="I246" s="262"/>
      <c r="J246" s="351"/>
      <c r="K246" s="351"/>
      <c r="L246" s="351"/>
      <c r="M246" s="351"/>
      <c r="N246" s="351"/>
      <c r="O246" s="351"/>
      <c r="P246" s="261">
        <v>1.04</v>
      </c>
      <c r="Q246" s="260">
        <v>1</v>
      </c>
      <c r="R246" s="260" t="s">
        <v>20</v>
      </c>
      <c r="S246" s="260">
        <v>2006</v>
      </c>
      <c r="T246" s="260" t="s">
        <v>161</v>
      </c>
      <c r="U246" s="386">
        <v>42653</v>
      </c>
      <c r="V246" s="387"/>
      <c r="W246" s="354">
        <f>COUNT(RawMaterials[[#This Row],[Lab Quantity 1]:[Lab Quantity 4]])</f>
        <v>0</v>
      </c>
      <c r="X24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6" s="392" t="e">
        <f>RawMaterials[[#This Row],[Lab Price 1]]/RawMaterials[[#This Row],[Lab Q Model Units 1]]</f>
        <v>#N/A</v>
      </c>
      <c r="AC246" s="392" t="e">
        <f>RawMaterials[[#This Row],[Lab Price 2]]/RawMaterials[[#This Row],[Lab Q Model Units 2]]</f>
        <v>#N/A</v>
      </c>
      <c r="AD246" s="392" t="e">
        <f>RawMaterials[[#This Row],[Lab Price 3]]/RawMaterials[[#This Row],[Lab Q Model Units 3]]</f>
        <v>#N/A</v>
      </c>
      <c r="AE246" s="392" t="e">
        <f>RawMaterials[[#This Row],[Lab Price 4]]/RawMaterials[[#This Row],[Lab Q Model Units 4]]</f>
        <v>#N/A</v>
      </c>
      <c r="AF246" s="392" t="str">
        <f ca="1">IF(RawMaterials[[#This Row],[Lab Quote Count]]&gt;1,SLOPE(LOG(INDIRECT("RawMaterials[@[Lab Unit P 1]:[Lab Unit P "&amp;RawMaterials[[#This Row],[Lab Quote Count]]&amp;"]]")),LOG(INDIRECT("RawMaterials[@[Lab Q Model Units 1]:[Lab Q Model Units "&amp;RawMaterials[[#This Row],[Lab Quote Count]]&amp;"]]"))),"")</f>
        <v/>
      </c>
      <c r="AG246" s="392" t="str">
        <f ca="1">IF(RawMaterials[[#This Row],[Lab Quote Count]]&gt;1,INTERCEPT(LOG(INDIRECT("RawMaterials[@[Lab Unit P 1]:[Lab Unit P "&amp;RawMaterials[[#This Row],[Lab Quote Count]]&amp;"]]")),LOG(INDIRECT("RawMaterials[@[Lab Q Model Units 1]:[Lab Q Model Units "&amp;RawMaterials[[#This Row],[Lab Quote Count]]&amp;"]]"))),"")</f>
        <v/>
      </c>
      <c r="AH246" s="393" t="str">
        <f>IF(RawMaterials[[#This Row],[Material Type]]="Metal Precursor","D13",IF(RawMaterials[[#This Row],[Material Type]]="Ligand","D13","D12"))</f>
        <v>D12</v>
      </c>
      <c r="AI246" s="394" t="str">
        <f ca="1">IF(RawMaterials[[#This Row],[Lab Quote Count]]&gt;1,10^RawMaterials[[#This Row],[Lab Log-Log Intercept]]*INDIRECT(RawMaterials[[#This Row],[Basis Cell]])^RawMaterials[[#This Row],[Lab Log-Log Slope]],"&gt;&gt;&gt; Enter 2 or more lab quotes &lt;&lt;&lt;")</f>
        <v>&gt;&gt;&gt; Enter 2 or more lab quotes &lt;&lt;&lt;</v>
      </c>
      <c r="AJ24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2.2928075267227266</v>
      </c>
      <c r="AL246" s="396">
        <f>IF(ISTEXT(RawMaterials[[#This Row],[Unit price in quote year]]),"Check calcs",RawMaterials[[#This Row],[Unit price in quote year]]/VLOOKUP(RawMaterials[[#This Row],[Quote Year]],ChemPPI[],14,FALSE)*VLOOKUP(BasisYear,ChemPPI[],14,FALSE))</f>
        <v>3.1118337926201236</v>
      </c>
      <c r="AM246" s="397" t="str">
        <f t="shared" si="3"/>
        <v>$/kg (2016)</v>
      </c>
    </row>
    <row r="247" spans="1:39">
      <c r="A247" s="259" t="s">
        <v>1338</v>
      </c>
      <c r="B247" s="260"/>
      <c r="C247" s="351"/>
      <c r="D247" s="351"/>
      <c r="E247" s="260">
        <v>100</v>
      </c>
      <c r="F247" s="260"/>
      <c r="G247" s="351"/>
      <c r="H247" s="351"/>
      <c r="I247" s="262"/>
      <c r="J247" s="351"/>
      <c r="K247" s="351"/>
      <c r="L247" s="351"/>
      <c r="M247" s="351"/>
      <c r="N247" s="351"/>
      <c r="O247" s="351"/>
      <c r="P247" s="261">
        <v>0.625</v>
      </c>
      <c r="Q247" s="260">
        <v>1</v>
      </c>
      <c r="R247" s="260" t="s">
        <v>20</v>
      </c>
      <c r="S247" s="260">
        <v>2006</v>
      </c>
      <c r="T247" s="260" t="s">
        <v>161</v>
      </c>
      <c r="U247" s="386">
        <v>42653</v>
      </c>
      <c r="V247" s="387"/>
      <c r="W247" s="354">
        <f>COUNT(RawMaterials[[#This Row],[Lab Quantity 1]:[Lab Quantity 4]])</f>
        <v>0</v>
      </c>
      <c r="X24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7" s="392" t="e">
        <f>RawMaterials[[#This Row],[Lab Price 1]]/RawMaterials[[#This Row],[Lab Q Model Units 1]]</f>
        <v>#N/A</v>
      </c>
      <c r="AC247" s="392" t="e">
        <f>RawMaterials[[#This Row],[Lab Price 2]]/RawMaterials[[#This Row],[Lab Q Model Units 2]]</f>
        <v>#N/A</v>
      </c>
      <c r="AD247" s="392" t="e">
        <f>RawMaterials[[#This Row],[Lab Price 3]]/RawMaterials[[#This Row],[Lab Q Model Units 3]]</f>
        <v>#N/A</v>
      </c>
      <c r="AE247" s="392" t="e">
        <f>RawMaterials[[#This Row],[Lab Price 4]]/RawMaterials[[#This Row],[Lab Q Model Units 4]]</f>
        <v>#N/A</v>
      </c>
      <c r="AF247" s="392" t="str">
        <f ca="1">IF(RawMaterials[[#This Row],[Lab Quote Count]]&gt;1,SLOPE(LOG(INDIRECT("RawMaterials[@[Lab Unit P 1]:[Lab Unit P "&amp;RawMaterials[[#This Row],[Lab Quote Count]]&amp;"]]")),LOG(INDIRECT("RawMaterials[@[Lab Q Model Units 1]:[Lab Q Model Units "&amp;RawMaterials[[#This Row],[Lab Quote Count]]&amp;"]]"))),"")</f>
        <v/>
      </c>
      <c r="AG247" s="392" t="str">
        <f ca="1">IF(RawMaterials[[#This Row],[Lab Quote Count]]&gt;1,INTERCEPT(LOG(INDIRECT("RawMaterials[@[Lab Unit P 1]:[Lab Unit P "&amp;RawMaterials[[#This Row],[Lab Quote Count]]&amp;"]]")),LOG(INDIRECT("RawMaterials[@[Lab Q Model Units 1]:[Lab Q Model Units "&amp;RawMaterials[[#This Row],[Lab Quote Count]]&amp;"]]"))),"")</f>
        <v/>
      </c>
      <c r="AH247" s="393" t="str">
        <f>IF(RawMaterials[[#This Row],[Material Type]]="Metal Precursor","D13",IF(RawMaterials[[#This Row],[Material Type]]="Ligand","D13","D12"))</f>
        <v>D12</v>
      </c>
      <c r="AI247" s="394" t="str">
        <f ca="1">IF(RawMaterials[[#This Row],[Lab Quote Count]]&gt;1,10^RawMaterials[[#This Row],[Lab Log-Log Intercept]]*INDIRECT(RawMaterials[[#This Row],[Basis Cell]])^RawMaterials[[#This Row],[Lab Log-Log Slope]],"&gt;&gt;&gt; Enter 2 or more lab quotes &lt;&lt;&lt;")</f>
        <v>&gt;&gt;&gt; Enter 2 or more lab quotes &lt;&lt;&lt;</v>
      </c>
      <c r="AJ24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1.3778891386554848</v>
      </c>
      <c r="AL247" s="396">
        <f>IF(ISTEXT(RawMaterials[[#This Row],[Unit price in quote year]]),"Check calcs",RawMaterials[[#This Row],[Unit price in quote year]]/VLOOKUP(RawMaterials[[#This Row],[Quote Year]],ChemPPI[],14,FALSE)*VLOOKUP(BasisYear,ChemPPI[],14,FALSE))</f>
        <v>1.8700924234495937</v>
      </c>
      <c r="AM247" s="397" t="str">
        <f t="shared" si="3"/>
        <v>$/kg (2016)</v>
      </c>
    </row>
    <row r="248" spans="1:39">
      <c r="A248" s="259" t="s">
        <v>1339</v>
      </c>
      <c r="B248" s="260"/>
      <c r="C248" s="351"/>
      <c r="D248" s="351"/>
      <c r="E248" s="260">
        <v>100</v>
      </c>
      <c r="F248" s="260"/>
      <c r="G248" s="351"/>
      <c r="H248" s="351"/>
      <c r="I248" s="262"/>
      <c r="J248" s="351"/>
      <c r="K248" s="351"/>
      <c r="L248" s="351"/>
      <c r="M248" s="351"/>
      <c r="N248" s="351"/>
      <c r="O248" s="351"/>
      <c r="P248" s="261">
        <v>0.32</v>
      </c>
      <c r="Q248" s="260">
        <v>1</v>
      </c>
      <c r="R248" s="260" t="s">
        <v>20</v>
      </c>
      <c r="S248" s="260">
        <v>2006</v>
      </c>
      <c r="T248" s="260" t="s">
        <v>161</v>
      </c>
      <c r="U248" s="386">
        <v>42653</v>
      </c>
      <c r="V248" s="387"/>
      <c r="W248" s="354">
        <f>COUNT(RawMaterials[[#This Row],[Lab Quantity 1]:[Lab Quantity 4]])</f>
        <v>0</v>
      </c>
      <c r="X24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8" s="392" t="e">
        <f>RawMaterials[[#This Row],[Lab Price 1]]/RawMaterials[[#This Row],[Lab Q Model Units 1]]</f>
        <v>#N/A</v>
      </c>
      <c r="AC248" s="392" t="e">
        <f>RawMaterials[[#This Row],[Lab Price 2]]/RawMaterials[[#This Row],[Lab Q Model Units 2]]</f>
        <v>#N/A</v>
      </c>
      <c r="AD248" s="392" t="e">
        <f>RawMaterials[[#This Row],[Lab Price 3]]/RawMaterials[[#This Row],[Lab Q Model Units 3]]</f>
        <v>#N/A</v>
      </c>
      <c r="AE248" s="392" t="e">
        <f>RawMaterials[[#This Row],[Lab Price 4]]/RawMaterials[[#This Row],[Lab Q Model Units 4]]</f>
        <v>#N/A</v>
      </c>
      <c r="AF248" s="392" t="str">
        <f ca="1">IF(RawMaterials[[#This Row],[Lab Quote Count]]&gt;1,SLOPE(LOG(INDIRECT("RawMaterials[@[Lab Unit P 1]:[Lab Unit P "&amp;RawMaterials[[#This Row],[Lab Quote Count]]&amp;"]]")),LOG(INDIRECT("RawMaterials[@[Lab Q Model Units 1]:[Lab Q Model Units "&amp;RawMaterials[[#This Row],[Lab Quote Count]]&amp;"]]"))),"")</f>
        <v/>
      </c>
      <c r="AG248" s="392" t="str">
        <f ca="1">IF(RawMaterials[[#This Row],[Lab Quote Count]]&gt;1,INTERCEPT(LOG(INDIRECT("RawMaterials[@[Lab Unit P 1]:[Lab Unit P "&amp;RawMaterials[[#This Row],[Lab Quote Count]]&amp;"]]")),LOG(INDIRECT("RawMaterials[@[Lab Q Model Units 1]:[Lab Q Model Units "&amp;RawMaterials[[#This Row],[Lab Quote Count]]&amp;"]]"))),"")</f>
        <v/>
      </c>
      <c r="AH248" s="393" t="str">
        <f>IF(RawMaterials[[#This Row],[Material Type]]="Metal Precursor","D13",IF(RawMaterials[[#This Row],[Material Type]]="Ligand","D13","D12"))</f>
        <v>D12</v>
      </c>
      <c r="AI248" s="394" t="str">
        <f ca="1">IF(RawMaterials[[#This Row],[Lab Quote Count]]&gt;1,10^RawMaterials[[#This Row],[Lab Log-Log Intercept]]*INDIRECT(RawMaterials[[#This Row],[Basis Cell]])^RawMaterials[[#This Row],[Lab Log-Log Slope]],"&gt;&gt;&gt; Enter 2 or more lab quotes &lt;&lt;&lt;")</f>
        <v>&gt;&gt;&gt; Enter 2 or more lab quotes &lt;&lt;&lt;</v>
      </c>
      <c r="AJ24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0.70547923899160825</v>
      </c>
      <c r="AL248" s="396">
        <f>IF(ISTEXT(RawMaterials[[#This Row],[Unit price in quote year]]),"Check calcs",RawMaterials[[#This Row],[Unit price in quote year]]/VLOOKUP(RawMaterials[[#This Row],[Quote Year]],ChemPPI[],14,FALSE)*VLOOKUP(BasisYear,ChemPPI[],14,FALSE))</f>
        <v>0.95748732080619203</v>
      </c>
      <c r="AM248" s="397" t="str">
        <f t="shared" si="3"/>
        <v>$/kg (2016)</v>
      </c>
    </row>
    <row r="249" spans="1:39">
      <c r="A249" s="259" t="s">
        <v>1340</v>
      </c>
      <c r="B249" s="260"/>
      <c r="C249" s="351"/>
      <c r="D249" s="351"/>
      <c r="E249" s="260">
        <v>100</v>
      </c>
      <c r="F249" s="260"/>
      <c r="G249" s="351"/>
      <c r="H249" s="351"/>
      <c r="I249" s="262"/>
      <c r="J249" s="351"/>
      <c r="K249" s="351"/>
      <c r="L249" s="351"/>
      <c r="M249" s="351"/>
      <c r="N249" s="351"/>
      <c r="O249" s="351"/>
      <c r="P249" s="261">
        <v>0.84499999999999997</v>
      </c>
      <c r="Q249" s="260">
        <v>1</v>
      </c>
      <c r="R249" s="260" t="s">
        <v>20</v>
      </c>
      <c r="S249" s="260">
        <v>2008</v>
      </c>
      <c r="T249" s="260" t="s">
        <v>161</v>
      </c>
      <c r="U249" s="386">
        <v>42653</v>
      </c>
      <c r="V249" s="387"/>
      <c r="W249" s="354">
        <f>COUNT(RawMaterials[[#This Row],[Lab Quantity 1]:[Lab Quantity 4]])</f>
        <v>0</v>
      </c>
      <c r="X24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9" s="392" t="e">
        <f>RawMaterials[[#This Row],[Lab Price 1]]/RawMaterials[[#This Row],[Lab Q Model Units 1]]</f>
        <v>#N/A</v>
      </c>
      <c r="AC249" s="392" t="e">
        <f>RawMaterials[[#This Row],[Lab Price 2]]/RawMaterials[[#This Row],[Lab Q Model Units 2]]</f>
        <v>#N/A</v>
      </c>
      <c r="AD249" s="392" t="e">
        <f>RawMaterials[[#This Row],[Lab Price 3]]/RawMaterials[[#This Row],[Lab Q Model Units 3]]</f>
        <v>#N/A</v>
      </c>
      <c r="AE249" s="392" t="e">
        <f>RawMaterials[[#This Row],[Lab Price 4]]/RawMaterials[[#This Row],[Lab Q Model Units 4]]</f>
        <v>#N/A</v>
      </c>
      <c r="AF249" s="392" t="str">
        <f ca="1">IF(RawMaterials[[#This Row],[Lab Quote Count]]&gt;1,SLOPE(LOG(INDIRECT("RawMaterials[@[Lab Unit P 1]:[Lab Unit P "&amp;RawMaterials[[#This Row],[Lab Quote Count]]&amp;"]]")),LOG(INDIRECT("RawMaterials[@[Lab Q Model Units 1]:[Lab Q Model Units "&amp;RawMaterials[[#This Row],[Lab Quote Count]]&amp;"]]"))),"")</f>
        <v/>
      </c>
      <c r="AG249" s="392" t="str">
        <f ca="1">IF(RawMaterials[[#This Row],[Lab Quote Count]]&gt;1,INTERCEPT(LOG(INDIRECT("RawMaterials[@[Lab Unit P 1]:[Lab Unit P "&amp;RawMaterials[[#This Row],[Lab Quote Count]]&amp;"]]")),LOG(INDIRECT("RawMaterials[@[Lab Q Model Units 1]:[Lab Q Model Units "&amp;RawMaterials[[#This Row],[Lab Quote Count]]&amp;"]]"))),"")</f>
        <v/>
      </c>
      <c r="AH249" s="393" t="str">
        <f>IF(RawMaterials[[#This Row],[Material Type]]="Metal Precursor","D13",IF(RawMaterials[[#This Row],[Material Type]]="Ligand","D13","D12"))</f>
        <v>D12</v>
      </c>
      <c r="AI249" s="394" t="str">
        <f ca="1">IF(RawMaterials[[#This Row],[Lab Quote Count]]&gt;1,10^RawMaterials[[#This Row],[Lab Log-Log Intercept]]*INDIRECT(RawMaterials[[#This Row],[Basis Cell]])^RawMaterials[[#This Row],[Lab Log-Log Slope]],"&gt;&gt;&gt; Enter 2 or more lab quotes &lt;&lt;&lt;")</f>
        <v>&gt;&gt;&gt; Enter 2 or more lab quotes &lt;&lt;&lt;</v>
      </c>
      <c r="AJ24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1.8629061154622153</v>
      </c>
      <c r="AL249" s="396">
        <f>IF(ISTEXT(RawMaterials[[#This Row],[Unit price in quote year]]),"Check calcs",RawMaterials[[#This Row],[Unit price in quote year]]/VLOOKUP(RawMaterials[[#This Row],[Quote Year]],ChemPPI[],14,FALSE)*VLOOKUP(BasisYear,ChemPPI[],14,FALSE))</f>
        <v>2.1803858613399645</v>
      </c>
      <c r="AM249" s="397" t="str">
        <f t="shared" si="3"/>
        <v>$/kg (2016)</v>
      </c>
    </row>
    <row r="250" spans="1:39">
      <c r="A250" s="259" t="s">
        <v>1341</v>
      </c>
      <c r="B250" s="260"/>
      <c r="C250" s="351"/>
      <c r="D250" s="351"/>
      <c r="E250" s="260">
        <v>100</v>
      </c>
      <c r="F250" s="260"/>
      <c r="G250" s="351"/>
      <c r="H250" s="351"/>
      <c r="I250" s="262"/>
      <c r="J250" s="351"/>
      <c r="K250" s="351"/>
      <c r="L250" s="351"/>
      <c r="M250" s="351"/>
      <c r="N250" s="351"/>
      <c r="O250" s="351"/>
      <c r="P250" s="261">
        <v>0.63500000000000001</v>
      </c>
      <c r="Q250" s="260">
        <v>1</v>
      </c>
      <c r="R250" s="260" t="s">
        <v>20</v>
      </c>
      <c r="S250" s="260">
        <v>2008</v>
      </c>
      <c r="T250" s="260" t="s">
        <v>161</v>
      </c>
      <c r="U250" s="386">
        <v>42653</v>
      </c>
      <c r="V250" s="387"/>
      <c r="W250" s="354">
        <f>COUNT(RawMaterials[[#This Row],[Lab Quantity 1]:[Lab Quantity 4]])</f>
        <v>0</v>
      </c>
      <c r="X25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0" s="392" t="e">
        <f>RawMaterials[[#This Row],[Lab Price 1]]/RawMaterials[[#This Row],[Lab Q Model Units 1]]</f>
        <v>#N/A</v>
      </c>
      <c r="AC250" s="392" t="e">
        <f>RawMaterials[[#This Row],[Lab Price 2]]/RawMaterials[[#This Row],[Lab Q Model Units 2]]</f>
        <v>#N/A</v>
      </c>
      <c r="AD250" s="392" t="e">
        <f>RawMaterials[[#This Row],[Lab Price 3]]/RawMaterials[[#This Row],[Lab Q Model Units 3]]</f>
        <v>#N/A</v>
      </c>
      <c r="AE250" s="392" t="e">
        <f>RawMaterials[[#This Row],[Lab Price 4]]/RawMaterials[[#This Row],[Lab Q Model Units 4]]</f>
        <v>#N/A</v>
      </c>
      <c r="AF250" s="392" t="str">
        <f ca="1">IF(RawMaterials[[#This Row],[Lab Quote Count]]&gt;1,SLOPE(LOG(INDIRECT("RawMaterials[@[Lab Unit P 1]:[Lab Unit P "&amp;RawMaterials[[#This Row],[Lab Quote Count]]&amp;"]]")),LOG(INDIRECT("RawMaterials[@[Lab Q Model Units 1]:[Lab Q Model Units "&amp;RawMaterials[[#This Row],[Lab Quote Count]]&amp;"]]"))),"")</f>
        <v/>
      </c>
      <c r="AG250" s="392" t="str">
        <f ca="1">IF(RawMaterials[[#This Row],[Lab Quote Count]]&gt;1,INTERCEPT(LOG(INDIRECT("RawMaterials[@[Lab Unit P 1]:[Lab Unit P "&amp;RawMaterials[[#This Row],[Lab Quote Count]]&amp;"]]")),LOG(INDIRECT("RawMaterials[@[Lab Q Model Units 1]:[Lab Q Model Units "&amp;RawMaterials[[#This Row],[Lab Quote Count]]&amp;"]]"))),"")</f>
        <v/>
      </c>
      <c r="AH250" s="393" t="str">
        <f>IF(RawMaterials[[#This Row],[Material Type]]="Metal Precursor","D13",IF(RawMaterials[[#This Row],[Material Type]]="Ligand","D13","D12"))</f>
        <v>D12</v>
      </c>
      <c r="AI250" s="394" t="str">
        <f ca="1">IF(RawMaterials[[#This Row],[Lab Quote Count]]&gt;1,10^RawMaterials[[#This Row],[Lab Log-Log Intercept]]*INDIRECT(RawMaterials[[#This Row],[Basis Cell]])^RawMaterials[[#This Row],[Lab Log-Log Slope]],"&gt;&gt;&gt; Enter 2 or more lab quotes &lt;&lt;&lt;")</f>
        <v>&gt;&gt;&gt; Enter 2 or more lab quotes &lt;&lt;&lt;</v>
      </c>
      <c r="AJ25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1.3999353648739725</v>
      </c>
      <c r="AL250" s="396">
        <f>IF(ISTEXT(RawMaterials[[#This Row],[Unit price in quote year]]),"Check calcs",RawMaterials[[#This Row],[Unit price in quote year]]/VLOOKUP(RawMaterials[[#This Row],[Quote Year]],ChemPPI[],14,FALSE)*VLOOKUP(BasisYear,ChemPPI[],14,FALSE))</f>
        <v>1.6385148188767782</v>
      </c>
      <c r="AM250" s="397" t="str">
        <f t="shared" si="3"/>
        <v>$/kg (2016)</v>
      </c>
    </row>
    <row r="251" spans="1:39">
      <c r="A251" s="259" t="s">
        <v>1342</v>
      </c>
      <c r="B251" s="260"/>
      <c r="C251" s="351"/>
      <c r="D251" s="351"/>
      <c r="E251" s="260">
        <v>100</v>
      </c>
      <c r="F251" s="260"/>
      <c r="G251" s="351"/>
      <c r="H251" s="351"/>
      <c r="I251" s="262"/>
      <c r="J251" s="351"/>
      <c r="K251" s="351"/>
      <c r="L251" s="351"/>
      <c r="M251" s="351"/>
      <c r="N251" s="351"/>
      <c r="O251" s="351"/>
      <c r="P251" s="261">
        <v>0.65500000000000003</v>
      </c>
      <c r="Q251" s="260">
        <v>1</v>
      </c>
      <c r="R251" s="260" t="s">
        <v>20</v>
      </c>
      <c r="S251" s="260">
        <v>2008</v>
      </c>
      <c r="T251" s="260" t="s">
        <v>161</v>
      </c>
      <c r="U251" s="386">
        <v>42653</v>
      </c>
      <c r="V251" s="387"/>
      <c r="W251" s="354">
        <f>COUNT(RawMaterials[[#This Row],[Lab Quantity 1]:[Lab Quantity 4]])</f>
        <v>0</v>
      </c>
      <c r="X25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1" s="392" t="e">
        <f>RawMaterials[[#This Row],[Lab Price 1]]/RawMaterials[[#This Row],[Lab Q Model Units 1]]</f>
        <v>#N/A</v>
      </c>
      <c r="AC251" s="392" t="e">
        <f>RawMaterials[[#This Row],[Lab Price 2]]/RawMaterials[[#This Row],[Lab Q Model Units 2]]</f>
        <v>#N/A</v>
      </c>
      <c r="AD251" s="392" t="e">
        <f>RawMaterials[[#This Row],[Lab Price 3]]/RawMaterials[[#This Row],[Lab Q Model Units 3]]</f>
        <v>#N/A</v>
      </c>
      <c r="AE251" s="392" t="e">
        <f>RawMaterials[[#This Row],[Lab Price 4]]/RawMaterials[[#This Row],[Lab Q Model Units 4]]</f>
        <v>#N/A</v>
      </c>
      <c r="AF251" s="392" t="str">
        <f ca="1">IF(RawMaterials[[#This Row],[Lab Quote Count]]&gt;1,SLOPE(LOG(INDIRECT("RawMaterials[@[Lab Unit P 1]:[Lab Unit P "&amp;RawMaterials[[#This Row],[Lab Quote Count]]&amp;"]]")),LOG(INDIRECT("RawMaterials[@[Lab Q Model Units 1]:[Lab Q Model Units "&amp;RawMaterials[[#This Row],[Lab Quote Count]]&amp;"]]"))),"")</f>
        <v/>
      </c>
      <c r="AG251" s="392" t="str">
        <f ca="1">IF(RawMaterials[[#This Row],[Lab Quote Count]]&gt;1,INTERCEPT(LOG(INDIRECT("RawMaterials[@[Lab Unit P 1]:[Lab Unit P "&amp;RawMaterials[[#This Row],[Lab Quote Count]]&amp;"]]")),LOG(INDIRECT("RawMaterials[@[Lab Q Model Units 1]:[Lab Q Model Units "&amp;RawMaterials[[#This Row],[Lab Quote Count]]&amp;"]]"))),"")</f>
        <v/>
      </c>
      <c r="AH251" s="393" t="str">
        <f>IF(RawMaterials[[#This Row],[Material Type]]="Metal Precursor","D13",IF(RawMaterials[[#This Row],[Material Type]]="Ligand","D13","D12"))</f>
        <v>D12</v>
      </c>
      <c r="AI251" s="394" t="str">
        <f ca="1">IF(RawMaterials[[#This Row],[Lab Quote Count]]&gt;1,10^RawMaterials[[#This Row],[Lab Log-Log Intercept]]*INDIRECT(RawMaterials[[#This Row],[Basis Cell]])^RawMaterials[[#This Row],[Lab Log-Log Slope]],"&gt;&gt;&gt; Enter 2 or more lab quotes &lt;&lt;&lt;")</f>
        <v>&gt;&gt;&gt; Enter 2 or more lab quotes &lt;&lt;&lt;</v>
      </c>
      <c r="AJ25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1.4440278173109482</v>
      </c>
      <c r="AL251" s="396">
        <f>IF(ISTEXT(RawMaterials[[#This Row],[Unit price in quote year]]),"Check calcs",RawMaterials[[#This Row],[Unit price in quote year]]/VLOOKUP(RawMaterials[[#This Row],[Quote Year]],ChemPPI[],14,FALSE)*VLOOKUP(BasisYear,ChemPPI[],14,FALSE))</f>
        <v>1.6901215848256534</v>
      </c>
      <c r="AM251" s="397" t="str">
        <f t="shared" si="3"/>
        <v>$/kg (2016)</v>
      </c>
    </row>
    <row r="252" spans="1:39">
      <c r="A252" s="259" t="s">
        <v>1343</v>
      </c>
      <c r="B252" s="260"/>
      <c r="C252" s="351"/>
      <c r="D252" s="351"/>
      <c r="E252" s="260">
        <v>100</v>
      </c>
      <c r="F252" s="260"/>
      <c r="G252" s="351"/>
      <c r="H252" s="351"/>
      <c r="I252" s="262"/>
      <c r="J252" s="351"/>
      <c r="K252" s="351"/>
      <c r="L252" s="351"/>
      <c r="M252" s="351"/>
      <c r="N252" s="351"/>
      <c r="O252" s="351"/>
      <c r="P252" s="261">
        <v>0.46</v>
      </c>
      <c r="Q252" s="260">
        <v>1</v>
      </c>
      <c r="R252" s="260" t="s">
        <v>20</v>
      </c>
      <c r="S252" s="260">
        <v>2006</v>
      </c>
      <c r="T252" s="260" t="s">
        <v>161</v>
      </c>
      <c r="U252" s="386">
        <v>42653</v>
      </c>
      <c r="V252" s="387"/>
      <c r="W252" s="354">
        <f>COUNT(RawMaterials[[#This Row],[Lab Quantity 1]:[Lab Quantity 4]])</f>
        <v>0</v>
      </c>
      <c r="X25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2" s="392" t="e">
        <f>RawMaterials[[#This Row],[Lab Price 1]]/RawMaterials[[#This Row],[Lab Q Model Units 1]]</f>
        <v>#N/A</v>
      </c>
      <c r="AC252" s="392" t="e">
        <f>RawMaterials[[#This Row],[Lab Price 2]]/RawMaterials[[#This Row],[Lab Q Model Units 2]]</f>
        <v>#N/A</v>
      </c>
      <c r="AD252" s="392" t="e">
        <f>RawMaterials[[#This Row],[Lab Price 3]]/RawMaterials[[#This Row],[Lab Q Model Units 3]]</f>
        <v>#N/A</v>
      </c>
      <c r="AE252" s="392" t="e">
        <f>RawMaterials[[#This Row],[Lab Price 4]]/RawMaterials[[#This Row],[Lab Q Model Units 4]]</f>
        <v>#N/A</v>
      </c>
      <c r="AF252" s="392" t="str">
        <f ca="1">IF(RawMaterials[[#This Row],[Lab Quote Count]]&gt;1,SLOPE(LOG(INDIRECT("RawMaterials[@[Lab Unit P 1]:[Lab Unit P "&amp;RawMaterials[[#This Row],[Lab Quote Count]]&amp;"]]")),LOG(INDIRECT("RawMaterials[@[Lab Q Model Units 1]:[Lab Q Model Units "&amp;RawMaterials[[#This Row],[Lab Quote Count]]&amp;"]]"))),"")</f>
        <v/>
      </c>
      <c r="AG252" s="392" t="str">
        <f ca="1">IF(RawMaterials[[#This Row],[Lab Quote Count]]&gt;1,INTERCEPT(LOG(INDIRECT("RawMaterials[@[Lab Unit P 1]:[Lab Unit P "&amp;RawMaterials[[#This Row],[Lab Quote Count]]&amp;"]]")),LOG(INDIRECT("RawMaterials[@[Lab Q Model Units 1]:[Lab Q Model Units "&amp;RawMaterials[[#This Row],[Lab Quote Count]]&amp;"]]"))),"")</f>
        <v/>
      </c>
      <c r="AH252" s="393" t="str">
        <f>IF(RawMaterials[[#This Row],[Material Type]]="Metal Precursor","D13",IF(RawMaterials[[#This Row],[Material Type]]="Ligand","D13","D12"))</f>
        <v>D12</v>
      </c>
      <c r="AI252" s="394" t="str">
        <f ca="1">IF(RawMaterials[[#This Row],[Lab Quote Count]]&gt;1,10^RawMaterials[[#This Row],[Lab Log-Log Intercept]]*INDIRECT(RawMaterials[[#This Row],[Basis Cell]])^RawMaterials[[#This Row],[Lab Log-Log Slope]],"&gt;&gt;&gt; Enter 2 or more lab quotes &lt;&lt;&lt;")</f>
        <v>&gt;&gt;&gt; Enter 2 or more lab quotes &lt;&lt;&lt;</v>
      </c>
      <c r="AJ25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1.0141264060504369</v>
      </c>
      <c r="AL252" s="396">
        <f>IF(ISTEXT(RawMaterials[[#This Row],[Unit price in quote year]]),"Check calcs",RawMaterials[[#This Row],[Unit price in quote year]]/VLOOKUP(RawMaterials[[#This Row],[Quote Year]],ChemPPI[],14,FALSE)*VLOOKUP(BasisYear,ChemPPI[],14,FALSE))</f>
        <v>1.3763880236589012</v>
      </c>
      <c r="AM252" s="397" t="str">
        <f t="shared" si="3"/>
        <v>$/kg (2016)</v>
      </c>
    </row>
    <row r="253" spans="1:39">
      <c r="A253" s="259" t="s">
        <v>1344</v>
      </c>
      <c r="B253" s="260"/>
      <c r="C253" s="351"/>
      <c r="D253" s="351"/>
      <c r="E253" s="260">
        <v>100</v>
      </c>
      <c r="F253" s="260"/>
      <c r="G253" s="351"/>
      <c r="H253" s="351"/>
      <c r="I253" s="262"/>
      <c r="J253" s="351"/>
      <c r="K253" s="351"/>
      <c r="L253" s="351"/>
      <c r="M253" s="351"/>
      <c r="N253" s="351"/>
      <c r="O253" s="351"/>
      <c r="P253" s="261">
        <v>265</v>
      </c>
      <c r="Q253" s="260">
        <v>1</v>
      </c>
      <c r="R253" s="260" t="s">
        <v>401</v>
      </c>
      <c r="S253" s="260">
        <v>2006</v>
      </c>
      <c r="T253" s="260" t="s">
        <v>161</v>
      </c>
      <c r="U253" s="386">
        <v>42653</v>
      </c>
      <c r="V253" s="387"/>
      <c r="W253" s="354">
        <f>COUNT(RawMaterials[[#This Row],[Lab Quantity 1]:[Lab Quantity 4]])</f>
        <v>0</v>
      </c>
      <c r="X25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3" s="392" t="e">
        <f>RawMaterials[[#This Row],[Lab Price 1]]/RawMaterials[[#This Row],[Lab Q Model Units 1]]</f>
        <v>#N/A</v>
      </c>
      <c r="AC253" s="392" t="e">
        <f>RawMaterials[[#This Row],[Lab Price 2]]/RawMaterials[[#This Row],[Lab Q Model Units 2]]</f>
        <v>#N/A</v>
      </c>
      <c r="AD253" s="392" t="e">
        <f>RawMaterials[[#This Row],[Lab Price 3]]/RawMaterials[[#This Row],[Lab Q Model Units 3]]</f>
        <v>#N/A</v>
      </c>
      <c r="AE253" s="392" t="e">
        <f>RawMaterials[[#This Row],[Lab Price 4]]/RawMaterials[[#This Row],[Lab Q Model Units 4]]</f>
        <v>#N/A</v>
      </c>
      <c r="AF253" s="392" t="str">
        <f ca="1">IF(RawMaterials[[#This Row],[Lab Quote Count]]&gt;1,SLOPE(LOG(INDIRECT("RawMaterials[@[Lab Unit P 1]:[Lab Unit P "&amp;RawMaterials[[#This Row],[Lab Quote Count]]&amp;"]]")),LOG(INDIRECT("RawMaterials[@[Lab Q Model Units 1]:[Lab Q Model Units "&amp;RawMaterials[[#This Row],[Lab Quote Count]]&amp;"]]"))),"")</f>
        <v/>
      </c>
      <c r="AG253" s="392" t="str">
        <f ca="1">IF(RawMaterials[[#This Row],[Lab Quote Count]]&gt;1,INTERCEPT(LOG(INDIRECT("RawMaterials[@[Lab Unit P 1]:[Lab Unit P "&amp;RawMaterials[[#This Row],[Lab Quote Count]]&amp;"]]")),LOG(INDIRECT("RawMaterials[@[Lab Q Model Units 1]:[Lab Q Model Units "&amp;RawMaterials[[#This Row],[Lab Quote Count]]&amp;"]]"))),"")</f>
        <v/>
      </c>
      <c r="AH253" s="393" t="str">
        <f>IF(RawMaterials[[#This Row],[Material Type]]="Metal Precursor","D13",IF(RawMaterials[[#This Row],[Material Type]]="Ligand","D13","D12"))</f>
        <v>D12</v>
      </c>
      <c r="AI253" s="394" t="str">
        <f ca="1">IF(RawMaterials[[#This Row],[Lab Quote Count]]&gt;1,10^RawMaterials[[#This Row],[Lab Log-Log Intercept]]*INDIRECT(RawMaterials[[#This Row],[Basis Cell]])^RawMaterials[[#This Row],[Lab Log-Log Slope]],"&gt;&gt;&gt; Enter 2 or more lab quotes &lt;&lt;&lt;")</f>
        <v>&gt;&gt;&gt; Enter 2 or more lab quotes &lt;&lt;&lt;</v>
      </c>
      <c r="AJ25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0.29211249739496281</v>
      </c>
      <c r="AL253" s="396">
        <f>IF(ISTEXT(RawMaterials[[#This Row],[Unit price in quote year]]),"Check calcs",RawMaterials[[#This Row],[Unit price in quote year]]/VLOOKUP(RawMaterials[[#This Row],[Quote Year]],ChemPPI[],14,FALSE)*VLOOKUP(BasisYear,ChemPPI[],14,FALSE))</f>
        <v>0.3964595937713139</v>
      </c>
      <c r="AM253" s="397" t="str">
        <f t="shared" si="3"/>
        <v>$/kg (2016)</v>
      </c>
    </row>
    <row r="254" spans="1:39">
      <c r="A254" s="259" t="s">
        <v>1345</v>
      </c>
      <c r="B254" s="260"/>
      <c r="C254" s="351"/>
      <c r="D254" s="351"/>
      <c r="E254" s="260">
        <v>100</v>
      </c>
      <c r="F254" s="260"/>
      <c r="G254" s="351"/>
      <c r="H254" s="351"/>
      <c r="I254" s="262"/>
      <c r="J254" s="351"/>
      <c r="K254" s="351"/>
      <c r="L254" s="351"/>
      <c r="M254" s="351"/>
      <c r="N254" s="351"/>
      <c r="O254" s="351"/>
      <c r="P254" s="261">
        <v>117.5</v>
      </c>
      <c r="Q254" s="260">
        <v>1</v>
      </c>
      <c r="R254" s="260" t="s">
        <v>401</v>
      </c>
      <c r="S254" s="260">
        <v>2006</v>
      </c>
      <c r="T254" s="260" t="s">
        <v>161</v>
      </c>
      <c r="U254" s="386">
        <v>42653</v>
      </c>
      <c r="V254" s="387"/>
      <c r="W254" s="354">
        <f>COUNT(RawMaterials[[#This Row],[Lab Quantity 1]:[Lab Quantity 4]])</f>
        <v>0</v>
      </c>
      <c r="X25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4" s="392" t="e">
        <f>RawMaterials[[#This Row],[Lab Price 1]]/RawMaterials[[#This Row],[Lab Q Model Units 1]]</f>
        <v>#N/A</v>
      </c>
      <c r="AC254" s="392" t="e">
        <f>RawMaterials[[#This Row],[Lab Price 2]]/RawMaterials[[#This Row],[Lab Q Model Units 2]]</f>
        <v>#N/A</v>
      </c>
      <c r="AD254" s="392" t="e">
        <f>RawMaterials[[#This Row],[Lab Price 3]]/RawMaterials[[#This Row],[Lab Q Model Units 3]]</f>
        <v>#N/A</v>
      </c>
      <c r="AE254" s="392" t="e">
        <f>RawMaterials[[#This Row],[Lab Price 4]]/RawMaterials[[#This Row],[Lab Q Model Units 4]]</f>
        <v>#N/A</v>
      </c>
      <c r="AF254" s="392" t="str">
        <f ca="1">IF(RawMaterials[[#This Row],[Lab Quote Count]]&gt;1,SLOPE(LOG(INDIRECT("RawMaterials[@[Lab Unit P 1]:[Lab Unit P "&amp;RawMaterials[[#This Row],[Lab Quote Count]]&amp;"]]")),LOG(INDIRECT("RawMaterials[@[Lab Q Model Units 1]:[Lab Q Model Units "&amp;RawMaterials[[#This Row],[Lab Quote Count]]&amp;"]]"))),"")</f>
        <v/>
      </c>
      <c r="AG254" s="392" t="str">
        <f ca="1">IF(RawMaterials[[#This Row],[Lab Quote Count]]&gt;1,INTERCEPT(LOG(INDIRECT("RawMaterials[@[Lab Unit P 1]:[Lab Unit P "&amp;RawMaterials[[#This Row],[Lab Quote Count]]&amp;"]]")),LOG(INDIRECT("RawMaterials[@[Lab Q Model Units 1]:[Lab Q Model Units "&amp;RawMaterials[[#This Row],[Lab Quote Count]]&amp;"]]"))),"")</f>
        <v/>
      </c>
      <c r="AH254" s="393" t="str">
        <f>IF(RawMaterials[[#This Row],[Material Type]]="Metal Precursor","D13",IF(RawMaterials[[#This Row],[Material Type]]="Ligand","D13","D12"))</f>
        <v>D12</v>
      </c>
      <c r="AI254" s="394" t="str">
        <f ca="1">IF(RawMaterials[[#This Row],[Lab Quote Count]]&gt;1,10^RawMaterials[[#This Row],[Lab Log-Log Intercept]]*INDIRECT(RawMaterials[[#This Row],[Basis Cell]])^RawMaterials[[#This Row],[Lab Log-Log Slope]],"&gt;&gt;&gt; Enter 2 or more lab quotes &lt;&lt;&lt;")</f>
        <v>&gt;&gt;&gt; Enter 2 or more lab quotes &lt;&lt;&lt;</v>
      </c>
      <c r="AJ25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0.12952157903361558</v>
      </c>
      <c r="AL254" s="396">
        <f>IF(ISTEXT(RawMaterials[[#This Row],[Unit price in quote year]]),"Check calcs",RawMaterials[[#This Row],[Unit price in quote year]]/VLOOKUP(RawMaterials[[#This Row],[Quote Year]],ChemPPI[],14,FALSE)*VLOOKUP(BasisYear,ChemPPI[],14,FALSE))</f>
        <v>0.17578868780426185</v>
      </c>
      <c r="AM254" s="397" t="str">
        <f t="shared" si="3"/>
        <v>$/kg (2016)</v>
      </c>
    </row>
    <row r="255" spans="1:39">
      <c r="A255" s="259" t="s">
        <v>1346</v>
      </c>
      <c r="B255" s="260"/>
      <c r="C255" s="351"/>
      <c r="D255" s="351"/>
      <c r="E255" s="260">
        <v>100</v>
      </c>
      <c r="F255" s="260"/>
      <c r="G255" s="351"/>
      <c r="H255" s="351"/>
      <c r="I255" s="262"/>
      <c r="J255" s="351"/>
      <c r="K255" s="351"/>
      <c r="L255" s="351"/>
      <c r="M255" s="351"/>
      <c r="N255" s="351"/>
      <c r="O255" s="351"/>
      <c r="P255" s="261">
        <v>17.100000000000001</v>
      </c>
      <c r="Q255" s="260">
        <v>1</v>
      </c>
      <c r="R255" s="260" t="s">
        <v>401</v>
      </c>
      <c r="S255" s="260">
        <v>2006</v>
      </c>
      <c r="T255" s="260" t="s">
        <v>161</v>
      </c>
      <c r="U255" s="386">
        <v>42653</v>
      </c>
      <c r="V255" s="387"/>
      <c r="W255" s="354">
        <f>COUNT(RawMaterials[[#This Row],[Lab Quantity 1]:[Lab Quantity 4]])</f>
        <v>0</v>
      </c>
      <c r="X25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5" s="392" t="e">
        <f>RawMaterials[[#This Row],[Lab Price 1]]/RawMaterials[[#This Row],[Lab Q Model Units 1]]</f>
        <v>#N/A</v>
      </c>
      <c r="AC255" s="392" t="e">
        <f>RawMaterials[[#This Row],[Lab Price 2]]/RawMaterials[[#This Row],[Lab Q Model Units 2]]</f>
        <v>#N/A</v>
      </c>
      <c r="AD255" s="392" t="e">
        <f>RawMaterials[[#This Row],[Lab Price 3]]/RawMaterials[[#This Row],[Lab Q Model Units 3]]</f>
        <v>#N/A</v>
      </c>
      <c r="AE255" s="392" t="e">
        <f>RawMaterials[[#This Row],[Lab Price 4]]/RawMaterials[[#This Row],[Lab Q Model Units 4]]</f>
        <v>#N/A</v>
      </c>
      <c r="AF255" s="392" t="str">
        <f ca="1">IF(RawMaterials[[#This Row],[Lab Quote Count]]&gt;1,SLOPE(LOG(INDIRECT("RawMaterials[@[Lab Unit P 1]:[Lab Unit P "&amp;RawMaterials[[#This Row],[Lab Quote Count]]&amp;"]]")),LOG(INDIRECT("RawMaterials[@[Lab Q Model Units 1]:[Lab Q Model Units "&amp;RawMaterials[[#This Row],[Lab Quote Count]]&amp;"]]"))),"")</f>
        <v/>
      </c>
      <c r="AG255" s="392" t="str">
        <f ca="1">IF(RawMaterials[[#This Row],[Lab Quote Count]]&gt;1,INTERCEPT(LOG(INDIRECT("RawMaterials[@[Lab Unit P 1]:[Lab Unit P "&amp;RawMaterials[[#This Row],[Lab Quote Count]]&amp;"]]")),LOG(INDIRECT("RawMaterials[@[Lab Q Model Units 1]:[Lab Q Model Units "&amp;RawMaterials[[#This Row],[Lab Quote Count]]&amp;"]]"))),"")</f>
        <v/>
      </c>
      <c r="AH255" s="393" t="str">
        <f>IF(RawMaterials[[#This Row],[Material Type]]="Metal Precursor","D13",IF(RawMaterials[[#This Row],[Material Type]]="Ligand","D13","D12"))</f>
        <v>D12</v>
      </c>
      <c r="AI255" s="394" t="str">
        <f ca="1">IF(RawMaterials[[#This Row],[Lab Quote Count]]&gt;1,10^RawMaterials[[#This Row],[Lab Log-Log Intercept]]*INDIRECT(RawMaterials[[#This Row],[Basis Cell]])^RawMaterials[[#This Row],[Lab Log-Log Slope]],"&gt;&gt;&gt; Enter 2 or more lab quotes &lt;&lt;&lt;")</f>
        <v>&gt;&gt;&gt; Enter 2 or more lab quotes &lt;&lt;&lt;</v>
      </c>
      <c r="AJ25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1.8849523416807033E-2</v>
      </c>
      <c r="AL255" s="396">
        <f>IF(ISTEXT(RawMaterials[[#This Row],[Unit price in quote year]]),"Check calcs",RawMaterials[[#This Row],[Unit price in quote year]]/VLOOKUP(RawMaterials[[#This Row],[Quote Year]],ChemPPI[],14,FALSE)*VLOOKUP(BasisYear,ChemPPI[],14,FALSE))</f>
        <v>2.5582864352790443E-2</v>
      </c>
      <c r="AM255" s="397" t="str">
        <f t="shared" si="3"/>
        <v>$/kg (2016)</v>
      </c>
    </row>
    <row r="256" spans="1:39">
      <c r="A256" s="259" t="s">
        <v>1347</v>
      </c>
      <c r="B256" s="260"/>
      <c r="C256" s="351"/>
      <c r="D256" s="351"/>
      <c r="E256" s="260">
        <v>100</v>
      </c>
      <c r="F256" s="260"/>
      <c r="G256" s="351"/>
      <c r="H256" s="351"/>
      <c r="I256" s="262"/>
      <c r="J256" s="351"/>
      <c r="K256" s="351"/>
      <c r="L256" s="351"/>
      <c r="M256" s="351"/>
      <c r="N256" s="351"/>
      <c r="O256" s="351"/>
      <c r="P256" s="261">
        <v>2.16</v>
      </c>
      <c r="Q256" s="260">
        <v>1</v>
      </c>
      <c r="R256" s="260" t="s">
        <v>20</v>
      </c>
      <c r="S256" s="260">
        <v>2006</v>
      </c>
      <c r="T256" s="260" t="s">
        <v>161</v>
      </c>
      <c r="U256" s="386">
        <v>42653</v>
      </c>
      <c r="V256" s="387"/>
      <c r="W256" s="354">
        <f>COUNT(RawMaterials[[#This Row],[Lab Quantity 1]:[Lab Quantity 4]])</f>
        <v>0</v>
      </c>
      <c r="X25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6" s="392" t="e">
        <f>RawMaterials[[#This Row],[Lab Price 1]]/RawMaterials[[#This Row],[Lab Q Model Units 1]]</f>
        <v>#N/A</v>
      </c>
      <c r="AC256" s="392" t="e">
        <f>RawMaterials[[#This Row],[Lab Price 2]]/RawMaterials[[#This Row],[Lab Q Model Units 2]]</f>
        <v>#N/A</v>
      </c>
      <c r="AD256" s="392" t="e">
        <f>RawMaterials[[#This Row],[Lab Price 3]]/RawMaterials[[#This Row],[Lab Q Model Units 3]]</f>
        <v>#N/A</v>
      </c>
      <c r="AE256" s="392" t="e">
        <f>RawMaterials[[#This Row],[Lab Price 4]]/RawMaterials[[#This Row],[Lab Q Model Units 4]]</f>
        <v>#N/A</v>
      </c>
      <c r="AF256" s="392" t="str">
        <f ca="1">IF(RawMaterials[[#This Row],[Lab Quote Count]]&gt;1,SLOPE(LOG(INDIRECT("RawMaterials[@[Lab Unit P 1]:[Lab Unit P "&amp;RawMaterials[[#This Row],[Lab Quote Count]]&amp;"]]")),LOG(INDIRECT("RawMaterials[@[Lab Q Model Units 1]:[Lab Q Model Units "&amp;RawMaterials[[#This Row],[Lab Quote Count]]&amp;"]]"))),"")</f>
        <v/>
      </c>
      <c r="AG256" s="392" t="str">
        <f ca="1">IF(RawMaterials[[#This Row],[Lab Quote Count]]&gt;1,INTERCEPT(LOG(INDIRECT("RawMaterials[@[Lab Unit P 1]:[Lab Unit P "&amp;RawMaterials[[#This Row],[Lab Quote Count]]&amp;"]]")),LOG(INDIRECT("RawMaterials[@[Lab Q Model Units 1]:[Lab Q Model Units "&amp;RawMaterials[[#This Row],[Lab Quote Count]]&amp;"]]"))),"")</f>
        <v/>
      </c>
      <c r="AH256" s="393" t="str">
        <f>IF(RawMaterials[[#This Row],[Material Type]]="Metal Precursor","D13",IF(RawMaterials[[#This Row],[Material Type]]="Ligand","D13","D12"))</f>
        <v>D12</v>
      </c>
      <c r="AI256" s="394" t="str">
        <f ca="1">IF(RawMaterials[[#This Row],[Lab Quote Count]]&gt;1,10^RawMaterials[[#This Row],[Lab Log-Log Intercept]]*INDIRECT(RawMaterials[[#This Row],[Basis Cell]])^RawMaterials[[#This Row],[Lab Log-Log Slope]],"&gt;&gt;&gt; Enter 2 or more lab quotes &lt;&lt;&lt;")</f>
        <v>&gt;&gt;&gt; Enter 2 or more lab quotes &lt;&lt;&lt;</v>
      </c>
      <c r="AJ25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4.7619848631933559</v>
      </c>
      <c r="AL256" s="396">
        <f>IF(ISTEXT(RawMaterials[[#This Row],[Unit price in quote year]]),"Check calcs",RawMaterials[[#This Row],[Unit price in quote year]]/VLOOKUP(RawMaterials[[#This Row],[Quote Year]],ChemPPI[],14,FALSE)*VLOOKUP(BasisYear,ChemPPI[],14,FALSE))</f>
        <v>6.4630394154417967</v>
      </c>
      <c r="AM256" s="397" t="str">
        <f t="shared" si="3"/>
        <v>$/kg (2016)</v>
      </c>
    </row>
    <row r="257" spans="1:39">
      <c r="A257" s="259" t="s">
        <v>1348</v>
      </c>
      <c r="B257" s="260"/>
      <c r="C257" s="351"/>
      <c r="D257" s="351"/>
      <c r="E257" s="260">
        <v>100</v>
      </c>
      <c r="F257" s="260"/>
      <c r="G257" s="351"/>
      <c r="H257" s="351"/>
      <c r="I257" s="262"/>
      <c r="J257" s="351"/>
      <c r="K257" s="351"/>
      <c r="L257" s="351"/>
      <c r="M257" s="351"/>
      <c r="N257" s="351"/>
      <c r="O257" s="351"/>
      <c r="P257" s="261">
        <v>9</v>
      </c>
      <c r="Q257" s="260">
        <v>1</v>
      </c>
      <c r="R257" s="260" t="s">
        <v>71</v>
      </c>
      <c r="S257" s="260">
        <v>2006</v>
      </c>
      <c r="T257" s="260" t="s">
        <v>161</v>
      </c>
      <c r="U257" s="386">
        <v>42653</v>
      </c>
      <c r="V257" s="387"/>
      <c r="W257" s="354">
        <f>COUNT(RawMaterials[[#This Row],[Lab Quantity 1]:[Lab Quantity 4]])</f>
        <v>0</v>
      </c>
      <c r="X25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7" s="392" t="e">
        <f>RawMaterials[[#This Row],[Lab Price 1]]/RawMaterials[[#This Row],[Lab Q Model Units 1]]</f>
        <v>#N/A</v>
      </c>
      <c r="AC257" s="392" t="e">
        <f>RawMaterials[[#This Row],[Lab Price 2]]/RawMaterials[[#This Row],[Lab Q Model Units 2]]</f>
        <v>#N/A</v>
      </c>
      <c r="AD257" s="392" t="e">
        <f>RawMaterials[[#This Row],[Lab Price 3]]/RawMaterials[[#This Row],[Lab Q Model Units 3]]</f>
        <v>#N/A</v>
      </c>
      <c r="AE257" s="392" t="e">
        <f>RawMaterials[[#This Row],[Lab Price 4]]/RawMaterials[[#This Row],[Lab Q Model Units 4]]</f>
        <v>#N/A</v>
      </c>
      <c r="AF257" s="392" t="str">
        <f ca="1">IF(RawMaterials[[#This Row],[Lab Quote Count]]&gt;1,SLOPE(LOG(INDIRECT("RawMaterials[@[Lab Unit P 1]:[Lab Unit P "&amp;RawMaterials[[#This Row],[Lab Quote Count]]&amp;"]]")),LOG(INDIRECT("RawMaterials[@[Lab Q Model Units 1]:[Lab Q Model Units "&amp;RawMaterials[[#This Row],[Lab Quote Count]]&amp;"]]"))),"")</f>
        <v/>
      </c>
      <c r="AG257" s="392" t="str">
        <f ca="1">IF(RawMaterials[[#This Row],[Lab Quote Count]]&gt;1,INTERCEPT(LOG(INDIRECT("RawMaterials[@[Lab Unit P 1]:[Lab Unit P "&amp;RawMaterials[[#This Row],[Lab Quote Count]]&amp;"]]")),LOG(INDIRECT("RawMaterials[@[Lab Q Model Units 1]:[Lab Q Model Units "&amp;RawMaterials[[#This Row],[Lab Quote Count]]&amp;"]]"))),"")</f>
        <v/>
      </c>
      <c r="AH257" s="393" t="str">
        <f>IF(RawMaterials[[#This Row],[Material Type]]="Metal Precursor","D13",IF(RawMaterials[[#This Row],[Material Type]]="Ligand","D13","D12"))</f>
        <v>D12</v>
      </c>
      <c r="AI257" s="394" t="str">
        <f ca="1">IF(RawMaterials[[#This Row],[Lab Quote Count]]&gt;1,10^RawMaterials[[#This Row],[Lab Log-Log Intercept]]*INDIRECT(RawMaterials[[#This Row],[Basis Cell]])^RawMaterials[[#This Row],[Lab Log-Log Slope]],"&gt;&gt;&gt; Enter 2 or more lab quotes &lt;&lt;&lt;")</f>
        <v>&gt;&gt;&gt; Enter 2 or more lab quotes &lt;&lt;&lt;</v>
      </c>
      <c r="AJ25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v>
      </c>
      <c r="AL257" s="396">
        <f>IF(ISTEXT(RawMaterials[[#This Row],[Unit price in quote year]]),"Check calcs",RawMaterials[[#This Row],[Unit price in quote year]]/VLOOKUP(RawMaterials[[#This Row],[Quote Year]],ChemPPI[],14,FALSE)*VLOOKUP(BasisYear,ChemPPI[],14,FALSE))</f>
        <v>12.214939024390247</v>
      </c>
      <c r="AM257" s="397" t="str">
        <f t="shared" si="3"/>
        <v>$/kg (2016)</v>
      </c>
    </row>
    <row r="258" spans="1:39">
      <c r="A258" s="259" t="s">
        <v>1349</v>
      </c>
      <c r="B258" s="260"/>
      <c r="C258" s="351"/>
      <c r="D258" s="351"/>
      <c r="E258" s="260">
        <v>100</v>
      </c>
      <c r="F258" s="260"/>
      <c r="G258" s="351"/>
      <c r="H258" s="351"/>
      <c r="I258" s="262"/>
      <c r="J258" s="351"/>
      <c r="K258" s="351"/>
      <c r="L258" s="351"/>
      <c r="M258" s="351"/>
      <c r="N258" s="351"/>
      <c r="O258" s="351"/>
      <c r="P258" s="261">
        <v>47.5</v>
      </c>
      <c r="Q258" s="260">
        <v>1</v>
      </c>
      <c r="R258" s="260" t="s">
        <v>71</v>
      </c>
      <c r="S258" s="260">
        <v>2006</v>
      </c>
      <c r="T258" s="260" t="s">
        <v>161</v>
      </c>
      <c r="U258" s="386">
        <v>42653</v>
      </c>
      <c r="V258" s="387"/>
      <c r="W258" s="354">
        <f>COUNT(RawMaterials[[#This Row],[Lab Quantity 1]:[Lab Quantity 4]])</f>
        <v>0</v>
      </c>
      <c r="X25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8" s="392" t="e">
        <f>RawMaterials[[#This Row],[Lab Price 1]]/RawMaterials[[#This Row],[Lab Q Model Units 1]]</f>
        <v>#N/A</v>
      </c>
      <c r="AC258" s="392" t="e">
        <f>RawMaterials[[#This Row],[Lab Price 2]]/RawMaterials[[#This Row],[Lab Q Model Units 2]]</f>
        <v>#N/A</v>
      </c>
      <c r="AD258" s="392" t="e">
        <f>RawMaterials[[#This Row],[Lab Price 3]]/RawMaterials[[#This Row],[Lab Q Model Units 3]]</f>
        <v>#N/A</v>
      </c>
      <c r="AE258" s="392" t="e">
        <f>RawMaterials[[#This Row],[Lab Price 4]]/RawMaterials[[#This Row],[Lab Q Model Units 4]]</f>
        <v>#N/A</v>
      </c>
      <c r="AF258" s="392" t="str">
        <f ca="1">IF(RawMaterials[[#This Row],[Lab Quote Count]]&gt;1,SLOPE(LOG(INDIRECT("RawMaterials[@[Lab Unit P 1]:[Lab Unit P "&amp;RawMaterials[[#This Row],[Lab Quote Count]]&amp;"]]")),LOG(INDIRECT("RawMaterials[@[Lab Q Model Units 1]:[Lab Q Model Units "&amp;RawMaterials[[#This Row],[Lab Quote Count]]&amp;"]]"))),"")</f>
        <v/>
      </c>
      <c r="AG258" s="392" t="str">
        <f ca="1">IF(RawMaterials[[#This Row],[Lab Quote Count]]&gt;1,INTERCEPT(LOG(INDIRECT("RawMaterials[@[Lab Unit P 1]:[Lab Unit P "&amp;RawMaterials[[#This Row],[Lab Quote Count]]&amp;"]]")),LOG(INDIRECT("RawMaterials[@[Lab Q Model Units 1]:[Lab Q Model Units "&amp;RawMaterials[[#This Row],[Lab Quote Count]]&amp;"]]"))),"")</f>
        <v/>
      </c>
      <c r="AH258" s="393" t="str">
        <f>IF(RawMaterials[[#This Row],[Material Type]]="Metal Precursor","D13",IF(RawMaterials[[#This Row],[Material Type]]="Ligand","D13","D12"))</f>
        <v>D12</v>
      </c>
      <c r="AI258" s="394" t="str">
        <f ca="1">IF(RawMaterials[[#This Row],[Lab Quote Count]]&gt;1,10^RawMaterials[[#This Row],[Lab Log-Log Intercept]]*INDIRECT(RawMaterials[[#This Row],[Basis Cell]])^RawMaterials[[#This Row],[Lab Log-Log Slope]],"&gt;&gt;&gt; Enter 2 or more lab quotes &lt;&lt;&lt;")</f>
        <v>&gt;&gt;&gt; Enter 2 or more lab quotes &lt;&lt;&lt;</v>
      </c>
      <c r="AJ25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47.5</v>
      </c>
      <c r="AL258" s="396">
        <f>IF(ISTEXT(RawMaterials[[#This Row],[Unit price in quote year]]),"Check calcs",RawMaterials[[#This Row],[Unit price in quote year]]/VLOOKUP(RawMaterials[[#This Row],[Quote Year]],ChemPPI[],14,FALSE)*VLOOKUP(BasisYear,ChemPPI[],14,FALSE))</f>
        <v>64.467733739837414</v>
      </c>
      <c r="AM258" s="397" t="str">
        <f t="shared" si="3"/>
        <v>$/kg (2016)</v>
      </c>
    </row>
    <row r="259" spans="1:39">
      <c r="A259" s="259" t="s">
        <v>1350</v>
      </c>
      <c r="B259" s="260"/>
      <c r="C259" s="351"/>
      <c r="D259" s="351"/>
      <c r="E259" s="260">
        <v>100</v>
      </c>
      <c r="F259" s="260"/>
      <c r="G259" s="351"/>
      <c r="H259" s="351"/>
      <c r="I259" s="262"/>
      <c r="J259" s="351"/>
      <c r="K259" s="351"/>
      <c r="L259" s="351"/>
      <c r="M259" s="351"/>
      <c r="N259" s="351"/>
      <c r="O259" s="351"/>
      <c r="P259" s="261">
        <v>50</v>
      </c>
      <c r="Q259" s="260">
        <v>1</v>
      </c>
      <c r="R259" s="260" t="s">
        <v>71</v>
      </c>
      <c r="S259" s="260">
        <v>2006</v>
      </c>
      <c r="T259" s="260" t="s">
        <v>161</v>
      </c>
      <c r="U259" s="386">
        <v>42653</v>
      </c>
      <c r="V259" s="387"/>
      <c r="W259" s="354">
        <f>COUNT(RawMaterials[[#This Row],[Lab Quantity 1]:[Lab Quantity 4]])</f>
        <v>0</v>
      </c>
      <c r="X25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9" s="392" t="e">
        <f>RawMaterials[[#This Row],[Lab Price 1]]/RawMaterials[[#This Row],[Lab Q Model Units 1]]</f>
        <v>#N/A</v>
      </c>
      <c r="AC259" s="392" t="e">
        <f>RawMaterials[[#This Row],[Lab Price 2]]/RawMaterials[[#This Row],[Lab Q Model Units 2]]</f>
        <v>#N/A</v>
      </c>
      <c r="AD259" s="392" t="e">
        <f>RawMaterials[[#This Row],[Lab Price 3]]/RawMaterials[[#This Row],[Lab Q Model Units 3]]</f>
        <v>#N/A</v>
      </c>
      <c r="AE259" s="392" t="e">
        <f>RawMaterials[[#This Row],[Lab Price 4]]/RawMaterials[[#This Row],[Lab Q Model Units 4]]</f>
        <v>#N/A</v>
      </c>
      <c r="AF259" s="392" t="str">
        <f ca="1">IF(RawMaterials[[#This Row],[Lab Quote Count]]&gt;1,SLOPE(LOG(INDIRECT("RawMaterials[@[Lab Unit P 1]:[Lab Unit P "&amp;RawMaterials[[#This Row],[Lab Quote Count]]&amp;"]]")),LOG(INDIRECT("RawMaterials[@[Lab Q Model Units 1]:[Lab Q Model Units "&amp;RawMaterials[[#This Row],[Lab Quote Count]]&amp;"]]"))),"")</f>
        <v/>
      </c>
      <c r="AG259" s="392" t="str">
        <f ca="1">IF(RawMaterials[[#This Row],[Lab Quote Count]]&gt;1,INTERCEPT(LOG(INDIRECT("RawMaterials[@[Lab Unit P 1]:[Lab Unit P "&amp;RawMaterials[[#This Row],[Lab Quote Count]]&amp;"]]")),LOG(INDIRECT("RawMaterials[@[Lab Q Model Units 1]:[Lab Q Model Units "&amp;RawMaterials[[#This Row],[Lab Quote Count]]&amp;"]]"))),"")</f>
        <v/>
      </c>
      <c r="AH259" s="393" t="str">
        <f>IF(RawMaterials[[#This Row],[Material Type]]="Metal Precursor","D13",IF(RawMaterials[[#This Row],[Material Type]]="Ligand","D13","D12"))</f>
        <v>D12</v>
      </c>
      <c r="AI259" s="394" t="str">
        <f ca="1">IF(RawMaterials[[#This Row],[Lab Quote Count]]&gt;1,10^RawMaterials[[#This Row],[Lab Log-Log Intercept]]*INDIRECT(RawMaterials[[#This Row],[Basis Cell]])^RawMaterials[[#This Row],[Lab Log-Log Slope]],"&gt;&gt;&gt; Enter 2 or more lab quotes &lt;&lt;&lt;")</f>
        <v>&gt;&gt;&gt; Enter 2 or more lab quotes &lt;&lt;&lt;</v>
      </c>
      <c r="AJ25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50</v>
      </c>
      <c r="AL259" s="396">
        <f>IF(ISTEXT(RawMaterials[[#This Row],[Unit price in quote year]]),"Check calcs",RawMaterials[[#This Row],[Unit price in quote year]]/VLOOKUP(RawMaterials[[#This Row],[Quote Year]],ChemPPI[],14,FALSE)*VLOOKUP(BasisYear,ChemPPI[],14,FALSE))</f>
        <v>67.86077235772359</v>
      </c>
      <c r="AM259" s="397" t="str">
        <f t="shared" si="3"/>
        <v>$/kg (2016)</v>
      </c>
    </row>
    <row r="260" spans="1:39">
      <c r="A260" s="259" t="s">
        <v>1351</v>
      </c>
      <c r="B260" s="260"/>
      <c r="C260" s="351"/>
      <c r="D260" s="351"/>
      <c r="E260" s="260">
        <v>100</v>
      </c>
      <c r="F260" s="260"/>
      <c r="G260" s="351"/>
      <c r="H260" s="351"/>
      <c r="I260" s="262"/>
      <c r="J260" s="351"/>
      <c r="K260" s="351"/>
      <c r="L260" s="351"/>
      <c r="M260" s="351"/>
      <c r="N260" s="351"/>
      <c r="O260" s="351"/>
      <c r="P260" s="261">
        <v>0.625</v>
      </c>
      <c r="Q260" s="260">
        <v>1</v>
      </c>
      <c r="R260" s="260" t="s">
        <v>20</v>
      </c>
      <c r="S260" s="260">
        <v>2006</v>
      </c>
      <c r="T260" s="260" t="s">
        <v>161</v>
      </c>
      <c r="U260" s="386">
        <v>42653</v>
      </c>
      <c r="V260" s="387"/>
      <c r="W260" s="354">
        <f>COUNT(RawMaterials[[#This Row],[Lab Quantity 1]:[Lab Quantity 4]])</f>
        <v>0</v>
      </c>
      <c r="X26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0" s="392" t="e">
        <f>RawMaterials[[#This Row],[Lab Price 1]]/RawMaterials[[#This Row],[Lab Q Model Units 1]]</f>
        <v>#N/A</v>
      </c>
      <c r="AC260" s="392" t="e">
        <f>RawMaterials[[#This Row],[Lab Price 2]]/RawMaterials[[#This Row],[Lab Q Model Units 2]]</f>
        <v>#N/A</v>
      </c>
      <c r="AD260" s="392" t="e">
        <f>RawMaterials[[#This Row],[Lab Price 3]]/RawMaterials[[#This Row],[Lab Q Model Units 3]]</f>
        <v>#N/A</v>
      </c>
      <c r="AE260" s="392" t="e">
        <f>RawMaterials[[#This Row],[Lab Price 4]]/RawMaterials[[#This Row],[Lab Q Model Units 4]]</f>
        <v>#N/A</v>
      </c>
      <c r="AF260" s="392" t="str">
        <f ca="1">IF(RawMaterials[[#This Row],[Lab Quote Count]]&gt;1,SLOPE(LOG(INDIRECT("RawMaterials[@[Lab Unit P 1]:[Lab Unit P "&amp;RawMaterials[[#This Row],[Lab Quote Count]]&amp;"]]")),LOG(INDIRECT("RawMaterials[@[Lab Q Model Units 1]:[Lab Q Model Units "&amp;RawMaterials[[#This Row],[Lab Quote Count]]&amp;"]]"))),"")</f>
        <v/>
      </c>
      <c r="AG260" s="392" t="str">
        <f ca="1">IF(RawMaterials[[#This Row],[Lab Quote Count]]&gt;1,INTERCEPT(LOG(INDIRECT("RawMaterials[@[Lab Unit P 1]:[Lab Unit P "&amp;RawMaterials[[#This Row],[Lab Quote Count]]&amp;"]]")),LOG(INDIRECT("RawMaterials[@[Lab Q Model Units 1]:[Lab Q Model Units "&amp;RawMaterials[[#This Row],[Lab Quote Count]]&amp;"]]"))),"")</f>
        <v/>
      </c>
      <c r="AH260" s="393" t="str">
        <f>IF(RawMaterials[[#This Row],[Material Type]]="Metal Precursor","D13",IF(RawMaterials[[#This Row],[Material Type]]="Ligand","D13","D12"))</f>
        <v>D12</v>
      </c>
      <c r="AI260" s="394" t="str">
        <f ca="1">IF(RawMaterials[[#This Row],[Lab Quote Count]]&gt;1,10^RawMaterials[[#This Row],[Lab Log-Log Intercept]]*INDIRECT(RawMaterials[[#This Row],[Basis Cell]])^RawMaterials[[#This Row],[Lab Log-Log Slope]],"&gt;&gt;&gt; Enter 2 or more lab quotes &lt;&lt;&lt;")</f>
        <v>&gt;&gt;&gt; Enter 2 or more lab quotes &lt;&lt;&lt;</v>
      </c>
      <c r="AJ26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1.3778891386554848</v>
      </c>
      <c r="AL260" s="396">
        <f>IF(ISTEXT(RawMaterials[[#This Row],[Unit price in quote year]]),"Check calcs",RawMaterials[[#This Row],[Unit price in quote year]]/VLOOKUP(RawMaterials[[#This Row],[Quote Year]],ChemPPI[],14,FALSE)*VLOOKUP(BasisYear,ChemPPI[],14,FALSE))</f>
        <v>1.8700924234495937</v>
      </c>
      <c r="AM260" s="397" t="str">
        <f t="shared" si="3"/>
        <v>$/kg (2016)</v>
      </c>
    </row>
    <row r="261" spans="1:39">
      <c r="A261" s="259" t="s">
        <v>1352</v>
      </c>
      <c r="B261" s="260"/>
      <c r="C261" s="351"/>
      <c r="D261" s="351"/>
      <c r="E261" s="260">
        <v>100</v>
      </c>
      <c r="F261" s="260"/>
      <c r="G261" s="351"/>
      <c r="H261" s="351"/>
      <c r="I261" s="262"/>
      <c r="J261" s="351"/>
      <c r="K261" s="351"/>
      <c r="L261" s="351"/>
      <c r="M261" s="351"/>
      <c r="N261" s="351"/>
      <c r="O261" s="351"/>
      <c r="P261" s="261">
        <v>0.75</v>
      </c>
      <c r="Q261" s="260">
        <v>1</v>
      </c>
      <c r="R261" s="260" t="s">
        <v>20</v>
      </c>
      <c r="S261" s="260">
        <v>2006</v>
      </c>
      <c r="T261" s="260" t="s">
        <v>161</v>
      </c>
      <c r="U261" s="386">
        <v>42653</v>
      </c>
      <c r="V261" s="387"/>
      <c r="W261" s="354">
        <f>COUNT(RawMaterials[[#This Row],[Lab Quantity 1]:[Lab Quantity 4]])</f>
        <v>0</v>
      </c>
      <c r="X26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1" s="392" t="e">
        <f>RawMaterials[[#This Row],[Lab Price 1]]/RawMaterials[[#This Row],[Lab Q Model Units 1]]</f>
        <v>#N/A</v>
      </c>
      <c r="AC261" s="392" t="e">
        <f>RawMaterials[[#This Row],[Lab Price 2]]/RawMaterials[[#This Row],[Lab Q Model Units 2]]</f>
        <v>#N/A</v>
      </c>
      <c r="AD261" s="392" t="e">
        <f>RawMaterials[[#This Row],[Lab Price 3]]/RawMaterials[[#This Row],[Lab Q Model Units 3]]</f>
        <v>#N/A</v>
      </c>
      <c r="AE261" s="392" t="e">
        <f>RawMaterials[[#This Row],[Lab Price 4]]/RawMaterials[[#This Row],[Lab Q Model Units 4]]</f>
        <v>#N/A</v>
      </c>
      <c r="AF261" s="392" t="str">
        <f ca="1">IF(RawMaterials[[#This Row],[Lab Quote Count]]&gt;1,SLOPE(LOG(INDIRECT("RawMaterials[@[Lab Unit P 1]:[Lab Unit P "&amp;RawMaterials[[#This Row],[Lab Quote Count]]&amp;"]]")),LOG(INDIRECT("RawMaterials[@[Lab Q Model Units 1]:[Lab Q Model Units "&amp;RawMaterials[[#This Row],[Lab Quote Count]]&amp;"]]"))),"")</f>
        <v/>
      </c>
      <c r="AG261" s="392" t="str">
        <f ca="1">IF(RawMaterials[[#This Row],[Lab Quote Count]]&gt;1,INTERCEPT(LOG(INDIRECT("RawMaterials[@[Lab Unit P 1]:[Lab Unit P "&amp;RawMaterials[[#This Row],[Lab Quote Count]]&amp;"]]")),LOG(INDIRECT("RawMaterials[@[Lab Q Model Units 1]:[Lab Q Model Units "&amp;RawMaterials[[#This Row],[Lab Quote Count]]&amp;"]]"))),"")</f>
        <v/>
      </c>
      <c r="AH261" s="393" t="str">
        <f>IF(RawMaterials[[#This Row],[Material Type]]="Metal Precursor","D13",IF(RawMaterials[[#This Row],[Material Type]]="Ligand","D13","D12"))</f>
        <v>D12</v>
      </c>
      <c r="AI261" s="394" t="str">
        <f ca="1">IF(RawMaterials[[#This Row],[Lab Quote Count]]&gt;1,10^RawMaterials[[#This Row],[Lab Log-Log Intercept]]*INDIRECT(RawMaterials[[#This Row],[Basis Cell]])^RawMaterials[[#This Row],[Lab Log-Log Slope]],"&gt;&gt;&gt; Enter 2 or more lab quotes &lt;&lt;&lt;")</f>
        <v>&gt;&gt;&gt; Enter 2 or more lab quotes &lt;&lt;&lt;</v>
      </c>
      <c r="AJ26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1.6534669663865817</v>
      </c>
      <c r="AL261" s="396">
        <f>IF(ISTEXT(RawMaterials[[#This Row],[Unit price in quote year]]),"Check calcs",RawMaterials[[#This Row],[Unit price in quote year]]/VLOOKUP(RawMaterials[[#This Row],[Quote Year]],ChemPPI[],14,FALSE)*VLOOKUP(BasisYear,ChemPPI[],14,FALSE))</f>
        <v>2.2441109081395125</v>
      </c>
      <c r="AM261" s="397" t="str">
        <f t="shared" si="3"/>
        <v>$/kg (2016)</v>
      </c>
    </row>
    <row r="262" spans="1:39">
      <c r="A262" s="259" t="s">
        <v>1353</v>
      </c>
      <c r="B262" s="260"/>
      <c r="C262" s="351"/>
      <c r="D262" s="351"/>
      <c r="E262" s="260">
        <v>100</v>
      </c>
      <c r="F262" s="260"/>
      <c r="G262" s="351"/>
      <c r="H262" s="351"/>
      <c r="I262" s="262"/>
      <c r="J262" s="351"/>
      <c r="K262" s="351"/>
      <c r="L262" s="351"/>
      <c r="M262" s="351"/>
      <c r="N262" s="351"/>
      <c r="O262" s="351"/>
      <c r="P262" s="261">
        <v>0.78499999999999903</v>
      </c>
      <c r="Q262" s="260">
        <v>1</v>
      </c>
      <c r="R262" s="260" t="s">
        <v>20</v>
      </c>
      <c r="S262" s="260">
        <v>2006</v>
      </c>
      <c r="T262" s="260" t="s">
        <v>161</v>
      </c>
      <c r="U262" s="386">
        <v>42653</v>
      </c>
      <c r="V262" s="387"/>
      <c r="W262" s="354">
        <f>COUNT(RawMaterials[[#This Row],[Lab Quantity 1]:[Lab Quantity 4]])</f>
        <v>0</v>
      </c>
      <c r="X26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2" s="392" t="e">
        <f>RawMaterials[[#This Row],[Lab Price 1]]/RawMaterials[[#This Row],[Lab Q Model Units 1]]</f>
        <v>#N/A</v>
      </c>
      <c r="AC262" s="392" t="e">
        <f>RawMaterials[[#This Row],[Lab Price 2]]/RawMaterials[[#This Row],[Lab Q Model Units 2]]</f>
        <v>#N/A</v>
      </c>
      <c r="AD262" s="392" t="e">
        <f>RawMaterials[[#This Row],[Lab Price 3]]/RawMaterials[[#This Row],[Lab Q Model Units 3]]</f>
        <v>#N/A</v>
      </c>
      <c r="AE262" s="392" t="e">
        <f>RawMaterials[[#This Row],[Lab Price 4]]/RawMaterials[[#This Row],[Lab Q Model Units 4]]</f>
        <v>#N/A</v>
      </c>
      <c r="AF262" s="392" t="str">
        <f ca="1">IF(RawMaterials[[#This Row],[Lab Quote Count]]&gt;1,SLOPE(LOG(INDIRECT("RawMaterials[@[Lab Unit P 1]:[Lab Unit P "&amp;RawMaterials[[#This Row],[Lab Quote Count]]&amp;"]]")),LOG(INDIRECT("RawMaterials[@[Lab Q Model Units 1]:[Lab Q Model Units "&amp;RawMaterials[[#This Row],[Lab Quote Count]]&amp;"]]"))),"")</f>
        <v/>
      </c>
      <c r="AG262" s="392" t="str">
        <f ca="1">IF(RawMaterials[[#This Row],[Lab Quote Count]]&gt;1,INTERCEPT(LOG(INDIRECT("RawMaterials[@[Lab Unit P 1]:[Lab Unit P "&amp;RawMaterials[[#This Row],[Lab Quote Count]]&amp;"]]")),LOG(INDIRECT("RawMaterials[@[Lab Q Model Units 1]:[Lab Q Model Units "&amp;RawMaterials[[#This Row],[Lab Quote Count]]&amp;"]]"))),"")</f>
        <v/>
      </c>
      <c r="AH262" s="393" t="str">
        <f>IF(RawMaterials[[#This Row],[Material Type]]="Metal Precursor","D13",IF(RawMaterials[[#This Row],[Material Type]]="Ligand","D13","D12"))</f>
        <v>D12</v>
      </c>
      <c r="AI262" s="394" t="str">
        <f ca="1">IF(RawMaterials[[#This Row],[Lab Quote Count]]&gt;1,10^RawMaterials[[#This Row],[Lab Log-Log Intercept]]*INDIRECT(RawMaterials[[#This Row],[Basis Cell]])^RawMaterials[[#This Row],[Lab Log-Log Slope]],"&gt;&gt;&gt; Enter 2 or more lab quotes &lt;&lt;&lt;")</f>
        <v>&gt;&gt;&gt; Enter 2 or more lab quotes &lt;&lt;&lt;</v>
      </c>
      <c r="AJ26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1.7306287581512867</v>
      </c>
      <c r="AL262" s="396">
        <f>IF(ISTEXT(RawMaterials[[#This Row],[Unit price in quote year]]),"Check calcs",RawMaterials[[#This Row],[Unit price in quote year]]/VLOOKUP(RawMaterials[[#This Row],[Quote Year]],ChemPPI[],14,FALSE)*VLOOKUP(BasisYear,ChemPPI[],14,FALSE))</f>
        <v>2.3488360838526865</v>
      </c>
      <c r="AM262" s="397" t="str">
        <f t="shared" si="3"/>
        <v>$/kg (2016)</v>
      </c>
    </row>
    <row r="263" spans="1:39">
      <c r="A263" s="259" t="s">
        <v>1354</v>
      </c>
      <c r="B263" s="260"/>
      <c r="C263" s="351"/>
      <c r="D263" s="351"/>
      <c r="E263" s="260">
        <v>100</v>
      </c>
      <c r="F263" s="260"/>
      <c r="G263" s="351"/>
      <c r="H263" s="351"/>
      <c r="I263" s="262"/>
      <c r="J263" s="351"/>
      <c r="K263" s="351"/>
      <c r="L263" s="351"/>
      <c r="M263" s="351"/>
      <c r="N263" s="351"/>
      <c r="O263" s="351"/>
      <c r="P263" s="261">
        <v>0.25</v>
      </c>
      <c r="Q263" s="260">
        <v>1</v>
      </c>
      <c r="R263" s="260" t="s">
        <v>20</v>
      </c>
      <c r="S263" s="260">
        <v>2006</v>
      </c>
      <c r="T263" s="260" t="s">
        <v>161</v>
      </c>
      <c r="U263" s="386">
        <v>42653</v>
      </c>
      <c r="V263" s="387"/>
      <c r="W263" s="354">
        <f>COUNT(RawMaterials[[#This Row],[Lab Quantity 1]:[Lab Quantity 4]])</f>
        <v>0</v>
      </c>
      <c r="X26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3" s="392" t="e">
        <f>RawMaterials[[#This Row],[Lab Price 1]]/RawMaterials[[#This Row],[Lab Q Model Units 1]]</f>
        <v>#N/A</v>
      </c>
      <c r="AC263" s="392" t="e">
        <f>RawMaterials[[#This Row],[Lab Price 2]]/RawMaterials[[#This Row],[Lab Q Model Units 2]]</f>
        <v>#N/A</v>
      </c>
      <c r="AD263" s="392" t="e">
        <f>RawMaterials[[#This Row],[Lab Price 3]]/RawMaterials[[#This Row],[Lab Q Model Units 3]]</f>
        <v>#N/A</v>
      </c>
      <c r="AE263" s="392" t="e">
        <f>RawMaterials[[#This Row],[Lab Price 4]]/RawMaterials[[#This Row],[Lab Q Model Units 4]]</f>
        <v>#N/A</v>
      </c>
      <c r="AF263" s="392" t="str">
        <f ca="1">IF(RawMaterials[[#This Row],[Lab Quote Count]]&gt;1,SLOPE(LOG(INDIRECT("RawMaterials[@[Lab Unit P 1]:[Lab Unit P "&amp;RawMaterials[[#This Row],[Lab Quote Count]]&amp;"]]")),LOG(INDIRECT("RawMaterials[@[Lab Q Model Units 1]:[Lab Q Model Units "&amp;RawMaterials[[#This Row],[Lab Quote Count]]&amp;"]]"))),"")</f>
        <v/>
      </c>
      <c r="AG263" s="392" t="str">
        <f ca="1">IF(RawMaterials[[#This Row],[Lab Quote Count]]&gt;1,INTERCEPT(LOG(INDIRECT("RawMaterials[@[Lab Unit P 1]:[Lab Unit P "&amp;RawMaterials[[#This Row],[Lab Quote Count]]&amp;"]]")),LOG(INDIRECT("RawMaterials[@[Lab Q Model Units 1]:[Lab Q Model Units "&amp;RawMaterials[[#This Row],[Lab Quote Count]]&amp;"]]"))),"")</f>
        <v/>
      </c>
      <c r="AH263" s="393" t="str">
        <f>IF(RawMaterials[[#This Row],[Material Type]]="Metal Precursor","D13",IF(RawMaterials[[#This Row],[Material Type]]="Ligand","D13","D12"))</f>
        <v>D12</v>
      </c>
      <c r="AI263" s="394" t="str">
        <f ca="1">IF(RawMaterials[[#This Row],[Lab Quote Count]]&gt;1,10^RawMaterials[[#This Row],[Lab Log-Log Intercept]]*INDIRECT(RawMaterials[[#This Row],[Basis Cell]])^RawMaterials[[#This Row],[Lab Log-Log Slope]],"&gt;&gt;&gt; Enter 2 or more lab quotes &lt;&lt;&lt;")</f>
        <v>&gt;&gt;&gt; Enter 2 or more lab quotes &lt;&lt;&lt;</v>
      </c>
      <c r="AJ26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0.55115565546219392</v>
      </c>
      <c r="AL263" s="396">
        <f>IF(ISTEXT(RawMaterials[[#This Row],[Unit price in quote year]]),"Check calcs",RawMaterials[[#This Row],[Unit price in quote year]]/VLOOKUP(RawMaterials[[#This Row],[Quote Year]],ChemPPI[],14,FALSE)*VLOOKUP(BasisYear,ChemPPI[],14,FALSE))</f>
        <v>0.74803696937983744</v>
      </c>
      <c r="AM263" s="397" t="str">
        <f t="shared" si="3"/>
        <v>$/kg (2016)</v>
      </c>
    </row>
    <row r="264" spans="1:39">
      <c r="A264" s="259" t="s">
        <v>1355</v>
      </c>
      <c r="B264" s="260"/>
      <c r="C264" s="351"/>
      <c r="D264" s="351"/>
      <c r="E264" s="260">
        <v>100</v>
      </c>
      <c r="F264" s="260"/>
      <c r="G264" s="351"/>
      <c r="H264" s="351"/>
      <c r="I264" s="262"/>
      <c r="J264" s="351"/>
      <c r="K264" s="351"/>
      <c r="L264" s="351"/>
      <c r="M264" s="351"/>
      <c r="N264" s="351"/>
      <c r="O264" s="351"/>
      <c r="P264" s="261">
        <v>0.62</v>
      </c>
      <c r="Q264" s="260">
        <v>1</v>
      </c>
      <c r="R264" s="260" t="s">
        <v>20</v>
      </c>
      <c r="S264" s="260">
        <v>2006</v>
      </c>
      <c r="T264" s="260" t="s">
        <v>161</v>
      </c>
      <c r="U264" s="386">
        <v>42653</v>
      </c>
      <c r="V264" s="387"/>
      <c r="W264" s="354">
        <f>COUNT(RawMaterials[[#This Row],[Lab Quantity 1]:[Lab Quantity 4]])</f>
        <v>0</v>
      </c>
      <c r="X26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4" s="392" t="e">
        <f>RawMaterials[[#This Row],[Lab Price 1]]/RawMaterials[[#This Row],[Lab Q Model Units 1]]</f>
        <v>#N/A</v>
      </c>
      <c r="AC264" s="392" t="e">
        <f>RawMaterials[[#This Row],[Lab Price 2]]/RawMaterials[[#This Row],[Lab Q Model Units 2]]</f>
        <v>#N/A</v>
      </c>
      <c r="AD264" s="392" t="e">
        <f>RawMaterials[[#This Row],[Lab Price 3]]/RawMaterials[[#This Row],[Lab Q Model Units 3]]</f>
        <v>#N/A</v>
      </c>
      <c r="AE264" s="392" t="e">
        <f>RawMaterials[[#This Row],[Lab Price 4]]/RawMaterials[[#This Row],[Lab Q Model Units 4]]</f>
        <v>#N/A</v>
      </c>
      <c r="AF264" s="392" t="str">
        <f ca="1">IF(RawMaterials[[#This Row],[Lab Quote Count]]&gt;1,SLOPE(LOG(INDIRECT("RawMaterials[@[Lab Unit P 1]:[Lab Unit P "&amp;RawMaterials[[#This Row],[Lab Quote Count]]&amp;"]]")),LOG(INDIRECT("RawMaterials[@[Lab Q Model Units 1]:[Lab Q Model Units "&amp;RawMaterials[[#This Row],[Lab Quote Count]]&amp;"]]"))),"")</f>
        <v/>
      </c>
      <c r="AG264" s="392" t="str">
        <f ca="1">IF(RawMaterials[[#This Row],[Lab Quote Count]]&gt;1,INTERCEPT(LOG(INDIRECT("RawMaterials[@[Lab Unit P 1]:[Lab Unit P "&amp;RawMaterials[[#This Row],[Lab Quote Count]]&amp;"]]")),LOG(INDIRECT("RawMaterials[@[Lab Q Model Units 1]:[Lab Q Model Units "&amp;RawMaterials[[#This Row],[Lab Quote Count]]&amp;"]]"))),"")</f>
        <v/>
      </c>
      <c r="AH264" s="393" t="str">
        <f>IF(RawMaterials[[#This Row],[Material Type]]="Metal Precursor","D13",IF(RawMaterials[[#This Row],[Material Type]]="Ligand","D13","D12"))</f>
        <v>D12</v>
      </c>
      <c r="AI264" s="394" t="str">
        <f ca="1">IF(RawMaterials[[#This Row],[Lab Quote Count]]&gt;1,10^RawMaterials[[#This Row],[Lab Log-Log Intercept]]*INDIRECT(RawMaterials[[#This Row],[Basis Cell]])^RawMaterials[[#This Row],[Lab Log-Log Slope]],"&gt;&gt;&gt; Enter 2 or more lab quotes &lt;&lt;&lt;")</f>
        <v>&gt;&gt;&gt; Enter 2 or more lab quotes &lt;&lt;&lt;</v>
      </c>
      <c r="AJ26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1.3668660255462408</v>
      </c>
      <c r="AL264" s="396">
        <f>IF(ISTEXT(RawMaterials[[#This Row],[Unit price in quote year]]),"Check calcs",RawMaterials[[#This Row],[Unit price in quote year]]/VLOOKUP(RawMaterials[[#This Row],[Quote Year]],ChemPPI[],14,FALSE)*VLOOKUP(BasisYear,ChemPPI[],14,FALSE))</f>
        <v>1.8551316840619969</v>
      </c>
      <c r="AM264" s="397" t="str">
        <f t="shared" si="3"/>
        <v>$/kg (2016)</v>
      </c>
    </row>
    <row r="265" spans="1:39">
      <c r="A265" s="259" t="s">
        <v>1356</v>
      </c>
      <c r="B265" s="260"/>
      <c r="C265" s="351"/>
      <c r="D265" s="351"/>
      <c r="E265" s="260">
        <v>100</v>
      </c>
      <c r="F265" s="260"/>
      <c r="G265" s="351"/>
      <c r="H265" s="351"/>
      <c r="I265" s="262"/>
      <c r="J265" s="351"/>
      <c r="K265" s="351"/>
      <c r="L265" s="351"/>
      <c r="M265" s="351"/>
      <c r="N265" s="351"/>
      <c r="O265" s="351"/>
      <c r="P265" s="261">
        <v>0.6</v>
      </c>
      <c r="Q265" s="260">
        <v>1</v>
      </c>
      <c r="R265" s="260" t="s">
        <v>20</v>
      </c>
      <c r="S265" s="260">
        <v>2006</v>
      </c>
      <c r="T265" s="260" t="s">
        <v>161</v>
      </c>
      <c r="U265" s="386">
        <v>42653</v>
      </c>
      <c r="V265" s="387"/>
      <c r="W265" s="354">
        <f>COUNT(RawMaterials[[#This Row],[Lab Quantity 1]:[Lab Quantity 4]])</f>
        <v>0</v>
      </c>
      <c r="X26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5" s="392" t="e">
        <f>RawMaterials[[#This Row],[Lab Price 1]]/RawMaterials[[#This Row],[Lab Q Model Units 1]]</f>
        <v>#N/A</v>
      </c>
      <c r="AC265" s="392" t="e">
        <f>RawMaterials[[#This Row],[Lab Price 2]]/RawMaterials[[#This Row],[Lab Q Model Units 2]]</f>
        <v>#N/A</v>
      </c>
      <c r="AD265" s="392" t="e">
        <f>RawMaterials[[#This Row],[Lab Price 3]]/RawMaterials[[#This Row],[Lab Q Model Units 3]]</f>
        <v>#N/A</v>
      </c>
      <c r="AE265" s="392" t="e">
        <f>RawMaterials[[#This Row],[Lab Price 4]]/RawMaterials[[#This Row],[Lab Q Model Units 4]]</f>
        <v>#N/A</v>
      </c>
      <c r="AF265" s="392" t="str">
        <f ca="1">IF(RawMaterials[[#This Row],[Lab Quote Count]]&gt;1,SLOPE(LOG(INDIRECT("RawMaterials[@[Lab Unit P 1]:[Lab Unit P "&amp;RawMaterials[[#This Row],[Lab Quote Count]]&amp;"]]")),LOG(INDIRECT("RawMaterials[@[Lab Q Model Units 1]:[Lab Q Model Units "&amp;RawMaterials[[#This Row],[Lab Quote Count]]&amp;"]]"))),"")</f>
        <v/>
      </c>
      <c r="AG265" s="392" t="str">
        <f ca="1">IF(RawMaterials[[#This Row],[Lab Quote Count]]&gt;1,INTERCEPT(LOG(INDIRECT("RawMaterials[@[Lab Unit P 1]:[Lab Unit P "&amp;RawMaterials[[#This Row],[Lab Quote Count]]&amp;"]]")),LOG(INDIRECT("RawMaterials[@[Lab Q Model Units 1]:[Lab Q Model Units "&amp;RawMaterials[[#This Row],[Lab Quote Count]]&amp;"]]"))),"")</f>
        <v/>
      </c>
      <c r="AH265" s="393" t="str">
        <f>IF(RawMaterials[[#This Row],[Material Type]]="Metal Precursor","D13",IF(RawMaterials[[#This Row],[Material Type]]="Ligand","D13","D12"))</f>
        <v>D12</v>
      </c>
      <c r="AI265" s="394" t="str">
        <f ca="1">IF(RawMaterials[[#This Row],[Lab Quote Count]]&gt;1,10^RawMaterials[[#This Row],[Lab Log-Log Intercept]]*INDIRECT(RawMaterials[[#This Row],[Basis Cell]])^RawMaterials[[#This Row],[Lab Log-Log Slope]],"&gt;&gt;&gt; Enter 2 or more lab quotes &lt;&lt;&lt;")</f>
        <v>&gt;&gt;&gt; Enter 2 or more lab quotes &lt;&lt;&lt;</v>
      </c>
      <c r="AJ26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1.3227735731092654</v>
      </c>
      <c r="AL265" s="396">
        <f>IF(ISTEXT(RawMaterials[[#This Row],[Unit price in quote year]]),"Check calcs",RawMaterials[[#This Row],[Unit price in quote year]]/VLOOKUP(RawMaterials[[#This Row],[Quote Year]],ChemPPI[],14,FALSE)*VLOOKUP(BasisYear,ChemPPI[],14,FALSE))</f>
        <v>1.79528872651161</v>
      </c>
      <c r="AM265" s="397" t="str">
        <f t="shared" si="3"/>
        <v>$/kg (2016)</v>
      </c>
    </row>
    <row r="266" spans="1:39">
      <c r="A266" s="259" t="s">
        <v>1357</v>
      </c>
      <c r="B266" s="260"/>
      <c r="C266" s="351"/>
      <c r="D266" s="351"/>
      <c r="E266" s="260">
        <v>100</v>
      </c>
      <c r="F266" s="260"/>
      <c r="G266" s="351"/>
      <c r="H266" s="351"/>
      <c r="I266" s="262"/>
      <c r="J266" s="351"/>
      <c r="K266" s="351"/>
      <c r="L266" s="351"/>
      <c r="M266" s="351"/>
      <c r="N266" s="351"/>
      <c r="O266" s="351"/>
      <c r="P266" s="261">
        <v>0.40625</v>
      </c>
      <c r="Q266" s="260">
        <v>1</v>
      </c>
      <c r="R266" s="260" t="s">
        <v>20</v>
      </c>
      <c r="S266" s="260">
        <v>2007</v>
      </c>
      <c r="T266" s="260" t="s">
        <v>161</v>
      </c>
      <c r="U266" s="386">
        <v>42653</v>
      </c>
      <c r="V266" s="387"/>
      <c r="W266" s="354">
        <f>COUNT(RawMaterials[[#This Row],[Lab Quantity 1]:[Lab Quantity 4]])</f>
        <v>0</v>
      </c>
      <c r="X26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6" s="392" t="e">
        <f>RawMaterials[[#This Row],[Lab Price 1]]/RawMaterials[[#This Row],[Lab Q Model Units 1]]</f>
        <v>#N/A</v>
      </c>
      <c r="AC266" s="392" t="e">
        <f>RawMaterials[[#This Row],[Lab Price 2]]/RawMaterials[[#This Row],[Lab Q Model Units 2]]</f>
        <v>#N/A</v>
      </c>
      <c r="AD266" s="392" t="e">
        <f>RawMaterials[[#This Row],[Lab Price 3]]/RawMaterials[[#This Row],[Lab Q Model Units 3]]</f>
        <v>#N/A</v>
      </c>
      <c r="AE266" s="392" t="e">
        <f>RawMaterials[[#This Row],[Lab Price 4]]/RawMaterials[[#This Row],[Lab Q Model Units 4]]</f>
        <v>#N/A</v>
      </c>
      <c r="AF266" s="392" t="str">
        <f ca="1">IF(RawMaterials[[#This Row],[Lab Quote Count]]&gt;1,SLOPE(LOG(INDIRECT("RawMaterials[@[Lab Unit P 1]:[Lab Unit P "&amp;RawMaterials[[#This Row],[Lab Quote Count]]&amp;"]]")),LOG(INDIRECT("RawMaterials[@[Lab Q Model Units 1]:[Lab Q Model Units "&amp;RawMaterials[[#This Row],[Lab Quote Count]]&amp;"]]"))),"")</f>
        <v/>
      </c>
      <c r="AG266" s="392" t="str">
        <f ca="1">IF(RawMaterials[[#This Row],[Lab Quote Count]]&gt;1,INTERCEPT(LOG(INDIRECT("RawMaterials[@[Lab Unit P 1]:[Lab Unit P "&amp;RawMaterials[[#This Row],[Lab Quote Count]]&amp;"]]")),LOG(INDIRECT("RawMaterials[@[Lab Q Model Units 1]:[Lab Q Model Units "&amp;RawMaterials[[#This Row],[Lab Quote Count]]&amp;"]]"))),"")</f>
        <v/>
      </c>
      <c r="AH266" s="393" t="str">
        <f>IF(RawMaterials[[#This Row],[Material Type]]="Metal Precursor","D13",IF(RawMaterials[[#This Row],[Material Type]]="Ligand","D13","D12"))</f>
        <v>D12</v>
      </c>
      <c r="AI266" s="394" t="str">
        <f ca="1">IF(RawMaterials[[#This Row],[Lab Quote Count]]&gt;1,10^RawMaterials[[#This Row],[Lab Log-Log Intercept]]*INDIRECT(RawMaterials[[#This Row],[Basis Cell]])^RawMaterials[[#This Row],[Lab Log-Log Slope]],"&gt;&gt;&gt; Enter 2 or more lab quotes &lt;&lt;&lt;")</f>
        <v>&gt;&gt;&gt; Enter 2 or more lab quotes &lt;&lt;&lt;</v>
      </c>
      <c r="AJ26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0.89562794012606517</v>
      </c>
      <c r="AL266" s="396">
        <f>IF(ISTEXT(RawMaterials[[#This Row],[Unit price in quote year]]),"Check calcs",RawMaterials[[#This Row],[Unit price in quote year]]/VLOOKUP(RawMaterials[[#This Row],[Quote Year]],ChemPPI[],14,FALSE)*VLOOKUP(BasisYear,ChemPPI[],14,FALSE))</f>
        <v>1.1764545197705274</v>
      </c>
      <c r="AM266" s="397" t="str">
        <f t="shared" si="3"/>
        <v>$/kg (2016)</v>
      </c>
    </row>
    <row r="267" spans="1:39">
      <c r="A267" s="259" t="s">
        <v>1358</v>
      </c>
      <c r="B267" s="260"/>
      <c r="C267" s="351"/>
      <c r="D267" s="351"/>
      <c r="E267" s="260">
        <v>100</v>
      </c>
      <c r="F267" s="260"/>
      <c r="G267" s="351"/>
      <c r="H267" s="351"/>
      <c r="I267" s="262"/>
      <c r="J267" s="351"/>
      <c r="K267" s="351"/>
      <c r="L267" s="351"/>
      <c r="M267" s="351"/>
      <c r="N267" s="351"/>
      <c r="O267" s="351"/>
      <c r="P267" s="261">
        <v>0.68500000000000005</v>
      </c>
      <c r="Q267" s="260">
        <v>1</v>
      </c>
      <c r="R267" s="260" t="s">
        <v>20</v>
      </c>
      <c r="S267" s="260">
        <v>2006</v>
      </c>
      <c r="T267" s="260" t="s">
        <v>161</v>
      </c>
      <c r="U267" s="386">
        <v>42653</v>
      </c>
      <c r="V267" s="387"/>
      <c r="W267" s="354">
        <f>COUNT(RawMaterials[[#This Row],[Lab Quantity 1]:[Lab Quantity 4]])</f>
        <v>0</v>
      </c>
      <c r="X26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7" s="392" t="e">
        <f>RawMaterials[[#This Row],[Lab Price 1]]/RawMaterials[[#This Row],[Lab Q Model Units 1]]</f>
        <v>#N/A</v>
      </c>
      <c r="AC267" s="392" t="e">
        <f>RawMaterials[[#This Row],[Lab Price 2]]/RawMaterials[[#This Row],[Lab Q Model Units 2]]</f>
        <v>#N/A</v>
      </c>
      <c r="AD267" s="392" t="e">
        <f>RawMaterials[[#This Row],[Lab Price 3]]/RawMaterials[[#This Row],[Lab Q Model Units 3]]</f>
        <v>#N/A</v>
      </c>
      <c r="AE267" s="392" t="e">
        <f>RawMaterials[[#This Row],[Lab Price 4]]/RawMaterials[[#This Row],[Lab Q Model Units 4]]</f>
        <v>#N/A</v>
      </c>
      <c r="AF267" s="392" t="str">
        <f ca="1">IF(RawMaterials[[#This Row],[Lab Quote Count]]&gt;1,SLOPE(LOG(INDIRECT("RawMaterials[@[Lab Unit P 1]:[Lab Unit P "&amp;RawMaterials[[#This Row],[Lab Quote Count]]&amp;"]]")),LOG(INDIRECT("RawMaterials[@[Lab Q Model Units 1]:[Lab Q Model Units "&amp;RawMaterials[[#This Row],[Lab Quote Count]]&amp;"]]"))),"")</f>
        <v/>
      </c>
      <c r="AG267" s="392" t="str">
        <f ca="1">IF(RawMaterials[[#This Row],[Lab Quote Count]]&gt;1,INTERCEPT(LOG(INDIRECT("RawMaterials[@[Lab Unit P 1]:[Lab Unit P "&amp;RawMaterials[[#This Row],[Lab Quote Count]]&amp;"]]")),LOG(INDIRECT("RawMaterials[@[Lab Q Model Units 1]:[Lab Q Model Units "&amp;RawMaterials[[#This Row],[Lab Quote Count]]&amp;"]]"))),"")</f>
        <v/>
      </c>
      <c r="AH267" s="393" t="str">
        <f>IF(RawMaterials[[#This Row],[Material Type]]="Metal Precursor","D13",IF(RawMaterials[[#This Row],[Material Type]]="Ligand","D13","D12"))</f>
        <v>D12</v>
      </c>
      <c r="AI267" s="394" t="str">
        <f ca="1">IF(RawMaterials[[#This Row],[Lab Quote Count]]&gt;1,10^RawMaterials[[#This Row],[Lab Log-Log Intercept]]*INDIRECT(RawMaterials[[#This Row],[Basis Cell]])^RawMaterials[[#This Row],[Lab Log-Log Slope]],"&gt;&gt;&gt; Enter 2 or more lab quotes &lt;&lt;&lt;")</f>
        <v>&gt;&gt;&gt; Enter 2 or more lab quotes &lt;&lt;&lt;</v>
      </c>
      <c r="AJ26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1.5101664959664114</v>
      </c>
      <c r="AL267" s="396">
        <f>IF(ISTEXT(RawMaterials[[#This Row],[Unit price in quote year]]),"Check calcs",RawMaterials[[#This Row],[Unit price in quote year]]/VLOOKUP(RawMaterials[[#This Row],[Quote Year]],ChemPPI[],14,FALSE)*VLOOKUP(BasisYear,ChemPPI[],14,FALSE))</f>
        <v>2.0496212961007547</v>
      </c>
      <c r="AM267" s="397" t="str">
        <f t="shared" si="3"/>
        <v>$/kg (2016)</v>
      </c>
    </row>
    <row r="268" spans="1:39">
      <c r="A268" s="259" t="s">
        <v>1359</v>
      </c>
      <c r="B268" s="260"/>
      <c r="C268" s="351"/>
      <c r="D268" s="351"/>
      <c r="E268" s="260">
        <v>100</v>
      </c>
      <c r="F268" s="260"/>
      <c r="G268" s="351"/>
      <c r="H268" s="351"/>
      <c r="I268" s="262"/>
      <c r="J268" s="351"/>
      <c r="K268" s="351"/>
      <c r="L268" s="351"/>
      <c r="M268" s="351"/>
      <c r="N268" s="351"/>
      <c r="O268" s="351"/>
      <c r="P268" s="261">
        <v>0.65999999999999903</v>
      </c>
      <c r="Q268" s="260">
        <v>1</v>
      </c>
      <c r="R268" s="260" t="s">
        <v>20</v>
      </c>
      <c r="S268" s="260">
        <v>2006</v>
      </c>
      <c r="T268" s="260" t="s">
        <v>161</v>
      </c>
      <c r="U268" s="386">
        <v>42653</v>
      </c>
      <c r="V268" s="387"/>
      <c r="W268" s="354">
        <f>COUNT(RawMaterials[[#This Row],[Lab Quantity 1]:[Lab Quantity 4]])</f>
        <v>0</v>
      </c>
      <c r="X26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8" s="392" t="e">
        <f>RawMaterials[[#This Row],[Lab Price 1]]/RawMaterials[[#This Row],[Lab Q Model Units 1]]</f>
        <v>#N/A</v>
      </c>
      <c r="AC268" s="392" t="e">
        <f>RawMaterials[[#This Row],[Lab Price 2]]/RawMaterials[[#This Row],[Lab Q Model Units 2]]</f>
        <v>#N/A</v>
      </c>
      <c r="AD268" s="392" t="e">
        <f>RawMaterials[[#This Row],[Lab Price 3]]/RawMaterials[[#This Row],[Lab Q Model Units 3]]</f>
        <v>#N/A</v>
      </c>
      <c r="AE268" s="392" t="e">
        <f>RawMaterials[[#This Row],[Lab Price 4]]/RawMaterials[[#This Row],[Lab Q Model Units 4]]</f>
        <v>#N/A</v>
      </c>
      <c r="AF268" s="392" t="str">
        <f ca="1">IF(RawMaterials[[#This Row],[Lab Quote Count]]&gt;1,SLOPE(LOG(INDIRECT("RawMaterials[@[Lab Unit P 1]:[Lab Unit P "&amp;RawMaterials[[#This Row],[Lab Quote Count]]&amp;"]]")),LOG(INDIRECT("RawMaterials[@[Lab Q Model Units 1]:[Lab Q Model Units "&amp;RawMaterials[[#This Row],[Lab Quote Count]]&amp;"]]"))),"")</f>
        <v/>
      </c>
      <c r="AG268" s="392" t="str">
        <f ca="1">IF(RawMaterials[[#This Row],[Lab Quote Count]]&gt;1,INTERCEPT(LOG(INDIRECT("RawMaterials[@[Lab Unit P 1]:[Lab Unit P "&amp;RawMaterials[[#This Row],[Lab Quote Count]]&amp;"]]")),LOG(INDIRECT("RawMaterials[@[Lab Q Model Units 1]:[Lab Q Model Units "&amp;RawMaterials[[#This Row],[Lab Quote Count]]&amp;"]]"))),"")</f>
        <v/>
      </c>
      <c r="AH268" s="393" t="str">
        <f>IF(RawMaterials[[#This Row],[Material Type]]="Metal Precursor","D13",IF(RawMaterials[[#This Row],[Material Type]]="Ligand","D13","D12"))</f>
        <v>D12</v>
      </c>
      <c r="AI268" s="394" t="str">
        <f ca="1">IF(RawMaterials[[#This Row],[Lab Quote Count]]&gt;1,10^RawMaterials[[#This Row],[Lab Log-Log Intercept]]*INDIRECT(RawMaterials[[#This Row],[Basis Cell]])^RawMaterials[[#This Row],[Lab Log-Log Slope]],"&gt;&gt;&gt; Enter 2 or more lab quotes &lt;&lt;&lt;")</f>
        <v>&gt;&gt;&gt; Enter 2 or more lab quotes &lt;&lt;&lt;</v>
      </c>
      <c r="AJ26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1.4550509304201897</v>
      </c>
      <c r="AL268" s="396">
        <f>IF(ISTEXT(RawMaterials[[#This Row],[Unit price in quote year]]),"Check calcs",RawMaterials[[#This Row],[Unit price in quote year]]/VLOOKUP(RawMaterials[[#This Row],[Quote Year]],ChemPPI[],14,FALSE)*VLOOKUP(BasisYear,ChemPPI[],14,FALSE))</f>
        <v>1.9748175991627681</v>
      </c>
      <c r="AM268" s="397" t="str">
        <f t="shared" si="3"/>
        <v>$/kg (2016)</v>
      </c>
    </row>
    <row r="269" spans="1:39">
      <c r="A269" s="259" t="s">
        <v>1360</v>
      </c>
      <c r="B269" s="260"/>
      <c r="C269" s="351"/>
      <c r="D269" s="351"/>
      <c r="E269" s="260">
        <v>100</v>
      </c>
      <c r="F269" s="260"/>
      <c r="G269" s="351"/>
      <c r="H269" s="351"/>
      <c r="I269" s="262"/>
      <c r="J269" s="351"/>
      <c r="K269" s="351"/>
      <c r="L269" s="351"/>
      <c r="M269" s="351"/>
      <c r="N269" s="351"/>
      <c r="O269" s="351"/>
      <c r="P269" s="261">
        <v>70</v>
      </c>
      <c r="Q269" s="260">
        <v>1</v>
      </c>
      <c r="R269" s="260" t="s">
        <v>401</v>
      </c>
      <c r="S269" s="260">
        <v>2006</v>
      </c>
      <c r="T269" s="260" t="s">
        <v>161</v>
      </c>
      <c r="U269" s="386">
        <v>42653</v>
      </c>
      <c r="V269" s="387"/>
      <c r="W269" s="354">
        <f>COUNT(RawMaterials[[#This Row],[Lab Quantity 1]:[Lab Quantity 4]])</f>
        <v>0</v>
      </c>
      <c r="X26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9" s="392" t="e">
        <f>RawMaterials[[#This Row],[Lab Price 1]]/RawMaterials[[#This Row],[Lab Q Model Units 1]]</f>
        <v>#N/A</v>
      </c>
      <c r="AC269" s="392" t="e">
        <f>RawMaterials[[#This Row],[Lab Price 2]]/RawMaterials[[#This Row],[Lab Q Model Units 2]]</f>
        <v>#N/A</v>
      </c>
      <c r="AD269" s="392" t="e">
        <f>RawMaterials[[#This Row],[Lab Price 3]]/RawMaterials[[#This Row],[Lab Q Model Units 3]]</f>
        <v>#N/A</v>
      </c>
      <c r="AE269" s="392" t="e">
        <f>RawMaterials[[#This Row],[Lab Price 4]]/RawMaterials[[#This Row],[Lab Q Model Units 4]]</f>
        <v>#N/A</v>
      </c>
      <c r="AF269" s="392" t="str">
        <f ca="1">IF(RawMaterials[[#This Row],[Lab Quote Count]]&gt;1,SLOPE(LOG(INDIRECT("RawMaterials[@[Lab Unit P 1]:[Lab Unit P "&amp;RawMaterials[[#This Row],[Lab Quote Count]]&amp;"]]")),LOG(INDIRECT("RawMaterials[@[Lab Q Model Units 1]:[Lab Q Model Units "&amp;RawMaterials[[#This Row],[Lab Quote Count]]&amp;"]]"))),"")</f>
        <v/>
      </c>
      <c r="AG269" s="392" t="str">
        <f ca="1">IF(RawMaterials[[#This Row],[Lab Quote Count]]&gt;1,INTERCEPT(LOG(INDIRECT("RawMaterials[@[Lab Unit P 1]:[Lab Unit P "&amp;RawMaterials[[#This Row],[Lab Quote Count]]&amp;"]]")),LOG(INDIRECT("RawMaterials[@[Lab Q Model Units 1]:[Lab Q Model Units "&amp;RawMaterials[[#This Row],[Lab Quote Count]]&amp;"]]"))),"")</f>
        <v/>
      </c>
      <c r="AH269" s="393" t="str">
        <f>IF(RawMaterials[[#This Row],[Material Type]]="Metal Precursor","D13",IF(RawMaterials[[#This Row],[Material Type]]="Ligand","D13","D12"))</f>
        <v>D12</v>
      </c>
      <c r="AI269" s="394" t="str">
        <f ca="1">IF(RawMaterials[[#This Row],[Lab Quote Count]]&gt;1,10^RawMaterials[[#This Row],[Lab Log-Log Intercept]]*INDIRECT(RawMaterials[[#This Row],[Basis Cell]])^RawMaterials[[#This Row],[Lab Log-Log Slope]],"&gt;&gt;&gt; Enter 2 or more lab quotes &lt;&lt;&lt;")</f>
        <v>&gt;&gt;&gt; Enter 2 or more lab quotes &lt;&lt;&lt;</v>
      </c>
      <c r="AJ26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6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7.7161791764707152E-2</v>
      </c>
      <c r="AL269" s="396">
        <f>IF(ISTEXT(RawMaterials[[#This Row],[Unit price in quote year]]),"Check calcs",RawMaterials[[#This Row],[Unit price in quote year]]/VLOOKUP(RawMaterials[[#This Row],[Quote Year]],ChemPPI[],14,FALSE)*VLOOKUP(BasisYear,ChemPPI[],14,FALSE))</f>
        <v>0.10472517571317726</v>
      </c>
      <c r="AM269" s="397" t="str">
        <f t="shared" si="3"/>
        <v>$/kg (2016)</v>
      </c>
    </row>
    <row r="270" spans="1:39">
      <c r="A270" s="259" t="s">
        <v>1361</v>
      </c>
      <c r="B270" s="260"/>
      <c r="C270" s="351"/>
      <c r="D270" s="351"/>
      <c r="E270" s="260">
        <v>100</v>
      </c>
      <c r="F270" s="260"/>
      <c r="G270" s="351"/>
      <c r="H270" s="351"/>
      <c r="I270" s="262"/>
      <c r="J270" s="351"/>
      <c r="K270" s="351"/>
      <c r="L270" s="351"/>
      <c r="M270" s="351"/>
      <c r="N270" s="351"/>
      <c r="O270" s="351"/>
      <c r="P270" s="261">
        <v>61</v>
      </c>
      <c r="Q270" s="260">
        <v>1</v>
      </c>
      <c r="R270" s="260" t="s">
        <v>401</v>
      </c>
      <c r="S270" s="260">
        <v>2006</v>
      </c>
      <c r="T270" s="260" t="s">
        <v>161</v>
      </c>
      <c r="U270" s="386">
        <v>42653</v>
      </c>
      <c r="V270" s="387"/>
      <c r="W270" s="354">
        <f>COUNT(RawMaterials[[#This Row],[Lab Quantity 1]:[Lab Quantity 4]])</f>
        <v>0</v>
      </c>
      <c r="X27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0" s="392" t="e">
        <f>RawMaterials[[#This Row],[Lab Price 1]]/RawMaterials[[#This Row],[Lab Q Model Units 1]]</f>
        <v>#N/A</v>
      </c>
      <c r="AC270" s="392" t="e">
        <f>RawMaterials[[#This Row],[Lab Price 2]]/RawMaterials[[#This Row],[Lab Q Model Units 2]]</f>
        <v>#N/A</v>
      </c>
      <c r="AD270" s="392" t="e">
        <f>RawMaterials[[#This Row],[Lab Price 3]]/RawMaterials[[#This Row],[Lab Q Model Units 3]]</f>
        <v>#N/A</v>
      </c>
      <c r="AE270" s="392" t="e">
        <f>RawMaterials[[#This Row],[Lab Price 4]]/RawMaterials[[#This Row],[Lab Q Model Units 4]]</f>
        <v>#N/A</v>
      </c>
      <c r="AF270" s="392" t="str">
        <f ca="1">IF(RawMaterials[[#This Row],[Lab Quote Count]]&gt;1,SLOPE(LOG(INDIRECT("RawMaterials[@[Lab Unit P 1]:[Lab Unit P "&amp;RawMaterials[[#This Row],[Lab Quote Count]]&amp;"]]")),LOG(INDIRECT("RawMaterials[@[Lab Q Model Units 1]:[Lab Q Model Units "&amp;RawMaterials[[#This Row],[Lab Quote Count]]&amp;"]]"))),"")</f>
        <v/>
      </c>
      <c r="AG270" s="392" t="str">
        <f ca="1">IF(RawMaterials[[#This Row],[Lab Quote Count]]&gt;1,INTERCEPT(LOG(INDIRECT("RawMaterials[@[Lab Unit P 1]:[Lab Unit P "&amp;RawMaterials[[#This Row],[Lab Quote Count]]&amp;"]]")),LOG(INDIRECT("RawMaterials[@[Lab Q Model Units 1]:[Lab Q Model Units "&amp;RawMaterials[[#This Row],[Lab Quote Count]]&amp;"]]"))),"")</f>
        <v/>
      </c>
      <c r="AH270" s="393" t="str">
        <f>IF(RawMaterials[[#This Row],[Material Type]]="Metal Precursor","D13",IF(RawMaterials[[#This Row],[Material Type]]="Ligand","D13","D12"))</f>
        <v>D12</v>
      </c>
      <c r="AI270" s="394" t="str">
        <f ca="1">IF(RawMaterials[[#This Row],[Lab Quote Count]]&gt;1,10^RawMaterials[[#This Row],[Lab Log-Log Intercept]]*INDIRECT(RawMaterials[[#This Row],[Basis Cell]])^RawMaterials[[#This Row],[Lab Log-Log Slope]],"&gt;&gt;&gt; Enter 2 or more lab quotes &lt;&lt;&lt;")</f>
        <v>&gt;&gt;&gt; Enter 2 or more lab quotes &lt;&lt;&lt;</v>
      </c>
      <c r="AJ27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6.7240989966387665E-2</v>
      </c>
      <c r="AL270" s="396">
        <f>IF(ISTEXT(RawMaterials[[#This Row],[Unit price in quote year]]),"Check calcs",RawMaterials[[#This Row],[Unit price in quote year]]/VLOOKUP(RawMaterials[[#This Row],[Quote Year]],ChemPPI[],14,FALSE)*VLOOKUP(BasisYear,ChemPPI[],14,FALSE))</f>
        <v>9.1260510264340192E-2</v>
      </c>
      <c r="AM270" s="397" t="str">
        <f t="shared" si="3"/>
        <v>$/kg (2016)</v>
      </c>
    </row>
    <row r="271" spans="1:39">
      <c r="A271" s="259" t="s">
        <v>1362</v>
      </c>
      <c r="B271" s="260"/>
      <c r="C271" s="351"/>
      <c r="D271" s="351"/>
      <c r="E271" s="260">
        <v>100</v>
      </c>
      <c r="F271" s="260"/>
      <c r="G271" s="351"/>
      <c r="H271" s="351"/>
      <c r="I271" s="262"/>
      <c r="J271" s="351"/>
      <c r="K271" s="351"/>
      <c r="L271" s="351"/>
      <c r="M271" s="351"/>
      <c r="N271" s="351"/>
      <c r="O271" s="351"/>
      <c r="P271" s="261">
        <v>69.5</v>
      </c>
      <c r="Q271" s="260">
        <v>1</v>
      </c>
      <c r="R271" s="260" t="s">
        <v>401</v>
      </c>
      <c r="S271" s="260">
        <v>2006</v>
      </c>
      <c r="T271" s="260" t="s">
        <v>161</v>
      </c>
      <c r="U271" s="386">
        <v>42653</v>
      </c>
      <c r="V271" s="387"/>
      <c r="W271" s="354">
        <f>COUNT(RawMaterials[[#This Row],[Lab Quantity 1]:[Lab Quantity 4]])</f>
        <v>0</v>
      </c>
      <c r="X27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1" s="392" t="e">
        <f>RawMaterials[[#This Row],[Lab Price 1]]/RawMaterials[[#This Row],[Lab Q Model Units 1]]</f>
        <v>#N/A</v>
      </c>
      <c r="AC271" s="392" t="e">
        <f>RawMaterials[[#This Row],[Lab Price 2]]/RawMaterials[[#This Row],[Lab Q Model Units 2]]</f>
        <v>#N/A</v>
      </c>
      <c r="AD271" s="392" t="e">
        <f>RawMaterials[[#This Row],[Lab Price 3]]/RawMaterials[[#This Row],[Lab Q Model Units 3]]</f>
        <v>#N/A</v>
      </c>
      <c r="AE271" s="392" t="e">
        <f>RawMaterials[[#This Row],[Lab Price 4]]/RawMaterials[[#This Row],[Lab Q Model Units 4]]</f>
        <v>#N/A</v>
      </c>
      <c r="AF271" s="392" t="str">
        <f ca="1">IF(RawMaterials[[#This Row],[Lab Quote Count]]&gt;1,SLOPE(LOG(INDIRECT("RawMaterials[@[Lab Unit P 1]:[Lab Unit P "&amp;RawMaterials[[#This Row],[Lab Quote Count]]&amp;"]]")),LOG(INDIRECT("RawMaterials[@[Lab Q Model Units 1]:[Lab Q Model Units "&amp;RawMaterials[[#This Row],[Lab Quote Count]]&amp;"]]"))),"")</f>
        <v/>
      </c>
      <c r="AG271" s="392" t="str">
        <f ca="1">IF(RawMaterials[[#This Row],[Lab Quote Count]]&gt;1,INTERCEPT(LOG(INDIRECT("RawMaterials[@[Lab Unit P 1]:[Lab Unit P "&amp;RawMaterials[[#This Row],[Lab Quote Count]]&amp;"]]")),LOG(INDIRECT("RawMaterials[@[Lab Q Model Units 1]:[Lab Q Model Units "&amp;RawMaterials[[#This Row],[Lab Quote Count]]&amp;"]]"))),"")</f>
        <v/>
      </c>
      <c r="AH271" s="393" t="str">
        <f>IF(RawMaterials[[#This Row],[Material Type]]="Metal Precursor","D13",IF(RawMaterials[[#This Row],[Material Type]]="Ligand","D13","D12"))</f>
        <v>D12</v>
      </c>
      <c r="AI271" s="394" t="str">
        <f ca="1">IF(RawMaterials[[#This Row],[Lab Quote Count]]&gt;1,10^RawMaterials[[#This Row],[Lab Log-Log Intercept]]*INDIRECT(RawMaterials[[#This Row],[Basis Cell]])^RawMaterials[[#This Row],[Lab Log-Log Slope]],"&gt;&gt;&gt; Enter 2 or more lab quotes &lt;&lt;&lt;")</f>
        <v>&gt;&gt;&gt; Enter 2 or more lab quotes &lt;&lt;&lt;</v>
      </c>
      <c r="AJ27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7.6610636109244956E-2</v>
      </c>
      <c r="AL271" s="396">
        <f>IF(ISTEXT(RawMaterials[[#This Row],[Unit price in quote year]]),"Check calcs",RawMaterials[[#This Row],[Unit price in quote year]]/VLOOKUP(RawMaterials[[#This Row],[Quote Year]],ChemPPI[],14,FALSE)*VLOOKUP(BasisYear,ChemPPI[],14,FALSE))</f>
        <v>0.10397713874379741</v>
      </c>
      <c r="AM271" s="397" t="str">
        <f t="shared" si="3"/>
        <v>$/kg (2016)</v>
      </c>
    </row>
    <row r="272" spans="1:39">
      <c r="A272" s="259" t="s">
        <v>1363</v>
      </c>
      <c r="B272" s="260"/>
      <c r="C272" s="351"/>
      <c r="D272" s="351"/>
      <c r="E272" s="260">
        <v>100</v>
      </c>
      <c r="F272" s="260"/>
      <c r="G272" s="351"/>
      <c r="H272" s="351"/>
      <c r="I272" s="262"/>
      <c r="J272" s="351"/>
      <c r="K272" s="351"/>
      <c r="L272" s="351"/>
      <c r="M272" s="351"/>
      <c r="N272" s="351"/>
      <c r="O272" s="351"/>
      <c r="P272" s="261">
        <v>0.47</v>
      </c>
      <c r="Q272" s="260">
        <v>1</v>
      </c>
      <c r="R272" s="260" t="s">
        <v>20</v>
      </c>
      <c r="S272" s="260">
        <v>2006</v>
      </c>
      <c r="T272" s="260" t="s">
        <v>161</v>
      </c>
      <c r="U272" s="386">
        <v>42653</v>
      </c>
      <c r="V272" s="387"/>
      <c r="W272" s="354">
        <f>COUNT(RawMaterials[[#This Row],[Lab Quantity 1]:[Lab Quantity 4]])</f>
        <v>0</v>
      </c>
      <c r="X27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2" s="392" t="e">
        <f>RawMaterials[[#This Row],[Lab Price 1]]/RawMaterials[[#This Row],[Lab Q Model Units 1]]</f>
        <v>#N/A</v>
      </c>
      <c r="AC272" s="392" t="e">
        <f>RawMaterials[[#This Row],[Lab Price 2]]/RawMaterials[[#This Row],[Lab Q Model Units 2]]</f>
        <v>#N/A</v>
      </c>
      <c r="AD272" s="392" t="e">
        <f>RawMaterials[[#This Row],[Lab Price 3]]/RawMaterials[[#This Row],[Lab Q Model Units 3]]</f>
        <v>#N/A</v>
      </c>
      <c r="AE272" s="392" t="e">
        <f>RawMaterials[[#This Row],[Lab Price 4]]/RawMaterials[[#This Row],[Lab Q Model Units 4]]</f>
        <v>#N/A</v>
      </c>
      <c r="AF272" s="392" t="str">
        <f ca="1">IF(RawMaterials[[#This Row],[Lab Quote Count]]&gt;1,SLOPE(LOG(INDIRECT("RawMaterials[@[Lab Unit P 1]:[Lab Unit P "&amp;RawMaterials[[#This Row],[Lab Quote Count]]&amp;"]]")),LOG(INDIRECT("RawMaterials[@[Lab Q Model Units 1]:[Lab Q Model Units "&amp;RawMaterials[[#This Row],[Lab Quote Count]]&amp;"]]"))),"")</f>
        <v/>
      </c>
      <c r="AG272" s="392" t="str">
        <f ca="1">IF(RawMaterials[[#This Row],[Lab Quote Count]]&gt;1,INTERCEPT(LOG(INDIRECT("RawMaterials[@[Lab Unit P 1]:[Lab Unit P "&amp;RawMaterials[[#This Row],[Lab Quote Count]]&amp;"]]")),LOG(INDIRECT("RawMaterials[@[Lab Q Model Units 1]:[Lab Q Model Units "&amp;RawMaterials[[#This Row],[Lab Quote Count]]&amp;"]]"))),"")</f>
        <v/>
      </c>
      <c r="AH272" s="393" t="str">
        <f>IF(RawMaterials[[#This Row],[Material Type]]="Metal Precursor","D13",IF(RawMaterials[[#This Row],[Material Type]]="Ligand","D13","D12"))</f>
        <v>D12</v>
      </c>
      <c r="AI272" s="394" t="str">
        <f ca="1">IF(RawMaterials[[#This Row],[Lab Quote Count]]&gt;1,10^RawMaterials[[#This Row],[Lab Log-Log Intercept]]*INDIRECT(RawMaterials[[#This Row],[Basis Cell]])^RawMaterials[[#This Row],[Lab Log-Log Slope]],"&gt;&gt;&gt; Enter 2 or more lab quotes &lt;&lt;&lt;")</f>
        <v>&gt;&gt;&gt; Enter 2 or more lab quotes &lt;&lt;&lt;</v>
      </c>
      <c r="AJ27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1.0361726322689244</v>
      </c>
      <c r="AL272" s="396">
        <f>IF(ISTEXT(RawMaterials[[#This Row],[Unit price in quote year]]),"Check calcs",RawMaterials[[#This Row],[Unit price in quote year]]/VLOOKUP(RawMaterials[[#This Row],[Quote Year]],ChemPPI[],14,FALSE)*VLOOKUP(BasisYear,ChemPPI[],14,FALSE))</f>
        <v>1.4063095024340944</v>
      </c>
      <c r="AM272" s="397" t="str">
        <f t="shared" ref="AM272:AM335" si="4">CurrencySymbol&amp;"/"&amp;OutMassUnit&amp;" ("&amp;BasisYear&amp;")"</f>
        <v>$/kg (2016)</v>
      </c>
    </row>
    <row r="273" spans="1:39">
      <c r="A273" s="259" t="s">
        <v>1364</v>
      </c>
      <c r="B273" s="260"/>
      <c r="C273" s="351"/>
      <c r="D273" s="351"/>
      <c r="E273" s="260">
        <v>100</v>
      </c>
      <c r="F273" s="260"/>
      <c r="G273" s="351"/>
      <c r="H273" s="351"/>
      <c r="I273" s="262"/>
      <c r="J273" s="351"/>
      <c r="K273" s="351"/>
      <c r="L273" s="351"/>
      <c r="M273" s="351"/>
      <c r="N273" s="351"/>
      <c r="O273" s="351"/>
      <c r="P273" s="261">
        <v>0.52500000000000002</v>
      </c>
      <c r="Q273" s="260">
        <v>1</v>
      </c>
      <c r="R273" s="260" t="s">
        <v>20</v>
      </c>
      <c r="S273" s="260">
        <v>2006</v>
      </c>
      <c r="T273" s="260" t="s">
        <v>161</v>
      </c>
      <c r="U273" s="386">
        <v>42653</v>
      </c>
      <c r="V273" s="387"/>
      <c r="W273" s="354">
        <f>COUNT(RawMaterials[[#This Row],[Lab Quantity 1]:[Lab Quantity 4]])</f>
        <v>0</v>
      </c>
      <c r="X27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3" s="392" t="e">
        <f>RawMaterials[[#This Row],[Lab Price 1]]/RawMaterials[[#This Row],[Lab Q Model Units 1]]</f>
        <v>#N/A</v>
      </c>
      <c r="AC273" s="392" t="e">
        <f>RawMaterials[[#This Row],[Lab Price 2]]/RawMaterials[[#This Row],[Lab Q Model Units 2]]</f>
        <v>#N/A</v>
      </c>
      <c r="AD273" s="392" t="e">
        <f>RawMaterials[[#This Row],[Lab Price 3]]/RawMaterials[[#This Row],[Lab Q Model Units 3]]</f>
        <v>#N/A</v>
      </c>
      <c r="AE273" s="392" t="e">
        <f>RawMaterials[[#This Row],[Lab Price 4]]/RawMaterials[[#This Row],[Lab Q Model Units 4]]</f>
        <v>#N/A</v>
      </c>
      <c r="AF273" s="392" t="str">
        <f ca="1">IF(RawMaterials[[#This Row],[Lab Quote Count]]&gt;1,SLOPE(LOG(INDIRECT("RawMaterials[@[Lab Unit P 1]:[Lab Unit P "&amp;RawMaterials[[#This Row],[Lab Quote Count]]&amp;"]]")),LOG(INDIRECT("RawMaterials[@[Lab Q Model Units 1]:[Lab Q Model Units "&amp;RawMaterials[[#This Row],[Lab Quote Count]]&amp;"]]"))),"")</f>
        <v/>
      </c>
      <c r="AG273" s="392" t="str">
        <f ca="1">IF(RawMaterials[[#This Row],[Lab Quote Count]]&gt;1,INTERCEPT(LOG(INDIRECT("RawMaterials[@[Lab Unit P 1]:[Lab Unit P "&amp;RawMaterials[[#This Row],[Lab Quote Count]]&amp;"]]")),LOG(INDIRECT("RawMaterials[@[Lab Q Model Units 1]:[Lab Q Model Units "&amp;RawMaterials[[#This Row],[Lab Quote Count]]&amp;"]]"))),"")</f>
        <v/>
      </c>
      <c r="AH273" s="393" t="str">
        <f>IF(RawMaterials[[#This Row],[Material Type]]="Metal Precursor","D13",IF(RawMaterials[[#This Row],[Material Type]]="Ligand","D13","D12"))</f>
        <v>D12</v>
      </c>
      <c r="AI273" s="394" t="str">
        <f ca="1">IF(RawMaterials[[#This Row],[Lab Quote Count]]&gt;1,10^RawMaterials[[#This Row],[Lab Log-Log Intercept]]*INDIRECT(RawMaterials[[#This Row],[Basis Cell]])^RawMaterials[[#This Row],[Lab Log-Log Slope]],"&gt;&gt;&gt; Enter 2 or more lab quotes &lt;&lt;&lt;")</f>
        <v>&gt;&gt;&gt; Enter 2 or more lab quotes &lt;&lt;&lt;</v>
      </c>
      <c r="AJ27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1.1574268764706073</v>
      </c>
      <c r="AL273" s="396">
        <f>IF(ISTEXT(RawMaterials[[#This Row],[Unit price in quote year]]),"Check calcs",RawMaterials[[#This Row],[Unit price in quote year]]/VLOOKUP(RawMaterials[[#This Row],[Quote Year]],ChemPPI[],14,FALSE)*VLOOKUP(BasisYear,ChemPPI[],14,FALSE))</f>
        <v>1.5708776356976588</v>
      </c>
      <c r="AM273" s="397" t="str">
        <f t="shared" si="4"/>
        <v>$/kg (2016)</v>
      </c>
    </row>
    <row r="274" spans="1:39">
      <c r="A274" s="259" t="s">
        <v>1365</v>
      </c>
      <c r="B274" s="260"/>
      <c r="C274" s="351"/>
      <c r="D274" s="351"/>
      <c r="E274" s="260">
        <v>100</v>
      </c>
      <c r="F274" s="260"/>
      <c r="G274" s="351"/>
      <c r="H274" s="351"/>
      <c r="I274" s="262"/>
      <c r="J274" s="351"/>
      <c r="K274" s="351"/>
      <c r="L274" s="351"/>
      <c r="M274" s="351"/>
      <c r="N274" s="351"/>
      <c r="O274" s="351"/>
      <c r="P274" s="261">
        <v>0.49</v>
      </c>
      <c r="Q274" s="260">
        <v>1</v>
      </c>
      <c r="R274" s="260" t="s">
        <v>20</v>
      </c>
      <c r="S274" s="260">
        <v>2007</v>
      </c>
      <c r="T274" s="260" t="s">
        <v>161</v>
      </c>
      <c r="U274" s="386">
        <v>42653</v>
      </c>
      <c r="V274" s="387"/>
      <c r="W274" s="354">
        <f>COUNT(RawMaterials[[#This Row],[Lab Quantity 1]:[Lab Quantity 4]])</f>
        <v>0</v>
      </c>
      <c r="X27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4" s="392" t="e">
        <f>RawMaterials[[#This Row],[Lab Price 1]]/RawMaterials[[#This Row],[Lab Q Model Units 1]]</f>
        <v>#N/A</v>
      </c>
      <c r="AC274" s="392" t="e">
        <f>RawMaterials[[#This Row],[Lab Price 2]]/RawMaterials[[#This Row],[Lab Q Model Units 2]]</f>
        <v>#N/A</v>
      </c>
      <c r="AD274" s="392" t="e">
        <f>RawMaterials[[#This Row],[Lab Price 3]]/RawMaterials[[#This Row],[Lab Q Model Units 3]]</f>
        <v>#N/A</v>
      </c>
      <c r="AE274" s="392" t="e">
        <f>RawMaterials[[#This Row],[Lab Price 4]]/RawMaterials[[#This Row],[Lab Q Model Units 4]]</f>
        <v>#N/A</v>
      </c>
      <c r="AF274" s="392" t="str">
        <f ca="1">IF(RawMaterials[[#This Row],[Lab Quote Count]]&gt;1,SLOPE(LOG(INDIRECT("RawMaterials[@[Lab Unit P 1]:[Lab Unit P "&amp;RawMaterials[[#This Row],[Lab Quote Count]]&amp;"]]")),LOG(INDIRECT("RawMaterials[@[Lab Q Model Units 1]:[Lab Q Model Units "&amp;RawMaterials[[#This Row],[Lab Quote Count]]&amp;"]]"))),"")</f>
        <v/>
      </c>
      <c r="AG274" s="392" t="str">
        <f ca="1">IF(RawMaterials[[#This Row],[Lab Quote Count]]&gt;1,INTERCEPT(LOG(INDIRECT("RawMaterials[@[Lab Unit P 1]:[Lab Unit P "&amp;RawMaterials[[#This Row],[Lab Quote Count]]&amp;"]]")),LOG(INDIRECT("RawMaterials[@[Lab Q Model Units 1]:[Lab Q Model Units "&amp;RawMaterials[[#This Row],[Lab Quote Count]]&amp;"]]"))),"")</f>
        <v/>
      </c>
      <c r="AH274" s="393" t="str">
        <f>IF(RawMaterials[[#This Row],[Material Type]]="Metal Precursor","D13",IF(RawMaterials[[#This Row],[Material Type]]="Ligand","D13","D12"))</f>
        <v>D12</v>
      </c>
      <c r="AI274" s="394" t="str">
        <f ca="1">IF(RawMaterials[[#This Row],[Lab Quote Count]]&gt;1,10^RawMaterials[[#This Row],[Lab Log-Log Intercept]]*INDIRECT(RawMaterials[[#This Row],[Basis Cell]])^RawMaterials[[#This Row],[Lab Log-Log Slope]],"&gt;&gt;&gt; Enter 2 or more lab quotes &lt;&lt;&lt;")</f>
        <v>&gt;&gt;&gt; Enter 2 or more lab quotes &lt;&lt;&lt;</v>
      </c>
      <c r="AJ27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1.0802650847059001</v>
      </c>
      <c r="AL274" s="396">
        <f>IF(ISTEXT(RawMaterials[[#This Row],[Unit price in quote year]]),"Check calcs",RawMaterials[[#This Row],[Unit price in quote year]]/VLOOKUP(RawMaterials[[#This Row],[Quote Year]],ChemPPI[],14,FALSE)*VLOOKUP(BasisYear,ChemPPI[],14,FALSE))</f>
        <v>1.4189851438462977</v>
      </c>
      <c r="AM274" s="397" t="str">
        <f t="shared" si="4"/>
        <v>$/kg (2016)</v>
      </c>
    </row>
    <row r="275" spans="1:39">
      <c r="A275" s="259" t="s">
        <v>1366</v>
      </c>
      <c r="B275" s="260"/>
      <c r="C275" s="351"/>
      <c r="D275" s="351"/>
      <c r="E275" s="260">
        <v>100</v>
      </c>
      <c r="F275" s="260"/>
      <c r="G275" s="351"/>
      <c r="H275" s="351"/>
      <c r="I275" s="262"/>
      <c r="J275" s="351"/>
      <c r="K275" s="351"/>
      <c r="L275" s="351"/>
      <c r="M275" s="351"/>
      <c r="N275" s="351"/>
      <c r="O275" s="351"/>
      <c r="P275" s="261">
        <v>137.5</v>
      </c>
      <c r="Q275" s="260">
        <v>1</v>
      </c>
      <c r="R275" s="260" t="s">
        <v>401</v>
      </c>
      <c r="S275" s="260">
        <v>2006</v>
      </c>
      <c r="T275" s="260" t="s">
        <v>161</v>
      </c>
      <c r="U275" s="386">
        <v>42653</v>
      </c>
      <c r="V275" s="387"/>
      <c r="W275" s="354">
        <f>COUNT(RawMaterials[[#This Row],[Lab Quantity 1]:[Lab Quantity 4]])</f>
        <v>0</v>
      </c>
      <c r="X27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5" s="392" t="e">
        <f>RawMaterials[[#This Row],[Lab Price 1]]/RawMaterials[[#This Row],[Lab Q Model Units 1]]</f>
        <v>#N/A</v>
      </c>
      <c r="AC275" s="392" t="e">
        <f>RawMaterials[[#This Row],[Lab Price 2]]/RawMaterials[[#This Row],[Lab Q Model Units 2]]</f>
        <v>#N/A</v>
      </c>
      <c r="AD275" s="392" t="e">
        <f>RawMaterials[[#This Row],[Lab Price 3]]/RawMaterials[[#This Row],[Lab Q Model Units 3]]</f>
        <v>#N/A</v>
      </c>
      <c r="AE275" s="392" t="e">
        <f>RawMaterials[[#This Row],[Lab Price 4]]/RawMaterials[[#This Row],[Lab Q Model Units 4]]</f>
        <v>#N/A</v>
      </c>
      <c r="AF275" s="392" t="str">
        <f ca="1">IF(RawMaterials[[#This Row],[Lab Quote Count]]&gt;1,SLOPE(LOG(INDIRECT("RawMaterials[@[Lab Unit P 1]:[Lab Unit P "&amp;RawMaterials[[#This Row],[Lab Quote Count]]&amp;"]]")),LOG(INDIRECT("RawMaterials[@[Lab Q Model Units 1]:[Lab Q Model Units "&amp;RawMaterials[[#This Row],[Lab Quote Count]]&amp;"]]"))),"")</f>
        <v/>
      </c>
      <c r="AG275" s="392" t="str">
        <f ca="1">IF(RawMaterials[[#This Row],[Lab Quote Count]]&gt;1,INTERCEPT(LOG(INDIRECT("RawMaterials[@[Lab Unit P 1]:[Lab Unit P "&amp;RawMaterials[[#This Row],[Lab Quote Count]]&amp;"]]")),LOG(INDIRECT("RawMaterials[@[Lab Q Model Units 1]:[Lab Q Model Units "&amp;RawMaterials[[#This Row],[Lab Quote Count]]&amp;"]]"))),"")</f>
        <v/>
      </c>
      <c r="AH275" s="393" t="str">
        <f>IF(RawMaterials[[#This Row],[Material Type]]="Metal Precursor","D13",IF(RawMaterials[[#This Row],[Material Type]]="Ligand","D13","D12"))</f>
        <v>D12</v>
      </c>
      <c r="AI275" s="394" t="str">
        <f ca="1">IF(RawMaterials[[#This Row],[Lab Quote Count]]&gt;1,10^RawMaterials[[#This Row],[Lab Log-Log Intercept]]*INDIRECT(RawMaterials[[#This Row],[Basis Cell]])^RawMaterials[[#This Row],[Lab Log-Log Slope]],"&gt;&gt;&gt; Enter 2 or more lab quotes &lt;&lt;&lt;")</f>
        <v>&gt;&gt;&gt; Enter 2 or more lab quotes &lt;&lt;&lt;</v>
      </c>
      <c r="AJ27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0.15156780525210334</v>
      </c>
      <c r="AL275" s="396">
        <f>IF(ISTEXT(RawMaterials[[#This Row],[Unit price in quote year]]),"Check calcs",RawMaterials[[#This Row],[Unit price in quote year]]/VLOOKUP(RawMaterials[[#This Row],[Quote Year]],ChemPPI[],14,FALSE)*VLOOKUP(BasisYear,ChemPPI[],14,FALSE))</f>
        <v>0.20571016657945532</v>
      </c>
      <c r="AM275" s="397" t="str">
        <f t="shared" si="4"/>
        <v>$/kg (2016)</v>
      </c>
    </row>
    <row r="276" spans="1:39">
      <c r="A276" s="259" t="s">
        <v>1367</v>
      </c>
      <c r="B276" s="260"/>
      <c r="C276" s="351"/>
      <c r="D276" s="351"/>
      <c r="E276" s="260">
        <v>100</v>
      </c>
      <c r="F276" s="260"/>
      <c r="G276" s="351"/>
      <c r="H276" s="351"/>
      <c r="I276" s="262"/>
      <c r="J276" s="351"/>
      <c r="K276" s="351"/>
      <c r="L276" s="351"/>
      <c r="M276" s="351"/>
      <c r="N276" s="351"/>
      <c r="O276" s="351"/>
      <c r="P276" s="261">
        <v>23</v>
      </c>
      <c r="Q276" s="260">
        <v>1</v>
      </c>
      <c r="R276" s="260" t="s">
        <v>71</v>
      </c>
      <c r="S276" s="260">
        <v>2006</v>
      </c>
      <c r="T276" s="260" t="s">
        <v>161</v>
      </c>
      <c r="U276" s="386">
        <v>42653</v>
      </c>
      <c r="V276" s="387"/>
      <c r="W276" s="354">
        <f>COUNT(RawMaterials[[#This Row],[Lab Quantity 1]:[Lab Quantity 4]])</f>
        <v>0</v>
      </c>
      <c r="X27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6" s="392" t="e">
        <f>RawMaterials[[#This Row],[Lab Price 1]]/RawMaterials[[#This Row],[Lab Q Model Units 1]]</f>
        <v>#N/A</v>
      </c>
      <c r="AC276" s="392" t="e">
        <f>RawMaterials[[#This Row],[Lab Price 2]]/RawMaterials[[#This Row],[Lab Q Model Units 2]]</f>
        <v>#N/A</v>
      </c>
      <c r="AD276" s="392" t="e">
        <f>RawMaterials[[#This Row],[Lab Price 3]]/RawMaterials[[#This Row],[Lab Q Model Units 3]]</f>
        <v>#N/A</v>
      </c>
      <c r="AE276" s="392" t="e">
        <f>RawMaterials[[#This Row],[Lab Price 4]]/RawMaterials[[#This Row],[Lab Q Model Units 4]]</f>
        <v>#N/A</v>
      </c>
      <c r="AF276" s="392" t="str">
        <f ca="1">IF(RawMaterials[[#This Row],[Lab Quote Count]]&gt;1,SLOPE(LOG(INDIRECT("RawMaterials[@[Lab Unit P 1]:[Lab Unit P "&amp;RawMaterials[[#This Row],[Lab Quote Count]]&amp;"]]")),LOG(INDIRECT("RawMaterials[@[Lab Q Model Units 1]:[Lab Q Model Units "&amp;RawMaterials[[#This Row],[Lab Quote Count]]&amp;"]]"))),"")</f>
        <v/>
      </c>
      <c r="AG276" s="392" t="str">
        <f ca="1">IF(RawMaterials[[#This Row],[Lab Quote Count]]&gt;1,INTERCEPT(LOG(INDIRECT("RawMaterials[@[Lab Unit P 1]:[Lab Unit P "&amp;RawMaterials[[#This Row],[Lab Quote Count]]&amp;"]]")),LOG(INDIRECT("RawMaterials[@[Lab Q Model Units 1]:[Lab Q Model Units "&amp;RawMaterials[[#This Row],[Lab Quote Count]]&amp;"]]"))),"")</f>
        <v/>
      </c>
      <c r="AH276" s="393" t="str">
        <f>IF(RawMaterials[[#This Row],[Material Type]]="Metal Precursor","D13",IF(RawMaterials[[#This Row],[Material Type]]="Ligand","D13","D12"))</f>
        <v>D12</v>
      </c>
      <c r="AI276" s="394" t="str">
        <f ca="1">IF(RawMaterials[[#This Row],[Lab Quote Count]]&gt;1,10^RawMaterials[[#This Row],[Lab Log-Log Intercept]]*INDIRECT(RawMaterials[[#This Row],[Basis Cell]])^RawMaterials[[#This Row],[Lab Log-Log Slope]],"&gt;&gt;&gt; Enter 2 or more lab quotes &lt;&lt;&lt;")</f>
        <v>&gt;&gt;&gt; Enter 2 or more lab quotes &lt;&lt;&lt;</v>
      </c>
      <c r="AJ27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23</v>
      </c>
      <c r="AL276" s="396">
        <f>IF(ISTEXT(RawMaterials[[#This Row],[Unit price in quote year]]),"Check calcs",RawMaterials[[#This Row],[Unit price in quote year]]/VLOOKUP(RawMaterials[[#This Row],[Quote Year]],ChemPPI[],14,FALSE)*VLOOKUP(BasisYear,ChemPPI[],14,FALSE))</f>
        <v>31.215955284552852</v>
      </c>
      <c r="AM276" s="397" t="str">
        <f t="shared" si="4"/>
        <v>$/kg (2016)</v>
      </c>
    </row>
    <row r="277" spans="1:39">
      <c r="A277" s="259" t="s">
        <v>1368</v>
      </c>
      <c r="B277" s="260"/>
      <c r="C277" s="351"/>
      <c r="D277" s="351">
        <v>0.86</v>
      </c>
      <c r="E277" s="260">
        <v>100</v>
      </c>
      <c r="F277" s="260"/>
      <c r="G277" s="351"/>
      <c r="H277" s="351"/>
      <c r="I277" s="262"/>
      <c r="J277" s="351"/>
      <c r="K277" s="351"/>
      <c r="L277" s="351"/>
      <c r="M277" s="351"/>
      <c r="N277" s="351"/>
      <c r="O277" s="351"/>
      <c r="P277" s="261">
        <v>1.32</v>
      </c>
      <c r="Q277" s="260">
        <v>1</v>
      </c>
      <c r="R277" s="260" t="s">
        <v>85</v>
      </c>
      <c r="S277" s="260">
        <v>2006</v>
      </c>
      <c r="T277" s="260" t="s">
        <v>161</v>
      </c>
      <c r="U277" s="386">
        <v>42653</v>
      </c>
      <c r="V277" s="387"/>
      <c r="W277" s="354">
        <f>COUNT(RawMaterials[[#This Row],[Lab Quantity 1]:[Lab Quantity 4]])</f>
        <v>0</v>
      </c>
      <c r="X27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7" s="392" t="e">
        <f>RawMaterials[[#This Row],[Lab Price 1]]/RawMaterials[[#This Row],[Lab Q Model Units 1]]</f>
        <v>#N/A</v>
      </c>
      <c r="AC277" s="392" t="e">
        <f>RawMaterials[[#This Row],[Lab Price 2]]/RawMaterials[[#This Row],[Lab Q Model Units 2]]</f>
        <v>#N/A</v>
      </c>
      <c r="AD277" s="392" t="e">
        <f>RawMaterials[[#This Row],[Lab Price 3]]/RawMaterials[[#This Row],[Lab Q Model Units 3]]</f>
        <v>#N/A</v>
      </c>
      <c r="AE277" s="392" t="e">
        <f>RawMaterials[[#This Row],[Lab Price 4]]/RawMaterials[[#This Row],[Lab Q Model Units 4]]</f>
        <v>#N/A</v>
      </c>
      <c r="AF277" s="392" t="str">
        <f ca="1">IF(RawMaterials[[#This Row],[Lab Quote Count]]&gt;1,SLOPE(LOG(INDIRECT("RawMaterials[@[Lab Unit P 1]:[Lab Unit P "&amp;RawMaterials[[#This Row],[Lab Quote Count]]&amp;"]]")),LOG(INDIRECT("RawMaterials[@[Lab Q Model Units 1]:[Lab Q Model Units "&amp;RawMaterials[[#This Row],[Lab Quote Count]]&amp;"]]"))),"")</f>
        <v/>
      </c>
      <c r="AG277" s="392" t="str">
        <f ca="1">IF(RawMaterials[[#This Row],[Lab Quote Count]]&gt;1,INTERCEPT(LOG(INDIRECT("RawMaterials[@[Lab Unit P 1]:[Lab Unit P "&amp;RawMaterials[[#This Row],[Lab Quote Count]]&amp;"]]")),LOG(INDIRECT("RawMaterials[@[Lab Q Model Units 1]:[Lab Q Model Units "&amp;RawMaterials[[#This Row],[Lab Quote Count]]&amp;"]]"))),"")</f>
        <v/>
      </c>
      <c r="AH277" s="393" t="str">
        <f>IF(RawMaterials[[#This Row],[Material Type]]="Metal Precursor","D13",IF(RawMaterials[[#This Row],[Material Type]]="Ligand","D13","D12"))</f>
        <v>D12</v>
      </c>
      <c r="AI277" s="394" t="str">
        <f ca="1">IF(RawMaterials[[#This Row],[Lab Quote Count]]&gt;1,10^RawMaterials[[#This Row],[Lab Log-Log Intercept]]*INDIRECT(RawMaterials[[#This Row],[Basis Cell]])^RawMaterials[[#This Row],[Lab Log-Log Slope]],"&gt;&gt;&gt; Enter 2 or more lab quotes &lt;&lt;&lt;")</f>
        <v>&gt;&gt;&gt; Enter 2 or more lab quotes &lt;&lt;&lt;</v>
      </c>
      <c r="AJ27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3.2554541342399999</v>
      </c>
      <c r="AK27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0.40547338268925109</v>
      </c>
      <c r="AL277" s="396">
        <f>IF(ISTEXT(RawMaterials[[#This Row],[Unit price in quote year]]),"Check calcs",RawMaterials[[#This Row],[Unit price in quote year]]/VLOOKUP(RawMaterials[[#This Row],[Quote Year]],ChemPPI[],14,FALSE)*VLOOKUP(BasisYear,ChemPPI[],14,FALSE))</f>
        <v>0.55031473839582823</v>
      </c>
      <c r="AM277" s="397" t="str">
        <f t="shared" si="4"/>
        <v>$/kg (2016)</v>
      </c>
    </row>
    <row r="278" spans="1:39">
      <c r="A278" s="259" t="s">
        <v>1369</v>
      </c>
      <c r="B278" s="260"/>
      <c r="C278" s="351"/>
      <c r="D278" s="351"/>
      <c r="E278" s="260">
        <v>100</v>
      </c>
      <c r="F278" s="260"/>
      <c r="G278" s="351"/>
      <c r="H278" s="351"/>
      <c r="I278" s="262"/>
      <c r="J278" s="351"/>
      <c r="K278" s="351"/>
      <c r="L278" s="351"/>
      <c r="M278" s="351"/>
      <c r="N278" s="351"/>
      <c r="O278" s="351"/>
      <c r="P278" s="261">
        <v>0.13874999999999901</v>
      </c>
      <c r="Q278" s="260">
        <v>1</v>
      </c>
      <c r="R278" s="260" t="s">
        <v>20</v>
      </c>
      <c r="S278" s="260">
        <v>2006</v>
      </c>
      <c r="T278" s="260" t="s">
        <v>161</v>
      </c>
      <c r="U278" s="386">
        <v>42653</v>
      </c>
      <c r="V278" s="387"/>
      <c r="W278" s="354">
        <f>COUNT(RawMaterials[[#This Row],[Lab Quantity 1]:[Lab Quantity 4]])</f>
        <v>0</v>
      </c>
      <c r="X27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8" s="392" t="e">
        <f>RawMaterials[[#This Row],[Lab Price 1]]/RawMaterials[[#This Row],[Lab Q Model Units 1]]</f>
        <v>#N/A</v>
      </c>
      <c r="AC278" s="392" t="e">
        <f>RawMaterials[[#This Row],[Lab Price 2]]/RawMaterials[[#This Row],[Lab Q Model Units 2]]</f>
        <v>#N/A</v>
      </c>
      <c r="AD278" s="392" t="e">
        <f>RawMaterials[[#This Row],[Lab Price 3]]/RawMaterials[[#This Row],[Lab Q Model Units 3]]</f>
        <v>#N/A</v>
      </c>
      <c r="AE278" s="392" t="e">
        <f>RawMaterials[[#This Row],[Lab Price 4]]/RawMaterials[[#This Row],[Lab Q Model Units 4]]</f>
        <v>#N/A</v>
      </c>
      <c r="AF278" s="392" t="str">
        <f ca="1">IF(RawMaterials[[#This Row],[Lab Quote Count]]&gt;1,SLOPE(LOG(INDIRECT("RawMaterials[@[Lab Unit P 1]:[Lab Unit P "&amp;RawMaterials[[#This Row],[Lab Quote Count]]&amp;"]]")),LOG(INDIRECT("RawMaterials[@[Lab Q Model Units 1]:[Lab Q Model Units "&amp;RawMaterials[[#This Row],[Lab Quote Count]]&amp;"]]"))),"")</f>
        <v/>
      </c>
      <c r="AG278" s="392" t="str">
        <f ca="1">IF(RawMaterials[[#This Row],[Lab Quote Count]]&gt;1,INTERCEPT(LOG(INDIRECT("RawMaterials[@[Lab Unit P 1]:[Lab Unit P "&amp;RawMaterials[[#This Row],[Lab Quote Count]]&amp;"]]")),LOG(INDIRECT("RawMaterials[@[Lab Q Model Units 1]:[Lab Q Model Units "&amp;RawMaterials[[#This Row],[Lab Quote Count]]&amp;"]]"))),"")</f>
        <v/>
      </c>
      <c r="AH278" s="393" t="str">
        <f>IF(RawMaterials[[#This Row],[Material Type]]="Metal Precursor","D13",IF(RawMaterials[[#This Row],[Material Type]]="Ligand","D13","D12"))</f>
        <v>D12</v>
      </c>
      <c r="AI278" s="394" t="str">
        <f ca="1">IF(RawMaterials[[#This Row],[Lab Quote Count]]&gt;1,10^RawMaterials[[#This Row],[Lab Log-Log Intercept]]*INDIRECT(RawMaterials[[#This Row],[Basis Cell]])^RawMaterials[[#This Row],[Lab Log-Log Slope]],"&gt;&gt;&gt; Enter 2 or more lab quotes &lt;&lt;&lt;")</f>
        <v>&gt;&gt;&gt; Enter 2 or more lab quotes &lt;&lt;&lt;</v>
      </c>
      <c r="AJ27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0.30589138878151545</v>
      </c>
      <c r="AL278" s="396">
        <f>IF(ISTEXT(RawMaterials[[#This Row],[Unit price in quote year]]),"Check calcs",RawMaterials[[#This Row],[Unit price in quote year]]/VLOOKUP(RawMaterials[[#This Row],[Quote Year]],ChemPPI[],14,FALSE)*VLOOKUP(BasisYear,ChemPPI[],14,FALSE))</f>
        <v>0.41516051800580689</v>
      </c>
      <c r="AM278" s="397" t="str">
        <f t="shared" si="4"/>
        <v>$/kg (2016)</v>
      </c>
    </row>
    <row r="279" spans="1:39">
      <c r="A279" s="259" t="s">
        <v>1370</v>
      </c>
      <c r="B279" s="260"/>
      <c r="C279" s="351"/>
      <c r="D279" s="351"/>
      <c r="E279" s="260">
        <v>100</v>
      </c>
      <c r="F279" s="260"/>
      <c r="G279" s="351"/>
      <c r="H279" s="351"/>
      <c r="I279" s="262"/>
      <c r="J279" s="351"/>
      <c r="K279" s="351"/>
      <c r="L279" s="351"/>
      <c r="M279" s="351"/>
      <c r="N279" s="351"/>
      <c r="O279" s="351"/>
      <c r="P279" s="261">
        <v>0.14499999999999999</v>
      </c>
      <c r="Q279" s="260">
        <v>1</v>
      </c>
      <c r="R279" s="260" t="s">
        <v>20</v>
      </c>
      <c r="S279" s="260">
        <v>2006</v>
      </c>
      <c r="T279" s="260" t="s">
        <v>161</v>
      </c>
      <c r="U279" s="386">
        <v>42653</v>
      </c>
      <c r="V279" s="387"/>
      <c r="W279" s="354">
        <f>COUNT(RawMaterials[[#This Row],[Lab Quantity 1]:[Lab Quantity 4]])</f>
        <v>0</v>
      </c>
      <c r="X27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9" s="392" t="e">
        <f>RawMaterials[[#This Row],[Lab Price 1]]/RawMaterials[[#This Row],[Lab Q Model Units 1]]</f>
        <v>#N/A</v>
      </c>
      <c r="AC279" s="392" t="e">
        <f>RawMaterials[[#This Row],[Lab Price 2]]/RawMaterials[[#This Row],[Lab Q Model Units 2]]</f>
        <v>#N/A</v>
      </c>
      <c r="AD279" s="392" t="e">
        <f>RawMaterials[[#This Row],[Lab Price 3]]/RawMaterials[[#This Row],[Lab Q Model Units 3]]</f>
        <v>#N/A</v>
      </c>
      <c r="AE279" s="392" t="e">
        <f>RawMaterials[[#This Row],[Lab Price 4]]/RawMaterials[[#This Row],[Lab Q Model Units 4]]</f>
        <v>#N/A</v>
      </c>
      <c r="AF279" s="392" t="str">
        <f ca="1">IF(RawMaterials[[#This Row],[Lab Quote Count]]&gt;1,SLOPE(LOG(INDIRECT("RawMaterials[@[Lab Unit P 1]:[Lab Unit P "&amp;RawMaterials[[#This Row],[Lab Quote Count]]&amp;"]]")),LOG(INDIRECT("RawMaterials[@[Lab Q Model Units 1]:[Lab Q Model Units "&amp;RawMaterials[[#This Row],[Lab Quote Count]]&amp;"]]"))),"")</f>
        <v/>
      </c>
      <c r="AG279" s="392" t="str">
        <f ca="1">IF(RawMaterials[[#This Row],[Lab Quote Count]]&gt;1,INTERCEPT(LOG(INDIRECT("RawMaterials[@[Lab Unit P 1]:[Lab Unit P "&amp;RawMaterials[[#This Row],[Lab Quote Count]]&amp;"]]")),LOG(INDIRECT("RawMaterials[@[Lab Q Model Units 1]:[Lab Q Model Units "&amp;RawMaterials[[#This Row],[Lab Quote Count]]&amp;"]]"))),"")</f>
        <v/>
      </c>
      <c r="AH279" s="393" t="str">
        <f>IF(RawMaterials[[#This Row],[Material Type]]="Metal Precursor","D13",IF(RawMaterials[[#This Row],[Material Type]]="Ligand","D13","D12"))</f>
        <v>D12</v>
      </c>
      <c r="AI279" s="394" t="str">
        <f ca="1">IF(RawMaterials[[#This Row],[Lab Quote Count]]&gt;1,10^RawMaterials[[#This Row],[Lab Log-Log Intercept]]*INDIRECT(RawMaterials[[#This Row],[Basis Cell]])^RawMaterials[[#This Row],[Lab Log-Log Slope]],"&gt;&gt;&gt; Enter 2 or more lab quotes &lt;&lt;&lt;")</f>
        <v>&gt;&gt;&gt; Enter 2 or more lab quotes &lt;&lt;&lt;</v>
      </c>
      <c r="AJ27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0.31967028016807247</v>
      </c>
      <c r="AL279" s="396">
        <f>IF(ISTEXT(RawMaterials[[#This Row],[Unit price in quote year]]),"Check calcs",RawMaterials[[#This Row],[Unit price in quote year]]/VLOOKUP(RawMaterials[[#This Row],[Quote Year]],ChemPPI[],14,FALSE)*VLOOKUP(BasisYear,ChemPPI[],14,FALSE))</f>
        <v>0.43386144224030576</v>
      </c>
      <c r="AM279" s="397" t="str">
        <f t="shared" si="4"/>
        <v>$/kg (2016)</v>
      </c>
    </row>
    <row r="280" spans="1:39">
      <c r="A280" s="259" t="s">
        <v>1371</v>
      </c>
      <c r="B280" s="260"/>
      <c r="C280" s="351"/>
      <c r="D280" s="351"/>
      <c r="E280" s="260">
        <v>100</v>
      </c>
      <c r="F280" s="260"/>
      <c r="G280" s="351"/>
      <c r="H280" s="351"/>
      <c r="I280" s="262"/>
      <c r="J280" s="351"/>
      <c r="K280" s="351"/>
      <c r="L280" s="351"/>
      <c r="M280" s="351"/>
      <c r="N280" s="351"/>
      <c r="O280" s="351"/>
      <c r="P280" s="261">
        <v>4.25</v>
      </c>
      <c r="Q280" s="260">
        <v>1</v>
      </c>
      <c r="R280" s="260" t="s">
        <v>20</v>
      </c>
      <c r="S280" s="260">
        <v>2006</v>
      </c>
      <c r="T280" s="260" t="s">
        <v>161</v>
      </c>
      <c r="U280" s="386">
        <v>42653</v>
      </c>
      <c r="V280" s="387"/>
      <c r="W280" s="354">
        <f>COUNT(RawMaterials[[#This Row],[Lab Quantity 1]:[Lab Quantity 4]])</f>
        <v>0</v>
      </c>
      <c r="X28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0" s="392" t="e">
        <f>RawMaterials[[#This Row],[Lab Price 1]]/RawMaterials[[#This Row],[Lab Q Model Units 1]]</f>
        <v>#N/A</v>
      </c>
      <c r="AC280" s="392" t="e">
        <f>RawMaterials[[#This Row],[Lab Price 2]]/RawMaterials[[#This Row],[Lab Q Model Units 2]]</f>
        <v>#N/A</v>
      </c>
      <c r="AD280" s="392" t="e">
        <f>RawMaterials[[#This Row],[Lab Price 3]]/RawMaterials[[#This Row],[Lab Q Model Units 3]]</f>
        <v>#N/A</v>
      </c>
      <c r="AE280" s="392" t="e">
        <f>RawMaterials[[#This Row],[Lab Price 4]]/RawMaterials[[#This Row],[Lab Q Model Units 4]]</f>
        <v>#N/A</v>
      </c>
      <c r="AF280" s="392" t="str">
        <f ca="1">IF(RawMaterials[[#This Row],[Lab Quote Count]]&gt;1,SLOPE(LOG(INDIRECT("RawMaterials[@[Lab Unit P 1]:[Lab Unit P "&amp;RawMaterials[[#This Row],[Lab Quote Count]]&amp;"]]")),LOG(INDIRECT("RawMaterials[@[Lab Q Model Units 1]:[Lab Q Model Units "&amp;RawMaterials[[#This Row],[Lab Quote Count]]&amp;"]]"))),"")</f>
        <v/>
      </c>
      <c r="AG280" s="392" t="str">
        <f ca="1">IF(RawMaterials[[#This Row],[Lab Quote Count]]&gt;1,INTERCEPT(LOG(INDIRECT("RawMaterials[@[Lab Unit P 1]:[Lab Unit P "&amp;RawMaterials[[#This Row],[Lab Quote Count]]&amp;"]]")),LOG(INDIRECT("RawMaterials[@[Lab Q Model Units 1]:[Lab Q Model Units "&amp;RawMaterials[[#This Row],[Lab Quote Count]]&amp;"]]"))),"")</f>
        <v/>
      </c>
      <c r="AH280" s="393" t="str">
        <f>IF(RawMaterials[[#This Row],[Material Type]]="Metal Precursor","D13",IF(RawMaterials[[#This Row],[Material Type]]="Ligand","D13","D12"))</f>
        <v>D12</v>
      </c>
      <c r="AI280" s="394" t="str">
        <f ca="1">IF(RawMaterials[[#This Row],[Lab Quote Count]]&gt;1,10^RawMaterials[[#This Row],[Lab Log-Log Intercept]]*INDIRECT(RawMaterials[[#This Row],[Basis Cell]])^RawMaterials[[#This Row],[Lab Log-Log Slope]],"&gt;&gt;&gt; Enter 2 or more lab quotes &lt;&lt;&lt;")</f>
        <v>&gt;&gt;&gt; Enter 2 or more lab quotes &lt;&lt;&lt;</v>
      </c>
      <c r="AJ28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9.369646142857297</v>
      </c>
      <c r="AL280" s="396">
        <f>IF(ISTEXT(RawMaterials[[#This Row],[Unit price in quote year]]),"Check calcs",RawMaterials[[#This Row],[Unit price in quote year]]/VLOOKUP(RawMaterials[[#This Row],[Quote Year]],ChemPPI[],14,FALSE)*VLOOKUP(BasisYear,ChemPPI[],14,FALSE))</f>
        <v>12.716628479457238</v>
      </c>
      <c r="AM280" s="397" t="str">
        <f t="shared" si="4"/>
        <v>$/kg (2016)</v>
      </c>
    </row>
    <row r="281" spans="1:39">
      <c r="A281" s="259" t="s">
        <v>1372</v>
      </c>
      <c r="B281" s="260"/>
      <c r="C281" s="351"/>
      <c r="D281" s="351"/>
      <c r="E281" s="260">
        <v>100</v>
      </c>
      <c r="F281" s="260"/>
      <c r="G281" s="351"/>
      <c r="H281" s="351"/>
      <c r="I281" s="262"/>
      <c r="J281" s="351"/>
      <c r="K281" s="351"/>
      <c r="L281" s="351"/>
      <c r="M281" s="351"/>
      <c r="N281" s="351"/>
      <c r="O281" s="351"/>
      <c r="P281" s="261">
        <v>0.45</v>
      </c>
      <c r="Q281" s="260">
        <v>1</v>
      </c>
      <c r="R281" s="260" t="s">
        <v>20</v>
      </c>
      <c r="S281" s="260">
        <v>2006</v>
      </c>
      <c r="T281" s="260" t="s">
        <v>161</v>
      </c>
      <c r="U281" s="386">
        <v>42653</v>
      </c>
      <c r="V281" s="387"/>
      <c r="W281" s="354">
        <f>COUNT(RawMaterials[[#This Row],[Lab Quantity 1]:[Lab Quantity 4]])</f>
        <v>0</v>
      </c>
      <c r="X28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1" s="392" t="e">
        <f>RawMaterials[[#This Row],[Lab Price 1]]/RawMaterials[[#This Row],[Lab Q Model Units 1]]</f>
        <v>#N/A</v>
      </c>
      <c r="AC281" s="392" t="e">
        <f>RawMaterials[[#This Row],[Lab Price 2]]/RawMaterials[[#This Row],[Lab Q Model Units 2]]</f>
        <v>#N/A</v>
      </c>
      <c r="AD281" s="392" t="e">
        <f>RawMaterials[[#This Row],[Lab Price 3]]/RawMaterials[[#This Row],[Lab Q Model Units 3]]</f>
        <v>#N/A</v>
      </c>
      <c r="AE281" s="392" t="e">
        <f>RawMaterials[[#This Row],[Lab Price 4]]/RawMaterials[[#This Row],[Lab Q Model Units 4]]</f>
        <v>#N/A</v>
      </c>
      <c r="AF281" s="392" t="str">
        <f ca="1">IF(RawMaterials[[#This Row],[Lab Quote Count]]&gt;1,SLOPE(LOG(INDIRECT("RawMaterials[@[Lab Unit P 1]:[Lab Unit P "&amp;RawMaterials[[#This Row],[Lab Quote Count]]&amp;"]]")),LOG(INDIRECT("RawMaterials[@[Lab Q Model Units 1]:[Lab Q Model Units "&amp;RawMaterials[[#This Row],[Lab Quote Count]]&amp;"]]"))),"")</f>
        <v/>
      </c>
      <c r="AG281" s="392" t="str">
        <f ca="1">IF(RawMaterials[[#This Row],[Lab Quote Count]]&gt;1,INTERCEPT(LOG(INDIRECT("RawMaterials[@[Lab Unit P 1]:[Lab Unit P "&amp;RawMaterials[[#This Row],[Lab Quote Count]]&amp;"]]")),LOG(INDIRECT("RawMaterials[@[Lab Q Model Units 1]:[Lab Q Model Units "&amp;RawMaterials[[#This Row],[Lab Quote Count]]&amp;"]]"))),"")</f>
        <v/>
      </c>
      <c r="AH281" s="393" t="str">
        <f>IF(RawMaterials[[#This Row],[Material Type]]="Metal Precursor","D13",IF(RawMaterials[[#This Row],[Material Type]]="Ligand","D13","D12"))</f>
        <v>D12</v>
      </c>
      <c r="AI281" s="394" t="str">
        <f ca="1">IF(RawMaterials[[#This Row],[Lab Quote Count]]&gt;1,10^RawMaterials[[#This Row],[Lab Log-Log Intercept]]*INDIRECT(RawMaterials[[#This Row],[Basis Cell]])^RawMaterials[[#This Row],[Lab Log-Log Slope]],"&gt;&gt;&gt; Enter 2 or more lab quotes &lt;&lt;&lt;")</f>
        <v>&gt;&gt;&gt; Enter 2 or more lab quotes &lt;&lt;&lt;</v>
      </c>
      <c r="AJ28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0.99208017983194907</v>
      </c>
      <c r="AL281" s="396">
        <f>IF(ISTEXT(RawMaterials[[#This Row],[Unit price in quote year]]),"Check calcs",RawMaterials[[#This Row],[Unit price in quote year]]/VLOOKUP(RawMaterials[[#This Row],[Quote Year]],ChemPPI[],14,FALSE)*VLOOKUP(BasisYear,ChemPPI[],14,FALSE))</f>
        <v>1.3464665448837074</v>
      </c>
      <c r="AM281" s="397" t="str">
        <f t="shared" si="4"/>
        <v>$/kg (2016)</v>
      </c>
    </row>
    <row r="282" spans="1:39">
      <c r="A282" s="259" t="s">
        <v>1373</v>
      </c>
      <c r="B282" s="260"/>
      <c r="C282" s="351"/>
      <c r="D282" s="351"/>
      <c r="E282" s="260">
        <v>100</v>
      </c>
      <c r="F282" s="260"/>
      <c r="G282" s="351"/>
      <c r="H282" s="351"/>
      <c r="I282" s="262"/>
      <c r="J282" s="351"/>
      <c r="K282" s="351"/>
      <c r="L282" s="351"/>
      <c r="M282" s="351"/>
      <c r="N282" s="351"/>
      <c r="O282" s="351"/>
      <c r="P282" s="261">
        <v>244</v>
      </c>
      <c r="Q282" s="260">
        <v>1</v>
      </c>
      <c r="R282" s="260" t="s">
        <v>401</v>
      </c>
      <c r="S282" s="260">
        <v>2006</v>
      </c>
      <c r="T282" s="260" t="s">
        <v>161</v>
      </c>
      <c r="U282" s="386">
        <v>42653</v>
      </c>
      <c r="V282" s="387"/>
      <c r="W282" s="354">
        <f>COUNT(RawMaterials[[#This Row],[Lab Quantity 1]:[Lab Quantity 4]])</f>
        <v>0</v>
      </c>
      <c r="X28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2" s="392" t="e">
        <f>RawMaterials[[#This Row],[Lab Price 1]]/RawMaterials[[#This Row],[Lab Q Model Units 1]]</f>
        <v>#N/A</v>
      </c>
      <c r="AC282" s="392" t="e">
        <f>RawMaterials[[#This Row],[Lab Price 2]]/RawMaterials[[#This Row],[Lab Q Model Units 2]]</f>
        <v>#N/A</v>
      </c>
      <c r="AD282" s="392" t="e">
        <f>RawMaterials[[#This Row],[Lab Price 3]]/RawMaterials[[#This Row],[Lab Q Model Units 3]]</f>
        <v>#N/A</v>
      </c>
      <c r="AE282" s="392" t="e">
        <f>RawMaterials[[#This Row],[Lab Price 4]]/RawMaterials[[#This Row],[Lab Q Model Units 4]]</f>
        <v>#N/A</v>
      </c>
      <c r="AF282" s="392" t="str">
        <f ca="1">IF(RawMaterials[[#This Row],[Lab Quote Count]]&gt;1,SLOPE(LOG(INDIRECT("RawMaterials[@[Lab Unit P 1]:[Lab Unit P "&amp;RawMaterials[[#This Row],[Lab Quote Count]]&amp;"]]")),LOG(INDIRECT("RawMaterials[@[Lab Q Model Units 1]:[Lab Q Model Units "&amp;RawMaterials[[#This Row],[Lab Quote Count]]&amp;"]]"))),"")</f>
        <v/>
      </c>
      <c r="AG282" s="392" t="str">
        <f ca="1">IF(RawMaterials[[#This Row],[Lab Quote Count]]&gt;1,INTERCEPT(LOG(INDIRECT("RawMaterials[@[Lab Unit P 1]:[Lab Unit P "&amp;RawMaterials[[#This Row],[Lab Quote Count]]&amp;"]]")),LOG(INDIRECT("RawMaterials[@[Lab Q Model Units 1]:[Lab Q Model Units "&amp;RawMaterials[[#This Row],[Lab Quote Count]]&amp;"]]"))),"")</f>
        <v/>
      </c>
      <c r="AH282" s="393" t="str">
        <f>IF(RawMaterials[[#This Row],[Material Type]]="Metal Precursor","D13",IF(RawMaterials[[#This Row],[Material Type]]="Ligand","D13","D12"))</f>
        <v>D12</v>
      </c>
      <c r="AI282" s="394" t="str">
        <f ca="1">IF(RawMaterials[[#This Row],[Lab Quote Count]]&gt;1,10^RawMaterials[[#This Row],[Lab Log-Log Intercept]]*INDIRECT(RawMaterials[[#This Row],[Basis Cell]])^RawMaterials[[#This Row],[Lab Log-Log Slope]],"&gt;&gt;&gt; Enter 2 or more lab quotes &lt;&lt;&lt;")</f>
        <v>&gt;&gt;&gt; Enter 2 or more lab quotes &lt;&lt;&lt;</v>
      </c>
      <c r="AJ28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0.26896395986555066</v>
      </c>
      <c r="AL282" s="396">
        <f>IF(ISTEXT(RawMaterials[[#This Row],[Unit price in quote year]]),"Check calcs",RawMaterials[[#This Row],[Unit price in quote year]]/VLOOKUP(RawMaterials[[#This Row],[Quote Year]],ChemPPI[],14,FALSE)*VLOOKUP(BasisYear,ChemPPI[],14,FALSE))</f>
        <v>0.36504204105736077</v>
      </c>
      <c r="AM282" s="397" t="str">
        <f t="shared" si="4"/>
        <v>$/kg (2016)</v>
      </c>
    </row>
    <row r="283" spans="1:39">
      <c r="A283" s="259" t="s">
        <v>1374</v>
      </c>
      <c r="B283" s="260"/>
      <c r="C283" s="351"/>
      <c r="D283" s="351"/>
      <c r="E283" s="260">
        <v>100</v>
      </c>
      <c r="F283" s="260"/>
      <c r="G283" s="351"/>
      <c r="H283" s="351"/>
      <c r="I283" s="262"/>
      <c r="J283" s="351"/>
      <c r="K283" s="351"/>
      <c r="L283" s="351"/>
      <c r="M283" s="351"/>
      <c r="N283" s="351"/>
      <c r="O283" s="351"/>
      <c r="P283" s="261">
        <v>370</v>
      </c>
      <c r="Q283" s="260">
        <v>1</v>
      </c>
      <c r="R283" s="260" t="s">
        <v>401</v>
      </c>
      <c r="S283" s="260">
        <v>2006</v>
      </c>
      <c r="T283" s="260" t="s">
        <v>161</v>
      </c>
      <c r="U283" s="386">
        <v>42653</v>
      </c>
      <c r="V283" s="387"/>
      <c r="W283" s="354">
        <f>COUNT(RawMaterials[[#This Row],[Lab Quantity 1]:[Lab Quantity 4]])</f>
        <v>0</v>
      </c>
      <c r="X28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3" s="392" t="e">
        <f>RawMaterials[[#This Row],[Lab Price 1]]/RawMaterials[[#This Row],[Lab Q Model Units 1]]</f>
        <v>#N/A</v>
      </c>
      <c r="AC283" s="392" t="e">
        <f>RawMaterials[[#This Row],[Lab Price 2]]/RawMaterials[[#This Row],[Lab Q Model Units 2]]</f>
        <v>#N/A</v>
      </c>
      <c r="AD283" s="392" t="e">
        <f>RawMaterials[[#This Row],[Lab Price 3]]/RawMaterials[[#This Row],[Lab Q Model Units 3]]</f>
        <v>#N/A</v>
      </c>
      <c r="AE283" s="392" t="e">
        <f>RawMaterials[[#This Row],[Lab Price 4]]/RawMaterials[[#This Row],[Lab Q Model Units 4]]</f>
        <v>#N/A</v>
      </c>
      <c r="AF283" s="392" t="str">
        <f ca="1">IF(RawMaterials[[#This Row],[Lab Quote Count]]&gt;1,SLOPE(LOG(INDIRECT("RawMaterials[@[Lab Unit P 1]:[Lab Unit P "&amp;RawMaterials[[#This Row],[Lab Quote Count]]&amp;"]]")),LOG(INDIRECT("RawMaterials[@[Lab Q Model Units 1]:[Lab Q Model Units "&amp;RawMaterials[[#This Row],[Lab Quote Count]]&amp;"]]"))),"")</f>
        <v/>
      </c>
      <c r="AG283" s="392" t="str">
        <f ca="1">IF(RawMaterials[[#This Row],[Lab Quote Count]]&gt;1,INTERCEPT(LOG(INDIRECT("RawMaterials[@[Lab Unit P 1]:[Lab Unit P "&amp;RawMaterials[[#This Row],[Lab Quote Count]]&amp;"]]")),LOG(INDIRECT("RawMaterials[@[Lab Q Model Units 1]:[Lab Q Model Units "&amp;RawMaterials[[#This Row],[Lab Quote Count]]&amp;"]]"))),"")</f>
        <v/>
      </c>
      <c r="AH283" s="393" t="str">
        <f>IF(RawMaterials[[#This Row],[Material Type]]="Metal Precursor","D13",IF(RawMaterials[[#This Row],[Material Type]]="Ligand","D13","D12"))</f>
        <v>D12</v>
      </c>
      <c r="AI283" s="394" t="str">
        <f ca="1">IF(RawMaterials[[#This Row],[Lab Quote Count]]&gt;1,10^RawMaterials[[#This Row],[Lab Log-Log Intercept]]*INDIRECT(RawMaterials[[#This Row],[Basis Cell]])^RawMaterials[[#This Row],[Lab Log-Log Slope]],"&gt;&gt;&gt; Enter 2 or more lab quotes &lt;&lt;&lt;")</f>
        <v>&gt;&gt;&gt; Enter 2 or more lab quotes &lt;&lt;&lt;</v>
      </c>
      <c r="AJ28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0.4078551850420235</v>
      </c>
      <c r="AL283" s="396">
        <f>IF(ISTEXT(RawMaterials[[#This Row],[Unit price in quote year]]),"Check calcs",RawMaterials[[#This Row],[Unit price in quote year]]/VLOOKUP(RawMaterials[[#This Row],[Quote Year]],ChemPPI[],14,FALSE)*VLOOKUP(BasisYear,ChemPPI[],14,FALSE))</f>
        <v>0.55354735734107974</v>
      </c>
      <c r="AM283" s="397" t="str">
        <f t="shared" si="4"/>
        <v>$/kg (2016)</v>
      </c>
    </row>
    <row r="284" spans="1:39">
      <c r="A284" s="259" t="s">
        <v>1375</v>
      </c>
      <c r="B284" s="260"/>
      <c r="C284" s="351"/>
      <c r="D284" s="351"/>
      <c r="E284" s="260">
        <v>100</v>
      </c>
      <c r="F284" s="260"/>
      <c r="G284" s="351"/>
      <c r="H284" s="351"/>
      <c r="I284" s="262"/>
      <c r="J284" s="351"/>
      <c r="K284" s="351"/>
      <c r="L284" s="351"/>
      <c r="M284" s="351"/>
      <c r="N284" s="351"/>
      <c r="O284" s="351"/>
      <c r="P284" s="261">
        <v>490</v>
      </c>
      <c r="Q284" s="260">
        <v>1</v>
      </c>
      <c r="R284" s="260" t="s">
        <v>401</v>
      </c>
      <c r="S284" s="260">
        <v>2006</v>
      </c>
      <c r="T284" s="260" t="s">
        <v>161</v>
      </c>
      <c r="U284" s="386">
        <v>42653</v>
      </c>
      <c r="V284" s="387"/>
      <c r="W284" s="354">
        <f>COUNT(RawMaterials[[#This Row],[Lab Quantity 1]:[Lab Quantity 4]])</f>
        <v>0</v>
      </c>
      <c r="X28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4" s="392" t="e">
        <f>RawMaterials[[#This Row],[Lab Price 1]]/RawMaterials[[#This Row],[Lab Q Model Units 1]]</f>
        <v>#N/A</v>
      </c>
      <c r="AC284" s="392" t="e">
        <f>RawMaterials[[#This Row],[Lab Price 2]]/RawMaterials[[#This Row],[Lab Q Model Units 2]]</f>
        <v>#N/A</v>
      </c>
      <c r="AD284" s="392" t="e">
        <f>RawMaterials[[#This Row],[Lab Price 3]]/RawMaterials[[#This Row],[Lab Q Model Units 3]]</f>
        <v>#N/A</v>
      </c>
      <c r="AE284" s="392" t="e">
        <f>RawMaterials[[#This Row],[Lab Price 4]]/RawMaterials[[#This Row],[Lab Q Model Units 4]]</f>
        <v>#N/A</v>
      </c>
      <c r="AF284" s="392" t="str">
        <f ca="1">IF(RawMaterials[[#This Row],[Lab Quote Count]]&gt;1,SLOPE(LOG(INDIRECT("RawMaterials[@[Lab Unit P 1]:[Lab Unit P "&amp;RawMaterials[[#This Row],[Lab Quote Count]]&amp;"]]")),LOG(INDIRECT("RawMaterials[@[Lab Q Model Units 1]:[Lab Q Model Units "&amp;RawMaterials[[#This Row],[Lab Quote Count]]&amp;"]]"))),"")</f>
        <v/>
      </c>
      <c r="AG284" s="392" t="str">
        <f ca="1">IF(RawMaterials[[#This Row],[Lab Quote Count]]&gt;1,INTERCEPT(LOG(INDIRECT("RawMaterials[@[Lab Unit P 1]:[Lab Unit P "&amp;RawMaterials[[#This Row],[Lab Quote Count]]&amp;"]]")),LOG(INDIRECT("RawMaterials[@[Lab Q Model Units 1]:[Lab Q Model Units "&amp;RawMaterials[[#This Row],[Lab Quote Count]]&amp;"]]"))),"")</f>
        <v/>
      </c>
      <c r="AH284" s="393" t="str">
        <f>IF(RawMaterials[[#This Row],[Material Type]]="Metal Precursor","D13",IF(RawMaterials[[#This Row],[Material Type]]="Ligand","D13","D12"))</f>
        <v>D12</v>
      </c>
      <c r="AI284" s="394" t="str">
        <f ca="1">IF(RawMaterials[[#This Row],[Lab Quote Count]]&gt;1,10^RawMaterials[[#This Row],[Lab Log-Log Intercept]]*INDIRECT(RawMaterials[[#This Row],[Basis Cell]])^RawMaterials[[#This Row],[Lab Log-Log Slope]],"&gt;&gt;&gt; Enter 2 or more lab quotes &lt;&lt;&lt;")</f>
        <v>&gt;&gt;&gt; Enter 2 or more lab quotes &lt;&lt;&lt;</v>
      </c>
      <c r="AJ28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0.54013254235295005</v>
      </c>
      <c r="AL284" s="396">
        <f>IF(ISTEXT(RawMaterials[[#This Row],[Unit price in quote year]]),"Check calcs",RawMaterials[[#This Row],[Unit price in quote year]]/VLOOKUP(RawMaterials[[#This Row],[Quote Year]],ChemPPI[],14,FALSE)*VLOOKUP(BasisYear,ChemPPI[],14,FALSE))</f>
        <v>0.73307622999224076</v>
      </c>
      <c r="AM284" s="397" t="str">
        <f t="shared" si="4"/>
        <v>$/kg (2016)</v>
      </c>
    </row>
    <row r="285" spans="1:39">
      <c r="A285" s="259" t="s">
        <v>1376</v>
      </c>
      <c r="B285" s="260"/>
      <c r="C285" s="351"/>
      <c r="D285" s="351"/>
      <c r="E285" s="260">
        <v>100</v>
      </c>
      <c r="F285" s="260"/>
      <c r="G285" s="351"/>
      <c r="H285" s="351"/>
      <c r="I285" s="262"/>
      <c r="J285" s="351"/>
      <c r="K285" s="351"/>
      <c r="L285" s="351"/>
      <c r="M285" s="351"/>
      <c r="N285" s="351"/>
      <c r="O285" s="351"/>
      <c r="P285" s="261">
        <v>0.19750000000000001</v>
      </c>
      <c r="Q285" s="260">
        <v>1</v>
      </c>
      <c r="R285" s="260" t="s">
        <v>20</v>
      </c>
      <c r="S285" s="260">
        <v>2006</v>
      </c>
      <c r="T285" s="260" t="s">
        <v>161</v>
      </c>
      <c r="U285" s="386">
        <v>42653</v>
      </c>
      <c r="V285" s="387"/>
      <c r="W285" s="354">
        <f>COUNT(RawMaterials[[#This Row],[Lab Quantity 1]:[Lab Quantity 4]])</f>
        <v>0</v>
      </c>
      <c r="X28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5" s="392" t="e">
        <f>RawMaterials[[#This Row],[Lab Price 1]]/RawMaterials[[#This Row],[Lab Q Model Units 1]]</f>
        <v>#N/A</v>
      </c>
      <c r="AC285" s="392" t="e">
        <f>RawMaterials[[#This Row],[Lab Price 2]]/RawMaterials[[#This Row],[Lab Q Model Units 2]]</f>
        <v>#N/A</v>
      </c>
      <c r="AD285" s="392" t="e">
        <f>RawMaterials[[#This Row],[Lab Price 3]]/RawMaterials[[#This Row],[Lab Q Model Units 3]]</f>
        <v>#N/A</v>
      </c>
      <c r="AE285" s="392" t="e">
        <f>RawMaterials[[#This Row],[Lab Price 4]]/RawMaterials[[#This Row],[Lab Q Model Units 4]]</f>
        <v>#N/A</v>
      </c>
      <c r="AF285" s="392" t="str">
        <f ca="1">IF(RawMaterials[[#This Row],[Lab Quote Count]]&gt;1,SLOPE(LOG(INDIRECT("RawMaterials[@[Lab Unit P 1]:[Lab Unit P "&amp;RawMaterials[[#This Row],[Lab Quote Count]]&amp;"]]")),LOG(INDIRECT("RawMaterials[@[Lab Q Model Units 1]:[Lab Q Model Units "&amp;RawMaterials[[#This Row],[Lab Quote Count]]&amp;"]]"))),"")</f>
        <v/>
      </c>
      <c r="AG285" s="392" t="str">
        <f ca="1">IF(RawMaterials[[#This Row],[Lab Quote Count]]&gt;1,INTERCEPT(LOG(INDIRECT("RawMaterials[@[Lab Unit P 1]:[Lab Unit P "&amp;RawMaterials[[#This Row],[Lab Quote Count]]&amp;"]]")),LOG(INDIRECT("RawMaterials[@[Lab Q Model Units 1]:[Lab Q Model Units "&amp;RawMaterials[[#This Row],[Lab Quote Count]]&amp;"]]"))),"")</f>
        <v/>
      </c>
      <c r="AH285" s="393" t="str">
        <f>IF(RawMaterials[[#This Row],[Material Type]]="Metal Precursor","D13",IF(RawMaterials[[#This Row],[Material Type]]="Ligand","D13","D12"))</f>
        <v>D12</v>
      </c>
      <c r="AI285" s="394" t="str">
        <f ca="1">IF(RawMaterials[[#This Row],[Lab Quote Count]]&gt;1,10^RawMaterials[[#This Row],[Lab Log-Log Intercept]]*INDIRECT(RawMaterials[[#This Row],[Basis Cell]])^RawMaterials[[#This Row],[Lab Log-Log Slope]],"&gt;&gt;&gt; Enter 2 or more lab quotes &lt;&lt;&lt;")</f>
        <v>&gt;&gt;&gt; Enter 2 or more lab quotes &lt;&lt;&lt;</v>
      </c>
      <c r="AJ28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0.43541296781513322</v>
      </c>
      <c r="AL285" s="396">
        <f>IF(ISTEXT(RawMaterials[[#This Row],[Unit price in quote year]]),"Check calcs",RawMaterials[[#This Row],[Unit price in quote year]]/VLOOKUP(RawMaterials[[#This Row],[Quote Year]],ChemPPI[],14,FALSE)*VLOOKUP(BasisYear,ChemPPI[],14,FALSE))</f>
        <v>0.59094920581007171</v>
      </c>
      <c r="AM285" s="397" t="str">
        <f t="shared" si="4"/>
        <v>$/kg (2016)</v>
      </c>
    </row>
    <row r="286" spans="1:39">
      <c r="A286" s="259" t="s">
        <v>1377</v>
      </c>
      <c r="B286" s="260"/>
      <c r="C286" s="351"/>
      <c r="D286" s="351"/>
      <c r="E286" s="260">
        <v>100</v>
      </c>
      <c r="F286" s="260"/>
      <c r="G286" s="351"/>
      <c r="H286" s="351"/>
      <c r="I286" s="262"/>
      <c r="J286" s="351"/>
      <c r="K286" s="351"/>
      <c r="L286" s="351"/>
      <c r="M286" s="351"/>
      <c r="N286" s="351"/>
      <c r="O286" s="351"/>
      <c r="P286" s="261">
        <v>0.18</v>
      </c>
      <c r="Q286" s="260">
        <v>1</v>
      </c>
      <c r="R286" s="260" t="s">
        <v>20</v>
      </c>
      <c r="S286" s="260">
        <v>2006</v>
      </c>
      <c r="T286" s="260" t="s">
        <v>161</v>
      </c>
      <c r="U286" s="386">
        <v>42653</v>
      </c>
      <c r="V286" s="387"/>
      <c r="W286" s="354">
        <f>COUNT(RawMaterials[[#This Row],[Lab Quantity 1]:[Lab Quantity 4]])</f>
        <v>0</v>
      </c>
      <c r="X28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6" s="392" t="e">
        <f>RawMaterials[[#This Row],[Lab Price 1]]/RawMaterials[[#This Row],[Lab Q Model Units 1]]</f>
        <v>#N/A</v>
      </c>
      <c r="AC286" s="392" t="e">
        <f>RawMaterials[[#This Row],[Lab Price 2]]/RawMaterials[[#This Row],[Lab Q Model Units 2]]</f>
        <v>#N/A</v>
      </c>
      <c r="AD286" s="392" t="e">
        <f>RawMaterials[[#This Row],[Lab Price 3]]/RawMaterials[[#This Row],[Lab Q Model Units 3]]</f>
        <v>#N/A</v>
      </c>
      <c r="AE286" s="392" t="e">
        <f>RawMaterials[[#This Row],[Lab Price 4]]/RawMaterials[[#This Row],[Lab Q Model Units 4]]</f>
        <v>#N/A</v>
      </c>
      <c r="AF286" s="392" t="str">
        <f ca="1">IF(RawMaterials[[#This Row],[Lab Quote Count]]&gt;1,SLOPE(LOG(INDIRECT("RawMaterials[@[Lab Unit P 1]:[Lab Unit P "&amp;RawMaterials[[#This Row],[Lab Quote Count]]&amp;"]]")),LOG(INDIRECT("RawMaterials[@[Lab Q Model Units 1]:[Lab Q Model Units "&amp;RawMaterials[[#This Row],[Lab Quote Count]]&amp;"]]"))),"")</f>
        <v/>
      </c>
      <c r="AG286" s="392" t="str">
        <f ca="1">IF(RawMaterials[[#This Row],[Lab Quote Count]]&gt;1,INTERCEPT(LOG(INDIRECT("RawMaterials[@[Lab Unit P 1]:[Lab Unit P "&amp;RawMaterials[[#This Row],[Lab Quote Count]]&amp;"]]")),LOG(INDIRECT("RawMaterials[@[Lab Q Model Units 1]:[Lab Q Model Units "&amp;RawMaterials[[#This Row],[Lab Quote Count]]&amp;"]]"))),"")</f>
        <v/>
      </c>
      <c r="AH286" s="393" t="str">
        <f>IF(RawMaterials[[#This Row],[Material Type]]="Metal Precursor","D13",IF(RawMaterials[[#This Row],[Material Type]]="Ligand","D13","D12"))</f>
        <v>D12</v>
      </c>
      <c r="AI286" s="394" t="str">
        <f ca="1">IF(RawMaterials[[#This Row],[Lab Quote Count]]&gt;1,10^RawMaterials[[#This Row],[Lab Log-Log Intercept]]*INDIRECT(RawMaterials[[#This Row],[Basis Cell]])^RawMaterials[[#This Row],[Lab Log-Log Slope]],"&gt;&gt;&gt; Enter 2 or more lab quotes &lt;&lt;&lt;")</f>
        <v>&gt;&gt;&gt; Enter 2 or more lab quotes &lt;&lt;&lt;</v>
      </c>
      <c r="AJ28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0.39683207193277958</v>
      </c>
      <c r="AL286" s="396">
        <f>IF(ISTEXT(RawMaterials[[#This Row],[Unit price in quote year]]),"Check calcs",RawMaterials[[#This Row],[Unit price in quote year]]/VLOOKUP(RawMaterials[[#This Row],[Quote Year]],ChemPPI[],14,FALSE)*VLOOKUP(BasisYear,ChemPPI[],14,FALSE))</f>
        <v>0.53858661795348295</v>
      </c>
      <c r="AM286" s="397" t="str">
        <f t="shared" si="4"/>
        <v>$/kg (2016)</v>
      </c>
    </row>
    <row r="287" spans="1:39">
      <c r="A287" s="259" t="s">
        <v>1378</v>
      </c>
      <c r="B287" s="260"/>
      <c r="C287" s="351"/>
      <c r="D287" s="351"/>
      <c r="E287" s="260">
        <v>100</v>
      </c>
      <c r="F287" s="260"/>
      <c r="G287" s="351"/>
      <c r="H287" s="351"/>
      <c r="I287" s="262"/>
      <c r="J287" s="351"/>
      <c r="K287" s="351"/>
      <c r="L287" s="351"/>
      <c r="M287" s="351"/>
      <c r="N287" s="351"/>
      <c r="O287" s="351"/>
      <c r="P287" s="261">
        <v>0.19500000000000001</v>
      </c>
      <c r="Q287" s="260">
        <v>1</v>
      </c>
      <c r="R287" s="260" t="s">
        <v>20</v>
      </c>
      <c r="S287" s="260">
        <v>2006</v>
      </c>
      <c r="T287" s="260" t="s">
        <v>161</v>
      </c>
      <c r="U287" s="386">
        <v>42653</v>
      </c>
      <c r="V287" s="387"/>
      <c r="W287" s="354">
        <f>COUNT(RawMaterials[[#This Row],[Lab Quantity 1]:[Lab Quantity 4]])</f>
        <v>0</v>
      </c>
      <c r="X28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7" s="392" t="e">
        <f>RawMaterials[[#This Row],[Lab Price 1]]/RawMaterials[[#This Row],[Lab Q Model Units 1]]</f>
        <v>#N/A</v>
      </c>
      <c r="AC287" s="392" t="e">
        <f>RawMaterials[[#This Row],[Lab Price 2]]/RawMaterials[[#This Row],[Lab Q Model Units 2]]</f>
        <v>#N/A</v>
      </c>
      <c r="AD287" s="392" t="e">
        <f>RawMaterials[[#This Row],[Lab Price 3]]/RawMaterials[[#This Row],[Lab Q Model Units 3]]</f>
        <v>#N/A</v>
      </c>
      <c r="AE287" s="392" t="e">
        <f>RawMaterials[[#This Row],[Lab Price 4]]/RawMaterials[[#This Row],[Lab Q Model Units 4]]</f>
        <v>#N/A</v>
      </c>
      <c r="AF287" s="392" t="str">
        <f ca="1">IF(RawMaterials[[#This Row],[Lab Quote Count]]&gt;1,SLOPE(LOG(INDIRECT("RawMaterials[@[Lab Unit P 1]:[Lab Unit P "&amp;RawMaterials[[#This Row],[Lab Quote Count]]&amp;"]]")),LOG(INDIRECT("RawMaterials[@[Lab Q Model Units 1]:[Lab Q Model Units "&amp;RawMaterials[[#This Row],[Lab Quote Count]]&amp;"]]"))),"")</f>
        <v/>
      </c>
      <c r="AG287" s="392" t="str">
        <f ca="1">IF(RawMaterials[[#This Row],[Lab Quote Count]]&gt;1,INTERCEPT(LOG(INDIRECT("RawMaterials[@[Lab Unit P 1]:[Lab Unit P "&amp;RawMaterials[[#This Row],[Lab Quote Count]]&amp;"]]")),LOG(INDIRECT("RawMaterials[@[Lab Q Model Units 1]:[Lab Q Model Units "&amp;RawMaterials[[#This Row],[Lab Quote Count]]&amp;"]]"))),"")</f>
        <v/>
      </c>
      <c r="AH287" s="393" t="str">
        <f>IF(RawMaterials[[#This Row],[Material Type]]="Metal Precursor","D13",IF(RawMaterials[[#This Row],[Material Type]]="Ligand","D13","D12"))</f>
        <v>D12</v>
      </c>
      <c r="AI287" s="394" t="str">
        <f ca="1">IF(RawMaterials[[#This Row],[Lab Quote Count]]&gt;1,10^RawMaterials[[#This Row],[Lab Log-Log Intercept]]*INDIRECT(RawMaterials[[#This Row],[Basis Cell]])^RawMaterials[[#This Row],[Lab Log-Log Slope]],"&gt;&gt;&gt; Enter 2 or more lab quotes &lt;&lt;&lt;")</f>
        <v>&gt;&gt;&gt; Enter 2 or more lab quotes &lt;&lt;&lt;</v>
      </c>
      <c r="AJ28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0.42990141126051129</v>
      </c>
      <c r="AL287" s="396">
        <f>IF(ISTEXT(RawMaterials[[#This Row],[Unit price in quote year]]),"Check calcs",RawMaterials[[#This Row],[Unit price in quote year]]/VLOOKUP(RawMaterials[[#This Row],[Quote Year]],ChemPPI[],14,FALSE)*VLOOKUP(BasisYear,ChemPPI[],14,FALSE))</f>
        <v>0.58346883611627332</v>
      </c>
      <c r="AM287" s="397" t="str">
        <f t="shared" si="4"/>
        <v>$/kg (2016)</v>
      </c>
    </row>
    <row r="288" spans="1:39">
      <c r="A288" s="259" t="s">
        <v>1379</v>
      </c>
      <c r="B288" s="260"/>
      <c r="C288" s="351"/>
      <c r="D288" s="351"/>
      <c r="E288" s="260">
        <v>100</v>
      </c>
      <c r="F288" s="260"/>
      <c r="G288" s="351"/>
      <c r="H288" s="351"/>
      <c r="I288" s="262"/>
      <c r="J288" s="351"/>
      <c r="K288" s="351"/>
      <c r="L288" s="351"/>
      <c r="M288" s="351"/>
      <c r="N288" s="351"/>
      <c r="O288" s="351"/>
      <c r="P288" s="261">
        <v>0.18</v>
      </c>
      <c r="Q288" s="260">
        <v>1</v>
      </c>
      <c r="R288" s="260" t="s">
        <v>20</v>
      </c>
      <c r="S288" s="260">
        <v>2006</v>
      </c>
      <c r="T288" s="260" t="s">
        <v>161</v>
      </c>
      <c r="U288" s="386">
        <v>42653</v>
      </c>
      <c r="V288" s="387"/>
      <c r="W288" s="354">
        <f>COUNT(RawMaterials[[#This Row],[Lab Quantity 1]:[Lab Quantity 4]])</f>
        <v>0</v>
      </c>
      <c r="X28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8" s="392" t="e">
        <f>RawMaterials[[#This Row],[Lab Price 1]]/RawMaterials[[#This Row],[Lab Q Model Units 1]]</f>
        <v>#N/A</v>
      </c>
      <c r="AC288" s="392" t="e">
        <f>RawMaterials[[#This Row],[Lab Price 2]]/RawMaterials[[#This Row],[Lab Q Model Units 2]]</f>
        <v>#N/A</v>
      </c>
      <c r="AD288" s="392" t="e">
        <f>RawMaterials[[#This Row],[Lab Price 3]]/RawMaterials[[#This Row],[Lab Q Model Units 3]]</f>
        <v>#N/A</v>
      </c>
      <c r="AE288" s="392" t="e">
        <f>RawMaterials[[#This Row],[Lab Price 4]]/RawMaterials[[#This Row],[Lab Q Model Units 4]]</f>
        <v>#N/A</v>
      </c>
      <c r="AF288" s="392" t="str">
        <f ca="1">IF(RawMaterials[[#This Row],[Lab Quote Count]]&gt;1,SLOPE(LOG(INDIRECT("RawMaterials[@[Lab Unit P 1]:[Lab Unit P "&amp;RawMaterials[[#This Row],[Lab Quote Count]]&amp;"]]")),LOG(INDIRECT("RawMaterials[@[Lab Q Model Units 1]:[Lab Q Model Units "&amp;RawMaterials[[#This Row],[Lab Quote Count]]&amp;"]]"))),"")</f>
        <v/>
      </c>
      <c r="AG288" s="392" t="str">
        <f ca="1">IF(RawMaterials[[#This Row],[Lab Quote Count]]&gt;1,INTERCEPT(LOG(INDIRECT("RawMaterials[@[Lab Unit P 1]:[Lab Unit P "&amp;RawMaterials[[#This Row],[Lab Quote Count]]&amp;"]]")),LOG(INDIRECT("RawMaterials[@[Lab Q Model Units 1]:[Lab Q Model Units "&amp;RawMaterials[[#This Row],[Lab Quote Count]]&amp;"]]"))),"")</f>
        <v/>
      </c>
      <c r="AH288" s="393" t="str">
        <f>IF(RawMaterials[[#This Row],[Material Type]]="Metal Precursor","D13",IF(RawMaterials[[#This Row],[Material Type]]="Ligand","D13","D12"))</f>
        <v>D12</v>
      </c>
      <c r="AI288" s="394" t="str">
        <f ca="1">IF(RawMaterials[[#This Row],[Lab Quote Count]]&gt;1,10^RawMaterials[[#This Row],[Lab Log-Log Intercept]]*INDIRECT(RawMaterials[[#This Row],[Basis Cell]])^RawMaterials[[#This Row],[Lab Log-Log Slope]],"&gt;&gt;&gt; Enter 2 or more lab quotes &lt;&lt;&lt;")</f>
        <v>&gt;&gt;&gt; Enter 2 or more lab quotes &lt;&lt;&lt;</v>
      </c>
      <c r="AJ28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0.39683207193277958</v>
      </c>
      <c r="AL288" s="396">
        <f>IF(ISTEXT(RawMaterials[[#This Row],[Unit price in quote year]]),"Check calcs",RawMaterials[[#This Row],[Unit price in quote year]]/VLOOKUP(RawMaterials[[#This Row],[Quote Year]],ChemPPI[],14,FALSE)*VLOOKUP(BasisYear,ChemPPI[],14,FALSE))</f>
        <v>0.53858661795348295</v>
      </c>
      <c r="AM288" s="397" t="str">
        <f t="shared" si="4"/>
        <v>$/kg (2016)</v>
      </c>
    </row>
    <row r="289" spans="1:39">
      <c r="A289" s="259" t="s">
        <v>1380</v>
      </c>
      <c r="B289" s="260"/>
      <c r="C289" s="351"/>
      <c r="D289" s="351"/>
      <c r="E289" s="260">
        <v>100</v>
      </c>
      <c r="F289" s="260"/>
      <c r="G289" s="351"/>
      <c r="H289" s="351"/>
      <c r="I289" s="262"/>
      <c r="J289" s="351"/>
      <c r="K289" s="351"/>
      <c r="L289" s="351"/>
      <c r="M289" s="351"/>
      <c r="N289" s="351"/>
      <c r="O289" s="351"/>
      <c r="P289" s="261">
        <v>0.185</v>
      </c>
      <c r="Q289" s="260">
        <v>1</v>
      </c>
      <c r="R289" s="260" t="s">
        <v>20</v>
      </c>
      <c r="S289" s="260">
        <v>2006</v>
      </c>
      <c r="T289" s="260" t="s">
        <v>161</v>
      </c>
      <c r="U289" s="386">
        <v>42653</v>
      </c>
      <c r="V289" s="387"/>
      <c r="W289" s="354">
        <f>COUNT(RawMaterials[[#This Row],[Lab Quantity 1]:[Lab Quantity 4]])</f>
        <v>0</v>
      </c>
      <c r="X28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9" s="392" t="e">
        <f>RawMaterials[[#This Row],[Lab Price 1]]/RawMaterials[[#This Row],[Lab Q Model Units 1]]</f>
        <v>#N/A</v>
      </c>
      <c r="AC289" s="392" t="e">
        <f>RawMaterials[[#This Row],[Lab Price 2]]/RawMaterials[[#This Row],[Lab Q Model Units 2]]</f>
        <v>#N/A</v>
      </c>
      <c r="AD289" s="392" t="e">
        <f>RawMaterials[[#This Row],[Lab Price 3]]/RawMaterials[[#This Row],[Lab Q Model Units 3]]</f>
        <v>#N/A</v>
      </c>
      <c r="AE289" s="392" t="e">
        <f>RawMaterials[[#This Row],[Lab Price 4]]/RawMaterials[[#This Row],[Lab Q Model Units 4]]</f>
        <v>#N/A</v>
      </c>
      <c r="AF289" s="392" t="str">
        <f ca="1">IF(RawMaterials[[#This Row],[Lab Quote Count]]&gt;1,SLOPE(LOG(INDIRECT("RawMaterials[@[Lab Unit P 1]:[Lab Unit P "&amp;RawMaterials[[#This Row],[Lab Quote Count]]&amp;"]]")),LOG(INDIRECT("RawMaterials[@[Lab Q Model Units 1]:[Lab Q Model Units "&amp;RawMaterials[[#This Row],[Lab Quote Count]]&amp;"]]"))),"")</f>
        <v/>
      </c>
      <c r="AG289" s="392" t="str">
        <f ca="1">IF(RawMaterials[[#This Row],[Lab Quote Count]]&gt;1,INTERCEPT(LOG(INDIRECT("RawMaterials[@[Lab Unit P 1]:[Lab Unit P "&amp;RawMaterials[[#This Row],[Lab Quote Count]]&amp;"]]")),LOG(INDIRECT("RawMaterials[@[Lab Q Model Units 1]:[Lab Q Model Units "&amp;RawMaterials[[#This Row],[Lab Quote Count]]&amp;"]]"))),"")</f>
        <v/>
      </c>
      <c r="AH289" s="393" t="str">
        <f>IF(RawMaterials[[#This Row],[Material Type]]="Metal Precursor","D13",IF(RawMaterials[[#This Row],[Material Type]]="Ligand","D13","D12"))</f>
        <v>D12</v>
      </c>
      <c r="AI289" s="394" t="str">
        <f ca="1">IF(RawMaterials[[#This Row],[Lab Quote Count]]&gt;1,10^RawMaterials[[#This Row],[Lab Log-Log Intercept]]*INDIRECT(RawMaterials[[#This Row],[Basis Cell]])^RawMaterials[[#This Row],[Lab Log-Log Slope]],"&gt;&gt;&gt; Enter 2 or more lab quotes &lt;&lt;&lt;")</f>
        <v>&gt;&gt;&gt; Enter 2 or more lab quotes &lt;&lt;&lt;</v>
      </c>
      <c r="AJ28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0.4078551850420235</v>
      </c>
      <c r="AL289" s="396">
        <f>IF(ISTEXT(RawMaterials[[#This Row],[Unit price in quote year]]),"Check calcs",RawMaterials[[#This Row],[Unit price in quote year]]/VLOOKUP(RawMaterials[[#This Row],[Quote Year]],ChemPPI[],14,FALSE)*VLOOKUP(BasisYear,ChemPPI[],14,FALSE))</f>
        <v>0.55354735734107974</v>
      </c>
      <c r="AM289" s="397" t="str">
        <f t="shared" si="4"/>
        <v>$/kg (2016)</v>
      </c>
    </row>
    <row r="290" spans="1:39">
      <c r="A290" s="259" t="s">
        <v>1381</v>
      </c>
      <c r="B290" s="260"/>
      <c r="C290" s="351"/>
      <c r="D290" s="351"/>
      <c r="E290" s="260">
        <v>100</v>
      </c>
      <c r="F290" s="260"/>
      <c r="G290" s="351"/>
      <c r="H290" s="351"/>
      <c r="I290" s="262"/>
      <c r="J290" s="351"/>
      <c r="K290" s="351"/>
      <c r="L290" s="351"/>
      <c r="M290" s="351"/>
      <c r="N290" s="351"/>
      <c r="O290" s="351"/>
      <c r="P290" s="261">
        <v>0.52500000000000002</v>
      </c>
      <c r="Q290" s="260">
        <v>1</v>
      </c>
      <c r="R290" s="260" t="s">
        <v>20</v>
      </c>
      <c r="S290" s="260">
        <v>2006</v>
      </c>
      <c r="T290" s="260" t="s">
        <v>161</v>
      </c>
      <c r="U290" s="386">
        <v>42653</v>
      </c>
      <c r="V290" s="387"/>
      <c r="W290" s="354">
        <f>COUNT(RawMaterials[[#This Row],[Lab Quantity 1]:[Lab Quantity 4]])</f>
        <v>0</v>
      </c>
      <c r="X29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0" s="392" t="e">
        <f>RawMaterials[[#This Row],[Lab Price 1]]/RawMaterials[[#This Row],[Lab Q Model Units 1]]</f>
        <v>#N/A</v>
      </c>
      <c r="AC290" s="392" t="e">
        <f>RawMaterials[[#This Row],[Lab Price 2]]/RawMaterials[[#This Row],[Lab Q Model Units 2]]</f>
        <v>#N/A</v>
      </c>
      <c r="AD290" s="392" t="e">
        <f>RawMaterials[[#This Row],[Lab Price 3]]/RawMaterials[[#This Row],[Lab Q Model Units 3]]</f>
        <v>#N/A</v>
      </c>
      <c r="AE290" s="392" t="e">
        <f>RawMaterials[[#This Row],[Lab Price 4]]/RawMaterials[[#This Row],[Lab Q Model Units 4]]</f>
        <v>#N/A</v>
      </c>
      <c r="AF290" s="392" t="str">
        <f ca="1">IF(RawMaterials[[#This Row],[Lab Quote Count]]&gt;1,SLOPE(LOG(INDIRECT("RawMaterials[@[Lab Unit P 1]:[Lab Unit P "&amp;RawMaterials[[#This Row],[Lab Quote Count]]&amp;"]]")),LOG(INDIRECT("RawMaterials[@[Lab Q Model Units 1]:[Lab Q Model Units "&amp;RawMaterials[[#This Row],[Lab Quote Count]]&amp;"]]"))),"")</f>
        <v/>
      </c>
      <c r="AG290" s="392" t="str">
        <f ca="1">IF(RawMaterials[[#This Row],[Lab Quote Count]]&gt;1,INTERCEPT(LOG(INDIRECT("RawMaterials[@[Lab Unit P 1]:[Lab Unit P "&amp;RawMaterials[[#This Row],[Lab Quote Count]]&amp;"]]")),LOG(INDIRECT("RawMaterials[@[Lab Q Model Units 1]:[Lab Q Model Units "&amp;RawMaterials[[#This Row],[Lab Quote Count]]&amp;"]]"))),"")</f>
        <v/>
      </c>
      <c r="AH290" s="393" t="str">
        <f>IF(RawMaterials[[#This Row],[Material Type]]="Metal Precursor","D13",IF(RawMaterials[[#This Row],[Material Type]]="Ligand","D13","D12"))</f>
        <v>D12</v>
      </c>
      <c r="AI290" s="394" t="str">
        <f ca="1">IF(RawMaterials[[#This Row],[Lab Quote Count]]&gt;1,10^RawMaterials[[#This Row],[Lab Log-Log Intercept]]*INDIRECT(RawMaterials[[#This Row],[Basis Cell]])^RawMaterials[[#This Row],[Lab Log-Log Slope]],"&gt;&gt;&gt; Enter 2 or more lab quotes &lt;&lt;&lt;")</f>
        <v>&gt;&gt;&gt; Enter 2 or more lab quotes &lt;&lt;&lt;</v>
      </c>
      <c r="AJ29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1.1574268764706073</v>
      </c>
      <c r="AL290" s="396">
        <f>IF(ISTEXT(RawMaterials[[#This Row],[Unit price in quote year]]),"Check calcs",RawMaterials[[#This Row],[Unit price in quote year]]/VLOOKUP(RawMaterials[[#This Row],[Quote Year]],ChemPPI[],14,FALSE)*VLOOKUP(BasisYear,ChemPPI[],14,FALSE))</f>
        <v>1.5708776356976588</v>
      </c>
      <c r="AM290" s="397" t="str">
        <f t="shared" si="4"/>
        <v>$/kg (2016)</v>
      </c>
    </row>
    <row r="291" spans="1:39">
      <c r="A291" s="259" t="s">
        <v>1382</v>
      </c>
      <c r="B291" s="260"/>
      <c r="C291" s="351"/>
      <c r="D291" s="351"/>
      <c r="E291" s="260">
        <v>100</v>
      </c>
      <c r="F291" s="260"/>
      <c r="G291" s="351"/>
      <c r="H291" s="351"/>
      <c r="I291" s="262"/>
      <c r="J291" s="351"/>
      <c r="K291" s="351"/>
      <c r="L291" s="351"/>
      <c r="M291" s="351"/>
      <c r="N291" s="351"/>
      <c r="O291" s="351"/>
      <c r="P291" s="261">
        <v>0.7</v>
      </c>
      <c r="Q291" s="260">
        <v>1</v>
      </c>
      <c r="R291" s="260" t="s">
        <v>20</v>
      </c>
      <c r="S291" s="260">
        <v>2006</v>
      </c>
      <c r="T291" s="260" t="s">
        <v>161</v>
      </c>
      <c r="U291" s="386">
        <v>42653</v>
      </c>
      <c r="V291" s="387"/>
      <c r="W291" s="354">
        <f>COUNT(RawMaterials[[#This Row],[Lab Quantity 1]:[Lab Quantity 4]])</f>
        <v>0</v>
      </c>
      <c r="X29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1" s="392" t="e">
        <f>RawMaterials[[#This Row],[Lab Price 1]]/RawMaterials[[#This Row],[Lab Q Model Units 1]]</f>
        <v>#N/A</v>
      </c>
      <c r="AC291" s="392" t="e">
        <f>RawMaterials[[#This Row],[Lab Price 2]]/RawMaterials[[#This Row],[Lab Q Model Units 2]]</f>
        <v>#N/A</v>
      </c>
      <c r="AD291" s="392" t="e">
        <f>RawMaterials[[#This Row],[Lab Price 3]]/RawMaterials[[#This Row],[Lab Q Model Units 3]]</f>
        <v>#N/A</v>
      </c>
      <c r="AE291" s="392" t="e">
        <f>RawMaterials[[#This Row],[Lab Price 4]]/RawMaterials[[#This Row],[Lab Q Model Units 4]]</f>
        <v>#N/A</v>
      </c>
      <c r="AF291" s="392" t="str">
        <f ca="1">IF(RawMaterials[[#This Row],[Lab Quote Count]]&gt;1,SLOPE(LOG(INDIRECT("RawMaterials[@[Lab Unit P 1]:[Lab Unit P "&amp;RawMaterials[[#This Row],[Lab Quote Count]]&amp;"]]")),LOG(INDIRECT("RawMaterials[@[Lab Q Model Units 1]:[Lab Q Model Units "&amp;RawMaterials[[#This Row],[Lab Quote Count]]&amp;"]]"))),"")</f>
        <v/>
      </c>
      <c r="AG291" s="392" t="str">
        <f ca="1">IF(RawMaterials[[#This Row],[Lab Quote Count]]&gt;1,INTERCEPT(LOG(INDIRECT("RawMaterials[@[Lab Unit P 1]:[Lab Unit P "&amp;RawMaterials[[#This Row],[Lab Quote Count]]&amp;"]]")),LOG(INDIRECT("RawMaterials[@[Lab Q Model Units 1]:[Lab Q Model Units "&amp;RawMaterials[[#This Row],[Lab Quote Count]]&amp;"]]"))),"")</f>
        <v/>
      </c>
      <c r="AH291" s="393" t="str">
        <f>IF(RawMaterials[[#This Row],[Material Type]]="Metal Precursor","D13",IF(RawMaterials[[#This Row],[Material Type]]="Ligand","D13","D12"))</f>
        <v>D12</v>
      </c>
      <c r="AI291" s="394" t="str">
        <f ca="1">IF(RawMaterials[[#This Row],[Lab Quote Count]]&gt;1,10^RawMaterials[[#This Row],[Lab Log-Log Intercept]]*INDIRECT(RawMaterials[[#This Row],[Basis Cell]])^RawMaterials[[#This Row],[Lab Log-Log Slope]],"&gt;&gt;&gt; Enter 2 or more lab quotes &lt;&lt;&lt;")</f>
        <v>&gt;&gt;&gt; Enter 2 or more lab quotes &lt;&lt;&lt;</v>
      </c>
      <c r="AJ29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1.5432358352941429</v>
      </c>
      <c r="AL291" s="396">
        <f>IF(ISTEXT(RawMaterials[[#This Row],[Unit price in quote year]]),"Check calcs",RawMaterials[[#This Row],[Unit price in quote year]]/VLOOKUP(RawMaterials[[#This Row],[Quote Year]],ChemPPI[],14,FALSE)*VLOOKUP(BasisYear,ChemPPI[],14,FALSE))</f>
        <v>2.0945035142635451</v>
      </c>
      <c r="AM291" s="397" t="str">
        <f t="shared" si="4"/>
        <v>$/kg (2016)</v>
      </c>
    </row>
    <row r="292" spans="1:39">
      <c r="A292" s="259" t="s">
        <v>1383</v>
      </c>
      <c r="B292" s="260"/>
      <c r="C292" s="351"/>
      <c r="D292" s="351"/>
      <c r="E292" s="260">
        <v>100</v>
      </c>
      <c r="F292" s="260"/>
      <c r="G292" s="351"/>
      <c r="H292" s="351"/>
      <c r="I292" s="262"/>
      <c r="J292" s="351"/>
      <c r="K292" s="351"/>
      <c r="L292" s="351"/>
      <c r="M292" s="351"/>
      <c r="N292" s="351"/>
      <c r="O292" s="351"/>
      <c r="P292" s="261">
        <v>0.82499999999999996</v>
      </c>
      <c r="Q292" s="260">
        <v>1</v>
      </c>
      <c r="R292" s="260" t="s">
        <v>20</v>
      </c>
      <c r="S292" s="260">
        <v>2006</v>
      </c>
      <c r="T292" s="260" t="s">
        <v>161</v>
      </c>
      <c r="U292" s="386">
        <v>42653</v>
      </c>
      <c r="V292" s="387"/>
      <c r="W292" s="354">
        <f>COUNT(RawMaterials[[#This Row],[Lab Quantity 1]:[Lab Quantity 4]])</f>
        <v>0</v>
      </c>
      <c r="X29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2" s="392" t="e">
        <f>RawMaterials[[#This Row],[Lab Price 1]]/RawMaterials[[#This Row],[Lab Q Model Units 1]]</f>
        <v>#N/A</v>
      </c>
      <c r="AC292" s="392" t="e">
        <f>RawMaterials[[#This Row],[Lab Price 2]]/RawMaterials[[#This Row],[Lab Q Model Units 2]]</f>
        <v>#N/A</v>
      </c>
      <c r="AD292" s="392" t="e">
        <f>RawMaterials[[#This Row],[Lab Price 3]]/RawMaterials[[#This Row],[Lab Q Model Units 3]]</f>
        <v>#N/A</v>
      </c>
      <c r="AE292" s="392" t="e">
        <f>RawMaterials[[#This Row],[Lab Price 4]]/RawMaterials[[#This Row],[Lab Q Model Units 4]]</f>
        <v>#N/A</v>
      </c>
      <c r="AF292" s="392" t="str">
        <f ca="1">IF(RawMaterials[[#This Row],[Lab Quote Count]]&gt;1,SLOPE(LOG(INDIRECT("RawMaterials[@[Lab Unit P 1]:[Lab Unit P "&amp;RawMaterials[[#This Row],[Lab Quote Count]]&amp;"]]")),LOG(INDIRECT("RawMaterials[@[Lab Q Model Units 1]:[Lab Q Model Units "&amp;RawMaterials[[#This Row],[Lab Quote Count]]&amp;"]]"))),"")</f>
        <v/>
      </c>
      <c r="AG292" s="392" t="str">
        <f ca="1">IF(RawMaterials[[#This Row],[Lab Quote Count]]&gt;1,INTERCEPT(LOG(INDIRECT("RawMaterials[@[Lab Unit P 1]:[Lab Unit P "&amp;RawMaterials[[#This Row],[Lab Quote Count]]&amp;"]]")),LOG(INDIRECT("RawMaterials[@[Lab Q Model Units 1]:[Lab Q Model Units "&amp;RawMaterials[[#This Row],[Lab Quote Count]]&amp;"]]"))),"")</f>
        <v/>
      </c>
      <c r="AH292" s="393" t="str">
        <f>IF(RawMaterials[[#This Row],[Material Type]]="Metal Precursor","D13",IF(RawMaterials[[#This Row],[Material Type]]="Ligand","D13","D12"))</f>
        <v>D12</v>
      </c>
      <c r="AI292" s="394" t="str">
        <f ca="1">IF(RawMaterials[[#This Row],[Lab Quote Count]]&gt;1,10^RawMaterials[[#This Row],[Lab Log-Log Intercept]]*INDIRECT(RawMaterials[[#This Row],[Basis Cell]])^RawMaterials[[#This Row],[Lab Log-Log Slope]],"&gt;&gt;&gt; Enter 2 or more lab quotes &lt;&lt;&lt;")</f>
        <v>&gt;&gt;&gt; Enter 2 or more lab quotes &lt;&lt;&lt;</v>
      </c>
      <c r="AJ29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1.8188136630252398</v>
      </c>
      <c r="AL292" s="396">
        <f>IF(ISTEXT(RawMaterials[[#This Row],[Unit price in quote year]]),"Check calcs",RawMaterials[[#This Row],[Unit price in quote year]]/VLOOKUP(RawMaterials[[#This Row],[Quote Year]],ChemPPI[],14,FALSE)*VLOOKUP(BasisYear,ChemPPI[],14,FALSE))</f>
        <v>2.4685219989534639</v>
      </c>
      <c r="AM292" s="397" t="str">
        <f t="shared" si="4"/>
        <v>$/kg (2016)</v>
      </c>
    </row>
    <row r="293" spans="1:39">
      <c r="A293" s="259" t="s">
        <v>1384</v>
      </c>
      <c r="B293" s="260"/>
      <c r="C293" s="351"/>
      <c r="D293" s="351"/>
      <c r="E293" s="260">
        <v>100</v>
      </c>
      <c r="F293" s="260"/>
      <c r="G293" s="351"/>
      <c r="H293" s="351"/>
      <c r="I293" s="262"/>
      <c r="J293" s="351"/>
      <c r="K293" s="351"/>
      <c r="L293" s="351"/>
      <c r="M293" s="351"/>
      <c r="N293" s="351"/>
      <c r="O293" s="351"/>
      <c r="P293" s="261">
        <v>3.5</v>
      </c>
      <c r="Q293" s="260">
        <v>1</v>
      </c>
      <c r="R293" s="260" t="s">
        <v>20</v>
      </c>
      <c r="S293" s="260">
        <v>2006</v>
      </c>
      <c r="T293" s="260" t="s">
        <v>161</v>
      </c>
      <c r="U293" s="386">
        <v>42653</v>
      </c>
      <c r="V293" s="387"/>
      <c r="W293" s="354">
        <f>COUNT(RawMaterials[[#This Row],[Lab Quantity 1]:[Lab Quantity 4]])</f>
        <v>0</v>
      </c>
      <c r="X29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3" s="392" t="e">
        <f>RawMaterials[[#This Row],[Lab Price 1]]/RawMaterials[[#This Row],[Lab Q Model Units 1]]</f>
        <v>#N/A</v>
      </c>
      <c r="AC293" s="392" t="e">
        <f>RawMaterials[[#This Row],[Lab Price 2]]/RawMaterials[[#This Row],[Lab Q Model Units 2]]</f>
        <v>#N/A</v>
      </c>
      <c r="AD293" s="392" t="e">
        <f>RawMaterials[[#This Row],[Lab Price 3]]/RawMaterials[[#This Row],[Lab Q Model Units 3]]</f>
        <v>#N/A</v>
      </c>
      <c r="AE293" s="392" t="e">
        <f>RawMaterials[[#This Row],[Lab Price 4]]/RawMaterials[[#This Row],[Lab Q Model Units 4]]</f>
        <v>#N/A</v>
      </c>
      <c r="AF293" s="392" t="str">
        <f ca="1">IF(RawMaterials[[#This Row],[Lab Quote Count]]&gt;1,SLOPE(LOG(INDIRECT("RawMaterials[@[Lab Unit P 1]:[Lab Unit P "&amp;RawMaterials[[#This Row],[Lab Quote Count]]&amp;"]]")),LOG(INDIRECT("RawMaterials[@[Lab Q Model Units 1]:[Lab Q Model Units "&amp;RawMaterials[[#This Row],[Lab Quote Count]]&amp;"]]"))),"")</f>
        <v/>
      </c>
      <c r="AG293" s="392" t="str">
        <f ca="1">IF(RawMaterials[[#This Row],[Lab Quote Count]]&gt;1,INTERCEPT(LOG(INDIRECT("RawMaterials[@[Lab Unit P 1]:[Lab Unit P "&amp;RawMaterials[[#This Row],[Lab Quote Count]]&amp;"]]")),LOG(INDIRECT("RawMaterials[@[Lab Q Model Units 1]:[Lab Q Model Units "&amp;RawMaterials[[#This Row],[Lab Quote Count]]&amp;"]]"))),"")</f>
        <v/>
      </c>
      <c r="AH293" s="393" t="str">
        <f>IF(RawMaterials[[#This Row],[Material Type]]="Metal Precursor","D13",IF(RawMaterials[[#This Row],[Material Type]]="Ligand","D13","D12"))</f>
        <v>D12</v>
      </c>
      <c r="AI293" s="394" t="str">
        <f ca="1">IF(RawMaterials[[#This Row],[Lab Quote Count]]&gt;1,10^RawMaterials[[#This Row],[Lab Log-Log Intercept]]*INDIRECT(RawMaterials[[#This Row],[Basis Cell]])^RawMaterials[[#This Row],[Lab Log-Log Slope]],"&gt;&gt;&gt; Enter 2 or more lab quotes &lt;&lt;&lt;")</f>
        <v>&gt;&gt;&gt; Enter 2 or more lab quotes &lt;&lt;&lt;</v>
      </c>
      <c r="AJ29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7.7161791764707148</v>
      </c>
      <c r="AL293" s="396">
        <f>IF(ISTEXT(RawMaterials[[#This Row],[Unit price in quote year]]),"Check calcs",RawMaterials[[#This Row],[Unit price in quote year]]/VLOOKUP(RawMaterials[[#This Row],[Quote Year]],ChemPPI[],14,FALSE)*VLOOKUP(BasisYear,ChemPPI[],14,FALSE))</f>
        <v>10.472517571317725</v>
      </c>
      <c r="AM293" s="397" t="str">
        <f t="shared" si="4"/>
        <v>$/kg (2016)</v>
      </c>
    </row>
    <row r="294" spans="1:39">
      <c r="A294" s="259" t="s">
        <v>1385</v>
      </c>
      <c r="B294" s="260"/>
      <c r="C294" s="351"/>
      <c r="D294" s="351"/>
      <c r="E294" s="260">
        <v>100</v>
      </c>
      <c r="F294" s="260"/>
      <c r="G294" s="351"/>
      <c r="H294" s="351"/>
      <c r="I294" s="262"/>
      <c r="J294" s="351"/>
      <c r="K294" s="351"/>
      <c r="L294" s="351"/>
      <c r="M294" s="351"/>
      <c r="N294" s="351"/>
      <c r="O294" s="351"/>
      <c r="P294" s="261">
        <v>0.72</v>
      </c>
      <c r="Q294" s="260">
        <v>1</v>
      </c>
      <c r="R294" s="260" t="s">
        <v>20</v>
      </c>
      <c r="S294" s="260">
        <v>2006</v>
      </c>
      <c r="T294" s="260" t="s">
        <v>161</v>
      </c>
      <c r="U294" s="386">
        <v>42653</v>
      </c>
      <c r="V294" s="387"/>
      <c r="W294" s="354">
        <f>COUNT(RawMaterials[[#This Row],[Lab Quantity 1]:[Lab Quantity 4]])</f>
        <v>0</v>
      </c>
      <c r="X29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4" s="392" t="e">
        <f>RawMaterials[[#This Row],[Lab Price 1]]/RawMaterials[[#This Row],[Lab Q Model Units 1]]</f>
        <v>#N/A</v>
      </c>
      <c r="AC294" s="392" t="e">
        <f>RawMaterials[[#This Row],[Lab Price 2]]/RawMaterials[[#This Row],[Lab Q Model Units 2]]</f>
        <v>#N/A</v>
      </c>
      <c r="AD294" s="392" t="e">
        <f>RawMaterials[[#This Row],[Lab Price 3]]/RawMaterials[[#This Row],[Lab Q Model Units 3]]</f>
        <v>#N/A</v>
      </c>
      <c r="AE294" s="392" t="e">
        <f>RawMaterials[[#This Row],[Lab Price 4]]/RawMaterials[[#This Row],[Lab Q Model Units 4]]</f>
        <v>#N/A</v>
      </c>
      <c r="AF294" s="392" t="str">
        <f ca="1">IF(RawMaterials[[#This Row],[Lab Quote Count]]&gt;1,SLOPE(LOG(INDIRECT("RawMaterials[@[Lab Unit P 1]:[Lab Unit P "&amp;RawMaterials[[#This Row],[Lab Quote Count]]&amp;"]]")),LOG(INDIRECT("RawMaterials[@[Lab Q Model Units 1]:[Lab Q Model Units "&amp;RawMaterials[[#This Row],[Lab Quote Count]]&amp;"]]"))),"")</f>
        <v/>
      </c>
      <c r="AG294" s="392" t="str">
        <f ca="1">IF(RawMaterials[[#This Row],[Lab Quote Count]]&gt;1,INTERCEPT(LOG(INDIRECT("RawMaterials[@[Lab Unit P 1]:[Lab Unit P "&amp;RawMaterials[[#This Row],[Lab Quote Count]]&amp;"]]")),LOG(INDIRECT("RawMaterials[@[Lab Q Model Units 1]:[Lab Q Model Units "&amp;RawMaterials[[#This Row],[Lab Quote Count]]&amp;"]]"))),"")</f>
        <v/>
      </c>
      <c r="AH294" s="393" t="str">
        <f>IF(RawMaterials[[#This Row],[Material Type]]="Metal Precursor","D13",IF(RawMaterials[[#This Row],[Material Type]]="Ligand","D13","D12"))</f>
        <v>D12</v>
      </c>
      <c r="AI294" s="394" t="str">
        <f ca="1">IF(RawMaterials[[#This Row],[Lab Quote Count]]&gt;1,10^RawMaterials[[#This Row],[Lab Log-Log Intercept]]*INDIRECT(RawMaterials[[#This Row],[Basis Cell]])^RawMaterials[[#This Row],[Lab Log-Log Slope]],"&gt;&gt;&gt; Enter 2 or more lab quotes &lt;&lt;&lt;")</f>
        <v>&gt;&gt;&gt; Enter 2 or more lab quotes &lt;&lt;&lt;</v>
      </c>
      <c r="AJ29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1.5873282877311183</v>
      </c>
      <c r="AL294" s="396">
        <f>IF(ISTEXT(RawMaterials[[#This Row],[Unit price in quote year]]),"Check calcs",RawMaterials[[#This Row],[Unit price in quote year]]/VLOOKUP(RawMaterials[[#This Row],[Quote Year]],ChemPPI[],14,FALSE)*VLOOKUP(BasisYear,ChemPPI[],14,FALSE))</f>
        <v>2.1543464718139318</v>
      </c>
      <c r="AM294" s="397" t="str">
        <f t="shared" si="4"/>
        <v>$/kg (2016)</v>
      </c>
    </row>
    <row r="295" spans="1:39">
      <c r="A295" s="259" t="s">
        <v>1386</v>
      </c>
      <c r="B295" s="260"/>
      <c r="C295" s="351"/>
      <c r="D295" s="351"/>
      <c r="E295" s="260">
        <v>100</v>
      </c>
      <c r="F295" s="260"/>
      <c r="G295" s="351"/>
      <c r="H295" s="351"/>
      <c r="I295" s="262"/>
      <c r="J295" s="351"/>
      <c r="K295" s="351"/>
      <c r="L295" s="351"/>
      <c r="M295" s="351"/>
      <c r="N295" s="351"/>
      <c r="O295" s="351"/>
      <c r="P295" s="261">
        <v>0.625</v>
      </c>
      <c r="Q295" s="260">
        <v>1</v>
      </c>
      <c r="R295" s="260" t="s">
        <v>20</v>
      </c>
      <c r="S295" s="260">
        <v>2006</v>
      </c>
      <c r="T295" s="260" t="s">
        <v>161</v>
      </c>
      <c r="U295" s="386">
        <v>42653</v>
      </c>
      <c r="V295" s="387"/>
      <c r="W295" s="354">
        <f>COUNT(RawMaterials[[#This Row],[Lab Quantity 1]:[Lab Quantity 4]])</f>
        <v>0</v>
      </c>
      <c r="X29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5" s="392" t="e">
        <f>RawMaterials[[#This Row],[Lab Price 1]]/RawMaterials[[#This Row],[Lab Q Model Units 1]]</f>
        <v>#N/A</v>
      </c>
      <c r="AC295" s="392" t="e">
        <f>RawMaterials[[#This Row],[Lab Price 2]]/RawMaterials[[#This Row],[Lab Q Model Units 2]]</f>
        <v>#N/A</v>
      </c>
      <c r="AD295" s="392" t="e">
        <f>RawMaterials[[#This Row],[Lab Price 3]]/RawMaterials[[#This Row],[Lab Q Model Units 3]]</f>
        <v>#N/A</v>
      </c>
      <c r="AE295" s="392" t="e">
        <f>RawMaterials[[#This Row],[Lab Price 4]]/RawMaterials[[#This Row],[Lab Q Model Units 4]]</f>
        <v>#N/A</v>
      </c>
      <c r="AF295" s="392" t="str">
        <f ca="1">IF(RawMaterials[[#This Row],[Lab Quote Count]]&gt;1,SLOPE(LOG(INDIRECT("RawMaterials[@[Lab Unit P 1]:[Lab Unit P "&amp;RawMaterials[[#This Row],[Lab Quote Count]]&amp;"]]")),LOG(INDIRECT("RawMaterials[@[Lab Q Model Units 1]:[Lab Q Model Units "&amp;RawMaterials[[#This Row],[Lab Quote Count]]&amp;"]]"))),"")</f>
        <v/>
      </c>
      <c r="AG295" s="392" t="str">
        <f ca="1">IF(RawMaterials[[#This Row],[Lab Quote Count]]&gt;1,INTERCEPT(LOG(INDIRECT("RawMaterials[@[Lab Unit P 1]:[Lab Unit P "&amp;RawMaterials[[#This Row],[Lab Quote Count]]&amp;"]]")),LOG(INDIRECT("RawMaterials[@[Lab Q Model Units 1]:[Lab Q Model Units "&amp;RawMaterials[[#This Row],[Lab Quote Count]]&amp;"]]"))),"")</f>
        <v/>
      </c>
      <c r="AH295" s="393" t="str">
        <f>IF(RawMaterials[[#This Row],[Material Type]]="Metal Precursor","D13",IF(RawMaterials[[#This Row],[Material Type]]="Ligand","D13","D12"))</f>
        <v>D12</v>
      </c>
      <c r="AI295" s="394" t="str">
        <f ca="1">IF(RawMaterials[[#This Row],[Lab Quote Count]]&gt;1,10^RawMaterials[[#This Row],[Lab Log-Log Intercept]]*INDIRECT(RawMaterials[[#This Row],[Basis Cell]])^RawMaterials[[#This Row],[Lab Log-Log Slope]],"&gt;&gt;&gt; Enter 2 or more lab quotes &lt;&lt;&lt;")</f>
        <v>&gt;&gt;&gt; Enter 2 or more lab quotes &lt;&lt;&lt;</v>
      </c>
      <c r="AJ29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1.3778891386554848</v>
      </c>
      <c r="AL295" s="396">
        <f>IF(ISTEXT(RawMaterials[[#This Row],[Unit price in quote year]]),"Check calcs",RawMaterials[[#This Row],[Unit price in quote year]]/VLOOKUP(RawMaterials[[#This Row],[Quote Year]],ChemPPI[],14,FALSE)*VLOOKUP(BasisYear,ChemPPI[],14,FALSE))</f>
        <v>1.8700924234495937</v>
      </c>
      <c r="AM295" s="397" t="str">
        <f t="shared" si="4"/>
        <v>$/kg (2016)</v>
      </c>
    </row>
    <row r="296" spans="1:39">
      <c r="A296" s="259" t="s">
        <v>1387</v>
      </c>
      <c r="B296" s="260"/>
      <c r="C296" s="351"/>
      <c r="D296" s="351"/>
      <c r="E296" s="260">
        <v>100</v>
      </c>
      <c r="F296" s="260"/>
      <c r="G296" s="351"/>
      <c r="H296" s="351"/>
      <c r="I296" s="262"/>
      <c r="J296" s="351"/>
      <c r="K296" s="351"/>
      <c r="L296" s="351"/>
      <c r="M296" s="351"/>
      <c r="N296" s="351"/>
      <c r="O296" s="351"/>
      <c r="P296" s="261">
        <v>0.5</v>
      </c>
      <c r="Q296" s="260">
        <v>1</v>
      </c>
      <c r="R296" s="260" t="s">
        <v>401</v>
      </c>
      <c r="S296" s="260">
        <v>2006</v>
      </c>
      <c r="T296" s="260" t="s">
        <v>161</v>
      </c>
      <c r="U296" s="386">
        <v>42653</v>
      </c>
      <c r="V296" s="387"/>
      <c r="W296" s="354">
        <f>COUNT(RawMaterials[[#This Row],[Lab Quantity 1]:[Lab Quantity 4]])</f>
        <v>0</v>
      </c>
      <c r="X29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6" s="392" t="e">
        <f>RawMaterials[[#This Row],[Lab Price 1]]/RawMaterials[[#This Row],[Lab Q Model Units 1]]</f>
        <v>#N/A</v>
      </c>
      <c r="AC296" s="392" t="e">
        <f>RawMaterials[[#This Row],[Lab Price 2]]/RawMaterials[[#This Row],[Lab Q Model Units 2]]</f>
        <v>#N/A</v>
      </c>
      <c r="AD296" s="392" t="e">
        <f>RawMaterials[[#This Row],[Lab Price 3]]/RawMaterials[[#This Row],[Lab Q Model Units 3]]</f>
        <v>#N/A</v>
      </c>
      <c r="AE296" s="392" t="e">
        <f>RawMaterials[[#This Row],[Lab Price 4]]/RawMaterials[[#This Row],[Lab Q Model Units 4]]</f>
        <v>#N/A</v>
      </c>
      <c r="AF296" s="392" t="str">
        <f ca="1">IF(RawMaterials[[#This Row],[Lab Quote Count]]&gt;1,SLOPE(LOG(INDIRECT("RawMaterials[@[Lab Unit P 1]:[Lab Unit P "&amp;RawMaterials[[#This Row],[Lab Quote Count]]&amp;"]]")),LOG(INDIRECT("RawMaterials[@[Lab Q Model Units 1]:[Lab Q Model Units "&amp;RawMaterials[[#This Row],[Lab Quote Count]]&amp;"]]"))),"")</f>
        <v/>
      </c>
      <c r="AG296" s="392" t="str">
        <f ca="1">IF(RawMaterials[[#This Row],[Lab Quote Count]]&gt;1,INTERCEPT(LOG(INDIRECT("RawMaterials[@[Lab Unit P 1]:[Lab Unit P "&amp;RawMaterials[[#This Row],[Lab Quote Count]]&amp;"]]")),LOG(INDIRECT("RawMaterials[@[Lab Q Model Units 1]:[Lab Q Model Units "&amp;RawMaterials[[#This Row],[Lab Quote Count]]&amp;"]]"))),"")</f>
        <v/>
      </c>
      <c r="AH296" s="393" t="str">
        <f>IF(RawMaterials[[#This Row],[Material Type]]="Metal Precursor","D13",IF(RawMaterials[[#This Row],[Material Type]]="Ligand","D13","D12"))</f>
        <v>D12</v>
      </c>
      <c r="AI296" s="394" t="str">
        <f ca="1">IF(RawMaterials[[#This Row],[Lab Quote Count]]&gt;1,10^RawMaterials[[#This Row],[Lab Log-Log Intercept]]*INDIRECT(RawMaterials[[#This Row],[Basis Cell]])^RawMaterials[[#This Row],[Lab Log-Log Slope]],"&gt;&gt;&gt; Enter 2 or more lab quotes &lt;&lt;&lt;")</f>
        <v>&gt;&gt;&gt; Enter 2 or more lab quotes &lt;&lt;&lt;</v>
      </c>
      <c r="AJ29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9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5.5115565546219397E-4</v>
      </c>
      <c r="AL296" s="396">
        <f>IF(ISTEXT(RawMaterials[[#This Row],[Unit price in quote year]]),"Check calcs",RawMaterials[[#This Row],[Unit price in quote year]]/VLOOKUP(RawMaterials[[#This Row],[Quote Year]],ChemPPI[],14,FALSE)*VLOOKUP(BasisYear,ChemPPI[],14,FALSE))</f>
        <v>7.4803696937983757E-4</v>
      </c>
      <c r="AM296" s="397" t="str">
        <f t="shared" si="4"/>
        <v>$/kg (2016)</v>
      </c>
    </row>
    <row r="297" spans="1:39">
      <c r="A297" s="259" t="s">
        <v>1388</v>
      </c>
      <c r="B297" s="260"/>
      <c r="C297" s="351"/>
      <c r="D297" s="351"/>
      <c r="E297" s="260">
        <v>100</v>
      </c>
      <c r="F297" s="260"/>
      <c r="G297" s="351"/>
      <c r="H297" s="351"/>
      <c r="I297" s="262"/>
      <c r="J297" s="351"/>
      <c r="K297" s="351"/>
      <c r="L297" s="351"/>
      <c r="M297" s="351"/>
      <c r="N297" s="351"/>
      <c r="O297" s="351"/>
      <c r="P297" s="261">
        <v>0.91</v>
      </c>
      <c r="Q297" s="260">
        <v>1</v>
      </c>
      <c r="R297" s="260" t="s">
        <v>20</v>
      </c>
      <c r="S297" s="260">
        <v>2008</v>
      </c>
      <c r="T297" s="260" t="s">
        <v>161</v>
      </c>
      <c r="U297" s="386">
        <v>42653</v>
      </c>
      <c r="V297" s="387"/>
      <c r="W297" s="354">
        <f>COUNT(RawMaterials[[#This Row],[Lab Quantity 1]:[Lab Quantity 4]])</f>
        <v>0</v>
      </c>
      <c r="X29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7" s="392" t="e">
        <f>RawMaterials[[#This Row],[Lab Price 1]]/RawMaterials[[#This Row],[Lab Q Model Units 1]]</f>
        <v>#N/A</v>
      </c>
      <c r="AC297" s="392" t="e">
        <f>RawMaterials[[#This Row],[Lab Price 2]]/RawMaterials[[#This Row],[Lab Q Model Units 2]]</f>
        <v>#N/A</v>
      </c>
      <c r="AD297" s="392" t="e">
        <f>RawMaterials[[#This Row],[Lab Price 3]]/RawMaterials[[#This Row],[Lab Q Model Units 3]]</f>
        <v>#N/A</v>
      </c>
      <c r="AE297" s="392" t="e">
        <f>RawMaterials[[#This Row],[Lab Price 4]]/RawMaterials[[#This Row],[Lab Q Model Units 4]]</f>
        <v>#N/A</v>
      </c>
      <c r="AF297" s="392" t="str">
        <f ca="1">IF(RawMaterials[[#This Row],[Lab Quote Count]]&gt;1,SLOPE(LOG(INDIRECT("RawMaterials[@[Lab Unit P 1]:[Lab Unit P "&amp;RawMaterials[[#This Row],[Lab Quote Count]]&amp;"]]")),LOG(INDIRECT("RawMaterials[@[Lab Q Model Units 1]:[Lab Q Model Units "&amp;RawMaterials[[#This Row],[Lab Quote Count]]&amp;"]]"))),"")</f>
        <v/>
      </c>
      <c r="AG297" s="392" t="str">
        <f ca="1">IF(RawMaterials[[#This Row],[Lab Quote Count]]&gt;1,INTERCEPT(LOG(INDIRECT("RawMaterials[@[Lab Unit P 1]:[Lab Unit P "&amp;RawMaterials[[#This Row],[Lab Quote Count]]&amp;"]]")),LOG(INDIRECT("RawMaterials[@[Lab Q Model Units 1]:[Lab Q Model Units "&amp;RawMaterials[[#This Row],[Lab Quote Count]]&amp;"]]"))),"")</f>
        <v/>
      </c>
      <c r="AH297" s="393" t="str">
        <f>IF(RawMaterials[[#This Row],[Material Type]]="Metal Precursor","D13",IF(RawMaterials[[#This Row],[Material Type]]="Ligand","D13","D12"))</f>
        <v>D12</v>
      </c>
      <c r="AI297" s="394" t="str">
        <f ca="1">IF(RawMaterials[[#This Row],[Lab Quote Count]]&gt;1,10^RawMaterials[[#This Row],[Lab Log-Log Intercept]]*INDIRECT(RawMaterials[[#This Row],[Basis Cell]])^RawMaterials[[#This Row],[Lab Log-Log Slope]],"&gt;&gt;&gt; Enter 2 or more lab quotes &lt;&lt;&lt;")</f>
        <v>&gt;&gt;&gt; Enter 2 or more lab quotes &lt;&lt;&lt;</v>
      </c>
      <c r="AJ29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2.0062065858823859</v>
      </c>
      <c r="AL297" s="396">
        <f>IF(ISTEXT(RawMaterials[[#This Row],[Unit price in quote year]]),"Check calcs",RawMaterials[[#This Row],[Unit price in quote year]]/VLOOKUP(RawMaterials[[#This Row],[Quote Year]],ChemPPI[],14,FALSE)*VLOOKUP(BasisYear,ChemPPI[],14,FALSE))</f>
        <v>2.348107850673808</v>
      </c>
      <c r="AM297" s="397" t="str">
        <f t="shared" si="4"/>
        <v>$/kg (2016)</v>
      </c>
    </row>
    <row r="298" spans="1:39">
      <c r="A298" s="259" t="s">
        <v>1389</v>
      </c>
      <c r="B298" s="260"/>
      <c r="C298" s="351"/>
      <c r="D298" s="351"/>
      <c r="E298" s="260">
        <v>100</v>
      </c>
      <c r="F298" s="260"/>
      <c r="G298" s="351"/>
      <c r="H298" s="351"/>
      <c r="I298" s="262"/>
      <c r="J298" s="351"/>
      <c r="K298" s="351"/>
      <c r="L298" s="351"/>
      <c r="M298" s="351"/>
      <c r="N298" s="351"/>
      <c r="O298" s="351"/>
      <c r="P298" s="261">
        <v>900</v>
      </c>
      <c r="Q298" s="260">
        <v>1</v>
      </c>
      <c r="R298" s="260" t="s">
        <v>20</v>
      </c>
      <c r="S298" s="260">
        <v>2006</v>
      </c>
      <c r="T298" s="260" t="s">
        <v>161</v>
      </c>
      <c r="U298" s="386">
        <v>42653</v>
      </c>
      <c r="V298" s="387"/>
      <c r="W298" s="354">
        <f>COUNT(RawMaterials[[#This Row],[Lab Quantity 1]:[Lab Quantity 4]])</f>
        <v>0</v>
      </c>
      <c r="X29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8" s="392" t="e">
        <f>RawMaterials[[#This Row],[Lab Price 1]]/RawMaterials[[#This Row],[Lab Q Model Units 1]]</f>
        <v>#N/A</v>
      </c>
      <c r="AC298" s="392" t="e">
        <f>RawMaterials[[#This Row],[Lab Price 2]]/RawMaterials[[#This Row],[Lab Q Model Units 2]]</f>
        <v>#N/A</v>
      </c>
      <c r="AD298" s="392" t="e">
        <f>RawMaterials[[#This Row],[Lab Price 3]]/RawMaterials[[#This Row],[Lab Q Model Units 3]]</f>
        <v>#N/A</v>
      </c>
      <c r="AE298" s="392" t="e">
        <f>RawMaterials[[#This Row],[Lab Price 4]]/RawMaterials[[#This Row],[Lab Q Model Units 4]]</f>
        <v>#N/A</v>
      </c>
      <c r="AF298" s="392" t="str">
        <f ca="1">IF(RawMaterials[[#This Row],[Lab Quote Count]]&gt;1,SLOPE(LOG(INDIRECT("RawMaterials[@[Lab Unit P 1]:[Lab Unit P "&amp;RawMaterials[[#This Row],[Lab Quote Count]]&amp;"]]")),LOG(INDIRECT("RawMaterials[@[Lab Q Model Units 1]:[Lab Q Model Units "&amp;RawMaterials[[#This Row],[Lab Quote Count]]&amp;"]]"))),"")</f>
        <v/>
      </c>
      <c r="AG298" s="392" t="str">
        <f ca="1">IF(RawMaterials[[#This Row],[Lab Quote Count]]&gt;1,INTERCEPT(LOG(INDIRECT("RawMaterials[@[Lab Unit P 1]:[Lab Unit P "&amp;RawMaterials[[#This Row],[Lab Quote Count]]&amp;"]]")),LOG(INDIRECT("RawMaterials[@[Lab Q Model Units 1]:[Lab Q Model Units "&amp;RawMaterials[[#This Row],[Lab Quote Count]]&amp;"]]"))),"")</f>
        <v/>
      </c>
      <c r="AH298" s="393" t="str">
        <f>IF(RawMaterials[[#This Row],[Material Type]]="Metal Precursor","D13",IF(RawMaterials[[#This Row],[Material Type]]="Ligand","D13","D12"))</f>
        <v>D12</v>
      </c>
      <c r="AI298" s="394" t="str">
        <f ca="1">IF(RawMaterials[[#This Row],[Lab Quote Count]]&gt;1,10^RawMaterials[[#This Row],[Lab Log-Log Intercept]]*INDIRECT(RawMaterials[[#This Row],[Basis Cell]])^RawMaterials[[#This Row],[Lab Log-Log Slope]],"&gt;&gt;&gt; Enter 2 or more lab quotes &lt;&lt;&lt;")</f>
        <v>&gt;&gt;&gt; Enter 2 or more lab quotes &lt;&lt;&lt;</v>
      </c>
      <c r="AJ29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1984.1603596638981</v>
      </c>
      <c r="AL298" s="396">
        <f>IF(ISTEXT(RawMaterials[[#This Row],[Unit price in quote year]]),"Check calcs",RawMaterials[[#This Row],[Unit price in quote year]]/VLOOKUP(RawMaterials[[#This Row],[Quote Year]],ChemPPI[],14,FALSE)*VLOOKUP(BasisYear,ChemPPI[],14,FALSE))</f>
        <v>2692.9330897674149</v>
      </c>
      <c r="AM298" s="397" t="str">
        <f t="shared" si="4"/>
        <v>$/kg (2016)</v>
      </c>
    </row>
    <row r="299" spans="1:39">
      <c r="A299" s="259" t="s">
        <v>1390</v>
      </c>
      <c r="B299" s="260"/>
      <c r="C299" s="351"/>
      <c r="D299" s="351"/>
      <c r="E299" s="260">
        <v>100</v>
      </c>
      <c r="F299" s="260"/>
      <c r="G299" s="351"/>
      <c r="H299" s="351"/>
      <c r="I299" s="262"/>
      <c r="J299" s="351"/>
      <c r="K299" s="351"/>
      <c r="L299" s="351"/>
      <c r="M299" s="351"/>
      <c r="N299" s="351"/>
      <c r="O299" s="351"/>
      <c r="P299" s="261">
        <v>0.32</v>
      </c>
      <c r="Q299" s="260">
        <v>1</v>
      </c>
      <c r="R299" s="260" t="s">
        <v>71</v>
      </c>
      <c r="S299" s="260">
        <v>2006</v>
      </c>
      <c r="T299" s="260" t="s">
        <v>161</v>
      </c>
      <c r="U299" s="386">
        <v>42653</v>
      </c>
      <c r="V299" s="387"/>
      <c r="W299" s="354">
        <f>COUNT(RawMaterials[[#This Row],[Lab Quantity 1]:[Lab Quantity 4]])</f>
        <v>0</v>
      </c>
      <c r="X29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9" s="392" t="e">
        <f>RawMaterials[[#This Row],[Lab Price 1]]/RawMaterials[[#This Row],[Lab Q Model Units 1]]</f>
        <v>#N/A</v>
      </c>
      <c r="AC299" s="392" t="e">
        <f>RawMaterials[[#This Row],[Lab Price 2]]/RawMaterials[[#This Row],[Lab Q Model Units 2]]</f>
        <v>#N/A</v>
      </c>
      <c r="AD299" s="392" t="e">
        <f>RawMaterials[[#This Row],[Lab Price 3]]/RawMaterials[[#This Row],[Lab Q Model Units 3]]</f>
        <v>#N/A</v>
      </c>
      <c r="AE299" s="392" t="e">
        <f>RawMaterials[[#This Row],[Lab Price 4]]/RawMaterials[[#This Row],[Lab Q Model Units 4]]</f>
        <v>#N/A</v>
      </c>
      <c r="AF299" s="392" t="str">
        <f ca="1">IF(RawMaterials[[#This Row],[Lab Quote Count]]&gt;1,SLOPE(LOG(INDIRECT("RawMaterials[@[Lab Unit P 1]:[Lab Unit P "&amp;RawMaterials[[#This Row],[Lab Quote Count]]&amp;"]]")),LOG(INDIRECT("RawMaterials[@[Lab Q Model Units 1]:[Lab Q Model Units "&amp;RawMaterials[[#This Row],[Lab Quote Count]]&amp;"]]"))),"")</f>
        <v/>
      </c>
      <c r="AG299" s="392" t="str">
        <f ca="1">IF(RawMaterials[[#This Row],[Lab Quote Count]]&gt;1,INTERCEPT(LOG(INDIRECT("RawMaterials[@[Lab Unit P 1]:[Lab Unit P "&amp;RawMaterials[[#This Row],[Lab Quote Count]]&amp;"]]")),LOG(INDIRECT("RawMaterials[@[Lab Q Model Units 1]:[Lab Q Model Units "&amp;RawMaterials[[#This Row],[Lab Quote Count]]&amp;"]]"))),"")</f>
        <v/>
      </c>
      <c r="AH299" s="393" t="str">
        <f>IF(RawMaterials[[#This Row],[Material Type]]="Metal Precursor","D13",IF(RawMaterials[[#This Row],[Material Type]]="Ligand","D13","D12"))</f>
        <v>D12</v>
      </c>
      <c r="AI299" s="394" t="str">
        <f ca="1">IF(RawMaterials[[#This Row],[Lab Quote Count]]&gt;1,10^RawMaterials[[#This Row],[Lab Log-Log Intercept]]*INDIRECT(RawMaterials[[#This Row],[Basis Cell]])^RawMaterials[[#This Row],[Lab Log-Log Slope]],"&gt;&gt;&gt; Enter 2 or more lab quotes &lt;&lt;&lt;")</f>
        <v>&gt;&gt;&gt; Enter 2 or more lab quotes &lt;&lt;&lt;</v>
      </c>
      <c r="AJ29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0.32</v>
      </c>
      <c r="AL299" s="396">
        <f>IF(ISTEXT(RawMaterials[[#This Row],[Unit price in quote year]]),"Check calcs",RawMaterials[[#This Row],[Unit price in quote year]]/VLOOKUP(RawMaterials[[#This Row],[Quote Year]],ChemPPI[],14,FALSE)*VLOOKUP(BasisYear,ChemPPI[],14,FALSE))</f>
        <v>0.43430894308943097</v>
      </c>
      <c r="AM299" s="397" t="str">
        <f t="shared" si="4"/>
        <v>$/kg (2016)</v>
      </c>
    </row>
    <row r="300" spans="1:39">
      <c r="A300" s="259" t="s">
        <v>1391</v>
      </c>
      <c r="B300" s="260"/>
      <c r="C300" s="351"/>
      <c r="D300" s="351"/>
      <c r="E300" s="260">
        <v>100</v>
      </c>
      <c r="F300" s="260"/>
      <c r="G300" s="351"/>
      <c r="H300" s="351"/>
      <c r="I300" s="262"/>
      <c r="J300" s="351"/>
      <c r="K300" s="351"/>
      <c r="L300" s="351"/>
      <c r="M300" s="351"/>
      <c r="N300" s="351"/>
      <c r="O300" s="351"/>
      <c r="P300" s="261">
        <v>20</v>
      </c>
      <c r="Q300" s="260">
        <v>1</v>
      </c>
      <c r="R300" s="260" t="s">
        <v>20</v>
      </c>
      <c r="S300" s="260">
        <v>2006</v>
      </c>
      <c r="T300" s="260" t="s">
        <v>161</v>
      </c>
      <c r="U300" s="386">
        <v>42653</v>
      </c>
      <c r="V300" s="387"/>
      <c r="W300" s="354">
        <f>COUNT(RawMaterials[[#This Row],[Lab Quantity 1]:[Lab Quantity 4]])</f>
        <v>0</v>
      </c>
      <c r="X30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0" s="392" t="e">
        <f>RawMaterials[[#This Row],[Lab Price 1]]/RawMaterials[[#This Row],[Lab Q Model Units 1]]</f>
        <v>#N/A</v>
      </c>
      <c r="AC300" s="392" t="e">
        <f>RawMaterials[[#This Row],[Lab Price 2]]/RawMaterials[[#This Row],[Lab Q Model Units 2]]</f>
        <v>#N/A</v>
      </c>
      <c r="AD300" s="392" t="e">
        <f>RawMaterials[[#This Row],[Lab Price 3]]/RawMaterials[[#This Row],[Lab Q Model Units 3]]</f>
        <v>#N/A</v>
      </c>
      <c r="AE300" s="392" t="e">
        <f>RawMaterials[[#This Row],[Lab Price 4]]/RawMaterials[[#This Row],[Lab Q Model Units 4]]</f>
        <v>#N/A</v>
      </c>
      <c r="AF300" s="392" t="str">
        <f ca="1">IF(RawMaterials[[#This Row],[Lab Quote Count]]&gt;1,SLOPE(LOG(INDIRECT("RawMaterials[@[Lab Unit P 1]:[Lab Unit P "&amp;RawMaterials[[#This Row],[Lab Quote Count]]&amp;"]]")),LOG(INDIRECT("RawMaterials[@[Lab Q Model Units 1]:[Lab Q Model Units "&amp;RawMaterials[[#This Row],[Lab Quote Count]]&amp;"]]"))),"")</f>
        <v/>
      </c>
      <c r="AG300" s="392" t="str">
        <f ca="1">IF(RawMaterials[[#This Row],[Lab Quote Count]]&gt;1,INTERCEPT(LOG(INDIRECT("RawMaterials[@[Lab Unit P 1]:[Lab Unit P "&amp;RawMaterials[[#This Row],[Lab Quote Count]]&amp;"]]")),LOG(INDIRECT("RawMaterials[@[Lab Q Model Units 1]:[Lab Q Model Units "&amp;RawMaterials[[#This Row],[Lab Quote Count]]&amp;"]]"))),"")</f>
        <v/>
      </c>
      <c r="AH300" s="393" t="str">
        <f>IF(RawMaterials[[#This Row],[Material Type]]="Metal Precursor","D13",IF(RawMaterials[[#This Row],[Material Type]]="Ligand","D13","D12"))</f>
        <v>D12</v>
      </c>
      <c r="AI300" s="394" t="str">
        <f ca="1">IF(RawMaterials[[#This Row],[Lab Quote Count]]&gt;1,10^RawMaterials[[#This Row],[Lab Log-Log Intercept]]*INDIRECT(RawMaterials[[#This Row],[Basis Cell]])^RawMaterials[[#This Row],[Lab Log-Log Slope]],"&gt;&gt;&gt; Enter 2 or more lab quotes &lt;&lt;&lt;")</f>
        <v>&gt;&gt;&gt; Enter 2 or more lab quotes &lt;&lt;&lt;</v>
      </c>
      <c r="AJ30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44.092452436975513</v>
      </c>
      <c r="AL300" s="396">
        <f>IF(ISTEXT(RawMaterials[[#This Row],[Unit price in quote year]]),"Check calcs",RawMaterials[[#This Row],[Unit price in quote year]]/VLOOKUP(RawMaterials[[#This Row],[Quote Year]],ChemPPI[],14,FALSE)*VLOOKUP(BasisYear,ChemPPI[],14,FALSE))</f>
        <v>59.842957550386998</v>
      </c>
      <c r="AM300" s="397" t="str">
        <f t="shared" si="4"/>
        <v>$/kg (2016)</v>
      </c>
    </row>
    <row r="301" spans="1:39">
      <c r="A301" s="259" t="s">
        <v>1392</v>
      </c>
      <c r="B301" s="260"/>
      <c r="C301" s="351"/>
      <c r="D301" s="351"/>
      <c r="E301" s="260">
        <v>100</v>
      </c>
      <c r="F301" s="260"/>
      <c r="G301" s="351"/>
      <c r="H301" s="351"/>
      <c r="I301" s="262"/>
      <c r="J301" s="351"/>
      <c r="K301" s="351"/>
      <c r="L301" s="351"/>
      <c r="M301" s="351"/>
      <c r="N301" s="351"/>
      <c r="O301" s="351"/>
      <c r="P301" s="261">
        <v>19.25</v>
      </c>
      <c r="Q301" s="260">
        <v>1</v>
      </c>
      <c r="R301" s="260" t="s">
        <v>71</v>
      </c>
      <c r="S301" s="260">
        <v>2006</v>
      </c>
      <c r="T301" s="260" t="s">
        <v>161</v>
      </c>
      <c r="U301" s="386">
        <v>42653</v>
      </c>
      <c r="V301" s="387"/>
      <c r="W301" s="354">
        <f>COUNT(RawMaterials[[#This Row],[Lab Quantity 1]:[Lab Quantity 4]])</f>
        <v>0</v>
      </c>
      <c r="X30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1" s="392" t="e">
        <f>RawMaterials[[#This Row],[Lab Price 1]]/RawMaterials[[#This Row],[Lab Q Model Units 1]]</f>
        <v>#N/A</v>
      </c>
      <c r="AC301" s="392" t="e">
        <f>RawMaterials[[#This Row],[Lab Price 2]]/RawMaterials[[#This Row],[Lab Q Model Units 2]]</f>
        <v>#N/A</v>
      </c>
      <c r="AD301" s="392" t="e">
        <f>RawMaterials[[#This Row],[Lab Price 3]]/RawMaterials[[#This Row],[Lab Q Model Units 3]]</f>
        <v>#N/A</v>
      </c>
      <c r="AE301" s="392" t="e">
        <f>RawMaterials[[#This Row],[Lab Price 4]]/RawMaterials[[#This Row],[Lab Q Model Units 4]]</f>
        <v>#N/A</v>
      </c>
      <c r="AF301" s="392" t="str">
        <f ca="1">IF(RawMaterials[[#This Row],[Lab Quote Count]]&gt;1,SLOPE(LOG(INDIRECT("RawMaterials[@[Lab Unit P 1]:[Lab Unit P "&amp;RawMaterials[[#This Row],[Lab Quote Count]]&amp;"]]")),LOG(INDIRECT("RawMaterials[@[Lab Q Model Units 1]:[Lab Q Model Units "&amp;RawMaterials[[#This Row],[Lab Quote Count]]&amp;"]]"))),"")</f>
        <v/>
      </c>
      <c r="AG301" s="392" t="str">
        <f ca="1">IF(RawMaterials[[#This Row],[Lab Quote Count]]&gt;1,INTERCEPT(LOG(INDIRECT("RawMaterials[@[Lab Unit P 1]:[Lab Unit P "&amp;RawMaterials[[#This Row],[Lab Quote Count]]&amp;"]]")),LOG(INDIRECT("RawMaterials[@[Lab Q Model Units 1]:[Lab Q Model Units "&amp;RawMaterials[[#This Row],[Lab Quote Count]]&amp;"]]"))),"")</f>
        <v/>
      </c>
      <c r="AH301" s="393" t="str">
        <f>IF(RawMaterials[[#This Row],[Material Type]]="Metal Precursor","D13",IF(RawMaterials[[#This Row],[Material Type]]="Ligand","D13","D12"))</f>
        <v>D12</v>
      </c>
      <c r="AI301" s="394" t="str">
        <f ca="1">IF(RawMaterials[[#This Row],[Lab Quote Count]]&gt;1,10^RawMaterials[[#This Row],[Lab Log-Log Intercept]]*INDIRECT(RawMaterials[[#This Row],[Basis Cell]])^RawMaterials[[#This Row],[Lab Log-Log Slope]],"&gt;&gt;&gt; Enter 2 or more lab quotes &lt;&lt;&lt;")</f>
        <v>&gt;&gt;&gt; Enter 2 or more lab quotes &lt;&lt;&lt;</v>
      </c>
      <c r="AJ30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19.25</v>
      </c>
      <c r="AL301" s="396">
        <f>IF(ISTEXT(RawMaterials[[#This Row],[Unit price in quote year]]),"Check calcs",RawMaterials[[#This Row],[Unit price in quote year]]/VLOOKUP(RawMaterials[[#This Row],[Quote Year]],ChemPPI[],14,FALSE)*VLOOKUP(BasisYear,ChemPPI[],14,FALSE))</f>
        <v>26.126397357723583</v>
      </c>
      <c r="AM301" s="397" t="str">
        <f t="shared" si="4"/>
        <v>$/kg (2016)</v>
      </c>
    </row>
    <row r="302" spans="1:39">
      <c r="A302" s="259" t="s">
        <v>1393</v>
      </c>
      <c r="B302" s="260"/>
      <c r="C302" s="351"/>
      <c r="D302" s="351">
        <v>0.79200000000000004</v>
      </c>
      <c r="E302" s="260">
        <v>100</v>
      </c>
      <c r="F302" s="260"/>
      <c r="G302" s="351"/>
      <c r="H302" s="351"/>
      <c r="I302" s="262"/>
      <c r="J302" s="351"/>
      <c r="K302" s="351"/>
      <c r="L302" s="351"/>
      <c r="M302" s="351"/>
      <c r="N302" s="351"/>
      <c r="O302" s="351"/>
      <c r="P302" s="261">
        <v>2.02</v>
      </c>
      <c r="Q302" s="260">
        <v>1</v>
      </c>
      <c r="R302" s="260" t="s">
        <v>85</v>
      </c>
      <c r="S302" s="260">
        <v>2008</v>
      </c>
      <c r="T302" s="260" t="s">
        <v>161</v>
      </c>
      <c r="U302" s="386">
        <v>42653</v>
      </c>
      <c r="V302" s="387"/>
      <c r="W302" s="354">
        <f>COUNT(RawMaterials[[#This Row],[Lab Quantity 1]:[Lab Quantity 4]])</f>
        <v>0</v>
      </c>
      <c r="X30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2" s="392" t="e">
        <f>RawMaterials[[#This Row],[Lab Price 1]]/RawMaterials[[#This Row],[Lab Q Model Units 1]]</f>
        <v>#N/A</v>
      </c>
      <c r="AC302" s="392" t="e">
        <f>RawMaterials[[#This Row],[Lab Price 2]]/RawMaterials[[#This Row],[Lab Q Model Units 2]]</f>
        <v>#N/A</v>
      </c>
      <c r="AD302" s="392" t="e">
        <f>RawMaterials[[#This Row],[Lab Price 3]]/RawMaterials[[#This Row],[Lab Q Model Units 3]]</f>
        <v>#N/A</v>
      </c>
      <c r="AE302" s="392" t="e">
        <f>RawMaterials[[#This Row],[Lab Price 4]]/RawMaterials[[#This Row],[Lab Q Model Units 4]]</f>
        <v>#N/A</v>
      </c>
      <c r="AF302" s="392" t="str">
        <f ca="1">IF(RawMaterials[[#This Row],[Lab Quote Count]]&gt;1,SLOPE(LOG(INDIRECT("RawMaterials[@[Lab Unit P 1]:[Lab Unit P "&amp;RawMaterials[[#This Row],[Lab Quote Count]]&amp;"]]")),LOG(INDIRECT("RawMaterials[@[Lab Q Model Units 1]:[Lab Q Model Units "&amp;RawMaterials[[#This Row],[Lab Quote Count]]&amp;"]]"))),"")</f>
        <v/>
      </c>
      <c r="AG302" s="392" t="str">
        <f ca="1">IF(RawMaterials[[#This Row],[Lab Quote Count]]&gt;1,INTERCEPT(LOG(INDIRECT("RawMaterials[@[Lab Unit P 1]:[Lab Unit P "&amp;RawMaterials[[#This Row],[Lab Quote Count]]&amp;"]]")),LOG(INDIRECT("RawMaterials[@[Lab Q Model Units 1]:[Lab Q Model Units "&amp;RawMaterials[[#This Row],[Lab Quote Count]]&amp;"]]"))),"")</f>
        <v/>
      </c>
      <c r="AH302" s="393" t="str">
        <f>IF(RawMaterials[[#This Row],[Material Type]]="Metal Precursor","D13",IF(RawMaterials[[#This Row],[Material Type]]="Ligand","D13","D12"))</f>
        <v>D12</v>
      </c>
      <c r="AI302" s="394" t="str">
        <f ca="1">IF(RawMaterials[[#This Row],[Lab Quote Count]]&gt;1,10^RawMaterials[[#This Row],[Lab Log-Log Intercept]]*INDIRECT(RawMaterials[[#This Row],[Basis Cell]])^RawMaterials[[#This Row],[Lab Log-Log Slope]],"&gt;&gt;&gt; Enter 2 or more lab quotes &lt;&lt;&lt;")</f>
        <v>&gt;&gt;&gt; Enter 2 or more lab quotes &lt;&lt;&lt;</v>
      </c>
      <c r="AJ30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2.9980461329280002</v>
      </c>
      <c r="AK30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0.67377215374174215</v>
      </c>
      <c r="AL302" s="396">
        <f>IF(ISTEXT(RawMaterials[[#This Row],[Unit price in quote year]]),"Check calcs",RawMaterials[[#This Row],[Unit price in quote year]]/VLOOKUP(RawMaterials[[#This Row],[Quote Year]],ChemPPI[],14,FALSE)*VLOOKUP(BasisYear,ChemPPI[],14,FALSE))</f>
        <v>0.78859759254081863</v>
      </c>
      <c r="AM302" s="397" t="str">
        <f t="shared" si="4"/>
        <v>$/kg (2016)</v>
      </c>
    </row>
    <row r="303" spans="1:39">
      <c r="A303" s="259" t="s">
        <v>1394</v>
      </c>
      <c r="B303" s="260"/>
      <c r="C303" s="351"/>
      <c r="D303" s="351">
        <v>0.79200000000000004</v>
      </c>
      <c r="E303" s="260">
        <v>100</v>
      </c>
      <c r="F303" s="260"/>
      <c r="G303" s="351"/>
      <c r="H303" s="351"/>
      <c r="I303" s="262"/>
      <c r="J303" s="351"/>
      <c r="K303" s="351"/>
      <c r="L303" s="351"/>
      <c r="M303" s="351"/>
      <c r="N303" s="351"/>
      <c r="O303" s="351"/>
      <c r="P303" s="261">
        <v>1.4849999999999901</v>
      </c>
      <c r="Q303" s="260">
        <v>1</v>
      </c>
      <c r="R303" s="260" t="s">
        <v>85</v>
      </c>
      <c r="S303" s="260">
        <v>2008</v>
      </c>
      <c r="T303" s="260" t="s">
        <v>161</v>
      </c>
      <c r="U303" s="386">
        <v>42653</v>
      </c>
      <c r="V303" s="387"/>
      <c r="W303" s="354">
        <f>COUNT(RawMaterials[[#This Row],[Lab Quantity 1]:[Lab Quantity 4]])</f>
        <v>0</v>
      </c>
      <c r="X30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3" s="392" t="e">
        <f>RawMaterials[[#This Row],[Lab Price 1]]/RawMaterials[[#This Row],[Lab Q Model Units 1]]</f>
        <v>#N/A</v>
      </c>
      <c r="AC303" s="392" t="e">
        <f>RawMaterials[[#This Row],[Lab Price 2]]/RawMaterials[[#This Row],[Lab Q Model Units 2]]</f>
        <v>#N/A</v>
      </c>
      <c r="AD303" s="392" t="e">
        <f>RawMaterials[[#This Row],[Lab Price 3]]/RawMaterials[[#This Row],[Lab Q Model Units 3]]</f>
        <v>#N/A</v>
      </c>
      <c r="AE303" s="392" t="e">
        <f>RawMaterials[[#This Row],[Lab Price 4]]/RawMaterials[[#This Row],[Lab Q Model Units 4]]</f>
        <v>#N/A</v>
      </c>
      <c r="AF303" s="392" t="str">
        <f ca="1">IF(RawMaterials[[#This Row],[Lab Quote Count]]&gt;1,SLOPE(LOG(INDIRECT("RawMaterials[@[Lab Unit P 1]:[Lab Unit P "&amp;RawMaterials[[#This Row],[Lab Quote Count]]&amp;"]]")),LOG(INDIRECT("RawMaterials[@[Lab Q Model Units 1]:[Lab Q Model Units "&amp;RawMaterials[[#This Row],[Lab Quote Count]]&amp;"]]"))),"")</f>
        <v/>
      </c>
      <c r="AG303" s="392" t="str">
        <f ca="1">IF(RawMaterials[[#This Row],[Lab Quote Count]]&gt;1,INTERCEPT(LOG(INDIRECT("RawMaterials[@[Lab Unit P 1]:[Lab Unit P "&amp;RawMaterials[[#This Row],[Lab Quote Count]]&amp;"]]")),LOG(INDIRECT("RawMaterials[@[Lab Q Model Units 1]:[Lab Q Model Units "&amp;RawMaterials[[#This Row],[Lab Quote Count]]&amp;"]]"))),"")</f>
        <v/>
      </c>
      <c r="AH303" s="393" t="str">
        <f>IF(RawMaterials[[#This Row],[Material Type]]="Metal Precursor","D13",IF(RawMaterials[[#This Row],[Material Type]]="Ligand","D13","D12"))</f>
        <v>D12</v>
      </c>
      <c r="AI303" s="394" t="str">
        <f ca="1">IF(RawMaterials[[#This Row],[Lab Quote Count]]&gt;1,10^RawMaterials[[#This Row],[Lab Log-Log Intercept]]*INDIRECT(RawMaterials[[#This Row],[Basis Cell]])^RawMaterials[[#This Row],[Lab Log-Log Slope]],"&gt;&gt;&gt; Enter 2 or more lab quotes &lt;&lt;&lt;")</f>
        <v>&gt;&gt;&gt; Enter 2 or more lab quotes &lt;&lt;&lt;</v>
      </c>
      <c r="AJ30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2.9980461329280002</v>
      </c>
      <c r="AK30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0.49532259817152496</v>
      </c>
      <c r="AL303" s="396">
        <f>IF(ISTEXT(RawMaterials[[#This Row],[Unit price in quote year]]),"Check calcs",RawMaterials[[#This Row],[Unit price in quote year]]/VLOOKUP(RawMaterials[[#This Row],[Quote Year]],ChemPPI[],14,FALSE)*VLOOKUP(BasisYear,ChemPPI[],14,FALSE))</f>
        <v>0.57973634897183557</v>
      </c>
      <c r="AM303" s="397" t="str">
        <f t="shared" si="4"/>
        <v>$/kg (2016)</v>
      </c>
    </row>
    <row r="304" spans="1:39">
      <c r="A304" s="259" t="s">
        <v>1395</v>
      </c>
      <c r="B304" s="260"/>
      <c r="C304" s="351"/>
      <c r="D304" s="351">
        <v>0.79200000000000004</v>
      </c>
      <c r="E304" s="260">
        <v>100</v>
      </c>
      <c r="F304" s="260"/>
      <c r="G304" s="351"/>
      <c r="H304" s="351"/>
      <c r="I304" s="262"/>
      <c r="J304" s="351"/>
      <c r="K304" s="351"/>
      <c r="L304" s="351"/>
      <c r="M304" s="351"/>
      <c r="N304" s="351"/>
      <c r="O304" s="351"/>
      <c r="P304" s="261">
        <v>1.5349999999999999</v>
      </c>
      <c r="Q304" s="260">
        <v>1</v>
      </c>
      <c r="R304" s="260" t="s">
        <v>20</v>
      </c>
      <c r="S304" s="260">
        <v>2008</v>
      </c>
      <c r="T304" s="260" t="s">
        <v>161</v>
      </c>
      <c r="U304" s="386">
        <v>42653</v>
      </c>
      <c r="V304" s="387"/>
      <c r="W304" s="354">
        <f>COUNT(RawMaterials[[#This Row],[Lab Quantity 1]:[Lab Quantity 4]])</f>
        <v>0</v>
      </c>
      <c r="X30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4" s="392" t="e">
        <f>RawMaterials[[#This Row],[Lab Price 1]]/RawMaterials[[#This Row],[Lab Q Model Units 1]]</f>
        <v>#N/A</v>
      </c>
      <c r="AC304" s="392" t="e">
        <f>RawMaterials[[#This Row],[Lab Price 2]]/RawMaterials[[#This Row],[Lab Q Model Units 2]]</f>
        <v>#N/A</v>
      </c>
      <c r="AD304" s="392" t="e">
        <f>RawMaterials[[#This Row],[Lab Price 3]]/RawMaterials[[#This Row],[Lab Q Model Units 3]]</f>
        <v>#N/A</v>
      </c>
      <c r="AE304" s="392" t="e">
        <f>RawMaterials[[#This Row],[Lab Price 4]]/RawMaterials[[#This Row],[Lab Q Model Units 4]]</f>
        <v>#N/A</v>
      </c>
      <c r="AF304" s="392" t="str">
        <f ca="1">IF(RawMaterials[[#This Row],[Lab Quote Count]]&gt;1,SLOPE(LOG(INDIRECT("RawMaterials[@[Lab Unit P 1]:[Lab Unit P "&amp;RawMaterials[[#This Row],[Lab Quote Count]]&amp;"]]")),LOG(INDIRECT("RawMaterials[@[Lab Q Model Units 1]:[Lab Q Model Units "&amp;RawMaterials[[#This Row],[Lab Quote Count]]&amp;"]]"))),"")</f>
        <v/>
      </c>
      <c r="AG304" s="392" t="str">
        <f ca="1">IF(RawMaterials[[#This Row],[Lab Quote Count]]&gt;1,INTERCEPT(LOG(INDIRECT("RawMaterials[@[Lab Unit P 1]:[Lab Unit P "&amp;RawMaterials[[#This Row],[Lab Quote Count]]&amp;"]]")),LOG(INDIRECT("RawMaterials[@[Lab Q Model Units 1]:[Lab Q Model Units "&amp;RawMaterials[[#This Row],[Lab Quote Count]]&amp;"]]"))),"")</f>
        <v/>
      </c>
      <c r="AH304" s="393" t="str">
        <f>IF(RawMaterials[[#This Row],[Material Type]]="Metal Precursor","D13",IF(RawMaterials[[#This Row],[Material Type]]="Ligand","D13","D12"))</f>
        <v>D12</v>
      </c>
      <c r="AI304" s="394" t="str">
        <f ca="1">IF(RawMaterials[[#This Row],[Lab Quote Count]]&gt;1,10^RawMaterials[[#This Row],[Lab Log-Log Intercept]]*INDIRECT(RawMaterials[[#This Row],[Basis Cell]])^RawMaterials[[#This Row],[Lab Log-Log Slope]],"&gt;&gt;&gt; Enter 2 or more lab quotes &lt;&lt;&lt;")</f>
        <v>&gt;&gt;&gt; Enter 2 or more lab quotes &lt;&lt;&lt;</v>
      </c>
      <c r="AJ30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3.3840957245378704</v>
      </c>
      <c r="AL304" s="396">
        <f>IF(ISTEXT(RawMaterials[[#This Row],[Unit price in quote year]]),"Check calcs",RawMaterials[[#This Row],[Unit price in quote year]]/VLOOKUP(RawMaterials[[#This Row],[Quote Year]],ChemPPI[],14,FALSE)*VLOOKUP(BasisYear,ChemPPI[],14,FALSE))</f>
        <v>3.9608192865761489</v>
      </c>
      <c r="AM304" s="397" t="str">
        <f t="shared" si="4"/>
        <v>$/kg (2016)</v>
      </c>
    </row>
    <row r="305" spans="1:39">
      <c r="A305" s="259" t="s">
        <v>1396</v>
      </c>
      <c r="B305" s="260"/>
      <c r="C305" s="351"/>
      <c r="D305" s="351"/>
      <c r="E305" s="260">
        <v>100</v>
      </c>
      <c r="F305" s="260"/>
      <c r="G305" s="351"/>
      <c r="H305" s="351"/>
      <c r="I305" s="262"/>
      <c r="J305" s="351"/>
      <c r="K305" s="351"/>
      <c r="L305" s="351"/>
      <c r="M305" s="351"/>
      <c r="N305" s="351"/>
      <c r="O305" s="351"/>
      <c r="P305" s="261">
        <v>1.42</v>
      </c>
      <c r="Q305" s="260">
        <v>1</v>
      </c>
      <c r="R305" s="260" t="s">
        <v>20</v>
      </c>
      <c r="S305" s="260">
        <v>2006</v>
      </c>
      <c r="T305" s="260" t="s">
        <v>161</v>
      </c>
      <c r="U305" s="386">
        <v>42653</v>
      </c>
      <c r="V305" s="387"/>
      <c r="W305" s="354">
        <f>COUNT(RawMaterials[[#This Row],[Lab Quantity 1]:[Lab Quantity 4]])</f>
        <v>0</v>
      </c>
      <c r="X30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5" s="392" t="e">
        <f>RawMaterials[[#This Row],[Lab Price 1]]/RawMaterials[[#This Row],[Lab Q Model Units 1]]</f>
        <v>#N/A</v>
      </c>
      <c r="AC305" s="392" t="e">
        <f>RawMaterials[[#This Row],[Lab Price 2]]/RawMaterials[[#This Row],[Lab Q Model Units 2]]</f>
        <v>#N/A</v>
      </c>
      <c r="AD305" s="392" t="e">
        <f>RawMaterials[[#This Row],[Lab Price 3]]/RawMaterials[[#This Row],[Lab Q Model Units 3]]</f>
        <v>#N/A</v>
      </c>
      <c r="AE305" s="392" t="e">
        <f>RawMaterials[[#This Row],[Lab Price 4]]/RawMaterials[[#This Row],[Lab Q Model Units 4]]</f>
        <v>#N/A</v>
      </c>
      <c r="AF305" s="392" t="str">
        <f ca="1">IF(RawMaterials[[#This Row],[Lab Quote Count]]&gt;1,SLOPE(LOG(INDIRECT("RawMaterials[@[Lab Unit P 1]:[Lab Unit P "&amp;RawMaterials[[#This Row],[Lab Quote Count]]&amp;"]]")),LOG(INDIRECT("RawMaterials[@[Lab Q Model Units 1]:[Lab Q Model Units "&amp;RawMaterials[[#This Row],[Lab Quote Count]]&amp;"]]"))),"")</f>
        <v/>
      </c>
      <c r="AG305" s="392" t="str">
        <f ca="1">IF(RawMaterials[[#This Row],[Lab Quote Count]]&gt;1,INTERCEPT(LOG(INDIRECT("RawMaterials[@[Lab Unit P 1]:[Lab Unit P "&amp;RawMaterials[[#This Row],[Lab Quote Count]]&amp;"]]")),LOG(INDIRECT("RawMaterials[@[Lab Q Model Units 1]:[Lab Q Model Units "&amp;RawMaterials[[#This Row],[Lab Quote Count]]&amp;"]]"))),"")</f>
        <v/>
      </c>
      <c r="AH305" s="393" t="str">
        <f>IF(RawMaterials[[#This Row],[Material Type]]="Metal Precursor","D13",IF(RawMaterials[[#This Row],[Material Type]]="Ligand","D13","D12"))</f>
        <v>D12</v>
      </c>
      <c r="AI305" s="394" t="str">
        <f ca="1">IF(RawMaterials[[#This Row],[Lab Quote Count]]&gt;1,10^RawMaterials[[#This Row],[Lab Log-Log Intercept]]*INDIRECT(RawMaterials[[#This Row],[Basis Cell]])^RawMaterials[[#This Row],[Lab Log-Log Slope]],"&gt;&gt;&gt; Enter 2 or more lab quotes &lt;&lt;&lt;")</f>
        <v>&gt;&gt;&gt; Enter 2 or more lab quotes &lt;&lt;&lt;</v>
      </c>
      <c r="AJ30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3.1305641230252612</v>
      </c>
      <c r="AL305" s="396">
        <f>IF(ISTEXT(RawMaterials[[#This Row],[Unit price in quote year]]),"Check calcs",RawMaterials[[#This Row],[Unit price in quote year]]/VLOOKUP(RawMaterials[[#This Row],[Quote Year]],ChemPPI[],14,FALSE)*VLOOKUP(BasisYear,ChemPPI[],14,FALSE))</f>
        <v>4.2488499860774773</v>
      </c>
      <c r="AM305" s="397" t="str">
        <f t="shared" si="4"/>
        <v>$/kg (2016)</v>
      </c>
    </row>
    <row r="306" spans="1:39">
      <c r="A306" s="259" t="s">
        <v>1397</v>
      </c>
      <c r="B306" s="260"/>
      <c r="C306" s="351"/>
      <c r="D306" s="351"/>
      <c r="E306" s="260">
        <v>100</v>
      </c>
      <c r="F306" s="260"/>
      <c r="G306" s="351"/>
      <c r="H306" s="351"/>
      <c r="I306" s="262"/>
      <c r="J306" s="351"/>
      <c r="K306" s="351"/>
      <c r="L306" s="351"/>
      <c r="M306" s="351"/>
      <c r="N306" s="351"/>
      <c r="O306" s="351"/>
      <c r="P306" s="261">
        <v>1.665</v>
      </c>
      <c r="Q306" s="260">
        <v>1</v>
      </c>
      <c r="R306" s="260" t="s">
        <v>20</v>
      </c>
      <c r="S306" s="260">
        <v>2006</v>
      </c>
      <c r="T306" s="260" t="s">
        <v>161</v>
      </c>
      <c r="U306" s="386">
        <v>42653</v>
      </c>
      <c r="V306" s="387"/>
      <c r="W306" s="354">
        <f>COUNT(RawMaterials[[#This Row],[Lab Quantity 1]:[Lab Quantity 4]])</f>
        <v>0</v>
      </c>
      <c r="X30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6" s="392" t="e">
        <f>RawMaterials[[#This Row],[Lab Price 1]]/RawMaterials[[#This Row],[Lab Q Model Units 1]]</f>
        <v>#N/A</v>
      </c>
      <c r="AC306" s="392" t="e">
        <f>RawMaterials[[#This Row],[Lab Price 2]]/RawMaterials[[#This Row],[Lab Q Model Units 2]]</f>
        <v>#N/A</v>
      </c>
      <c r="AD306" s="392" t="e">
        <f>RawMaterials[[#This Row],[Lab Price 3]]/RawMaterials[[#This Row],[Lab Q Model Units 3]]</f>
        <v>#N/A</v>
      </c>
      <c r="AE306" s="392" t="e">
        <f>RawMaterials[[#This Row],[Lab Price 4]]/RawMaterials[[#This Row],[Lab Q Model Units 4]]</f>
        <v>#N/A</v>
      </c>
      <c r="AF306" s="392" t="str">
        <f ca="1">IF(RawMaterials[[#This Row],[Lab Quote Count]]&gt;1,SLOPE(LOG(INDIRECT("RawMaterials[@[Lab Unit P 1]:[Lab Unit P "&amp;RawMaterials[[#This Row],[Lab Quote Count]]&amp;"]]")),LOG(INDIRECT("RawMaterials[@[Lab Q Model Units 1]:[Lab Q Model Units "&amp;RawMaterials[[#This Row],[Lab Quote Count]]&amp;"]]"))),"")</f>
        <v/>
      </c>
      <c r="AG306" s="392" t="str">
        <f ca="1">IF(RawMaterials[[#This Row],[Lab Quote Count]]&gt;1,INTERCEPT(LOG(INDIRECT("RawMaterials[@[Lab Unit P 1]:[Lab Unit P "&amp;RawMaterials[[#This Row],[Lab Quote Count]]&amp;"]]")),LOG(INDIRECT("RawMaterials[@[Lab Q Model Units 1]:[Lab Q Model Units "&amp;RawMaterials[[#This Row],[Lab Quote Count]]&amp;"]]"))),"")</f>
        <v/>
      </c>
      <c r="AH306" s="393" t="str">
        <f>IF(RawMaterials[[#This Row],[Material Type]]="Metal Precursor","D13",IF(RawMaterials[[#This Row],[Material Type]]="Ligand","D13","D12"))</f>
        <v>D12</v>
      </c>
      <c r="AI306" s="394" t="str">
        <f ca="1">IF(RawMaterials[[#This Row],[Lab Quote Count]]&gt;1,10^RawMaterials[[#This Row],[Lab Log-Log Intercept]]*INDIRECT(RawMaterials[[#This Row],[Basis Cell]])^RawMaterials[[#This Row],[Lab Log-Log Slope]],"&gt;&gt;&gt; Enter 2 or more lab quotes &lt;&lt;&lt;")</f>
        <v>&gt;&gt;&gt; Enter 2 or more lab quotes &lt;&lt;&lt;</v>
      </c>
      <c r="AJ30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3.6706966653782116</v>
      </c>
      <c r="AL306" s="396">
        <f>IF(ISTEXT(RawMaterials[[#This Row],[Unit price in quote year]]),"Check calcs",RawMaterials[[#This Row],[Unit price in quote year]]/VLOOKUP(RawMaterials[[#This Row],[Quote Year]],ChemPPI[],14,FALSE)*VLOOKUP(BasisYear,ChemPPI[],14,FALSE))</f>
        <v>4.9819262160697173</v>
      </c>
      <c r="AM306" s="397" t="str">
        <f t="shared" si="4"/>
        <v>$/kg (2016)</v>
      </c>
    </row>
    <row r="307" spans="1:39">
      <c r="A307" s="259" t="s">
        <v>1398</v>
      </c>
      <c r="B307" s="260"/>
      <c r="C307" s="351"/>
      <c r="D307" s="351"/>
      <c r="E307" s="260">
        <v>100</v>
      </c>
      <c r="F307" s="260"/>
      <c r="G307" s="351"/>
      <c r="H307" s="351"/>
      <c r="I307" s="262"/>
      <c r="J307" s="351"/>
      <c r="K307" s="351"/>
      <c r="L307" s="351"/>
      <c r="M307" s="351"/>
      <c r="N307" s="351"/>
      <c r="O307" s="351"/>
      <c r="P307" s="261">
        <v>0.83</v>
      </c>
      <c r="Q307" s="260">
        <v>1</v>
      </c>
      <c r="R307" s="260" t="s">
        <v>20</v>
      </c>
      <c r="S307" s="260">
        <v>2006</v>
      </c>
      <c r="T307" s="260" t="s">
        <v>161</v>
      </c>
      <c r="U307" s="386">
        <v>42653</v>
      </c>
      <c r="V307" s="387"/>
      <c r="W307" s="354">
        <f>COUNT(RawMaterials[[#This Row],[Lab Quantity 1]:[Lab Quantity 4]])</f>
        <v>0</v>
      </c>
      <c r="X30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7" s="392" t="e">
        <f>RawMaterials[[#This Row],[Lab Price 1]]/RawMaterials[[#This Row],[Lab Q Model Units 1]]</f>
        <v>#N/A</v>
      </c>
      <c r="AC307" s="392" t="e">
        <f>RawMaterials[[#This Row],[Lab Price 2]]/RawMaterials[[#This Row],[Lab Q Model Units 2]]</f>
        <v>#N/A</v>
      </c>
      <c r="AD307" s="392" t="e">
        <f>RawMaterials[[#This Row],[Lab Price 3]]/RawMaterials[[#This Row],[Lab Q Model Units 3]]</f>
        <v>#N/A</v>
      </c>
      <c r="AE307" s="392" t="e">
        <f>RawMaterials[[#This Row],[Lab Price 4]]/RawMaterials[[#This Row],[Lab Q Model Units 4]]</f>
        <v>#N/A</v>
      </c>
      <c r="AF307" s="392" t="str">
        <f ca="1">IF(RawMaterials[[#This Row],[Lab Quote Count]]&gt;1,SLOPE(LOG(INDIRECT("RawMaterials[@[Lab Unit P 1]:[Lab Unit P "&amp;RawMaterials[[#This Row],[Lab Quote Count]]&amp;"]]")),LOG(INDIRECT("RawMaterials[@[Lab Q Model Units 1]:[Lab Q Model Units "&amp;RawMaterials[[#This Row],[Lab Quote Count]]&amp;"]]"))),"")</f>
        <v/>
      </c>
      <c r="AG307" s="392" t="str">
        <f ca="1">IF(RawMaterials[[#This Row],[Lab Quote Count]]&gt;1,INTERCEPT(LOG(INDIRECT("RawMaterials[@[Lab Unit P 1]:[Lab Unit P "&amp;RawMaterials[[#This Row],[Lab Quote Count]]&amp;"]]")),LOG(INDIRECT("RawMaterials[@[Lab Q Model Units 1]:[Lab Q Model Units "&amp;RawMaterials[[#This Row],[Lab Quote Count]]&amp;"]]"))),"")</f>
        <v/>
      </c>
      <c r="AH307" s="393" t="str">
        <f>IF(RawMaterials[[#This Row],[Material Type]]="Metal Precursor","D13",IF(RawMaterials[[#This Row],[Material Type]]="Ligand","D13","D12"))</f>
        <v>D12</v>
      </c>
      <c r="AI307" s="394" t="str">
        <f ca="1">IF(RawMaterials[[#This Row],[Lab Quote Count]]&gt;1,10^RawMaterials[[#This Row],[Lab Log-Log Intercept]]*INDIRECT(RawMaterials[[#This Row],[Basis Cell]])^RawMaterials[[#This Row],[Lab Log-Log Slope]],"&gt;&gt;&gt; Enter 2 or more lab quotes &lt;&lt;&lt;")</f>
        <v>&gt;&gt;&gt; Enter 2 or more lab quotes &lt;&lt;&lt;</v>
      </c>
      <c r="AJ30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1.8298367761344838</v>
      </c>
      <c r="AL307" s="396">
        <f>IF(ISTEXT(RawMaterials[[#This Row],[Unit price in quote year]]),"Check calcs",RawMaterials[[#This Row],[Unit price in quote year]]/VLOOKUP(RawMaterials[[#This Row],[Quote Year]],ChemPPI[],14,FALSE)*VLOOKUP(BasisYear,ChemPPI[],14,FALSE))</f>
        <v>2.4834827383410607</v>
      </c>
      <c r="AM307" s="397" t="str">
        <f t="shared" si="4"/>
        <v>$/kg (2016)</v>
      </c>
    </row>
    <row r="308" spans="1:39">
      <c r="A308" s="259" t="s">
        <v>1399</v>
      </c>
      <c r="B308" s="260"/>
      <c r="C308" s="351"/>
      <c r="D308" s="351"/>
      <c r="E308" s="260">
        <v>100</v>
      </c>
      <c r="F308" s="260"/>
      <c r="G308" s="351"/>
      <c r="H308" s="351"/>
      <c r="I308" s="262"/>
      <c r="J308" s="351"/>
      <c r="K308" s="351"/>
      <c r="L308" s="351"/>
      <c r="M308" s="351"/>
      <c r="N308" s="351"/>
      <c r="O308" s="351"/>
      <c r="P308" s="261">
        <v>0.33999999999999903</v>
      </c>
      <c r="Q308" s="260">
        <v>1</v>
      </c>
      <c r="R308" s="260" t="s">
        <v>71</v>
      </c>
      <c r="S308" s="260">
        <v>2006</v>
      </c>
      <c r="T308" s="260" t="s">
        <v>161</v>
      </c>
      <c r="U308" s="386">
        <v>42653</v>
      </c>
      <c r="V308" s="387"/>
      <c r="W308" s="354">
        <f>COUNT(RawMaterials[[#This Row],[Lab Quantity 1]:[Lab Quantity 4]])</f>
        <v>0</v>
      </c>
      <c r="X30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8" s="392" t="e">
        <f>RawMaterials[[#This Row],[Lab Price 1]]/RawMaterials[[#This Row],[Lab Q Model Units 1]]</f>
        <v>#N/A</v>
      </c>
      <c r="AC308" s="392" t="e">
        <f>RawMaterials[[#This Row],[Lab Price 2]]/RawMaterials[[#This Row],[Lab Q Model Units 2]]</f>
        <v>#N/A</v>
      </c>
      <c r="AD308" s="392" t="e">
        <f>RawMaterials[[#This Row],[Lab Price 3]]/RawMaterials[[#This Row],[Lab Q Model Units 3]]</f>
        <v>#N/A</v>
      </c>
      <c r="AE308" s="392" t="e">
        <f>RawMaterials[[#This Row],[Lab Price 4]]/RawMaterials[[#This Row],[Lab Q Model Units 4]]</f>
        <v>#N/A</v>
      </c>
      <c r="AF308" s="392" t="str">
        <f ca="1">IF(RawMaterials[[#This Row],[Lab Quote Count]]&gt;1,SLOPE(LOG(INDIRECT("RawMaterials[@[Lab Unit P 1]:[Lab Unit P "&amp;RawMaterials[[#This Row],[Lab Quote Count]]&amp;"]]")),LOG(INDIRECT("RawMaterials[@[Lab Q Model Units 1]:[Lab Q Model Units "&amp;RawMaterials[[#This Row],[Lab Quote Count]]&amp;"]]"))),"")</f>
        <v/>
      </c>
      <c r="AG308" s="392" t="str">
        <f ca="1">IF(RawMaterials[[#This Row],[Lab Quote Count]]&gt;1,INTERCEPT(LOG(INDIRECT("RawMaterials[@[Lab Unit P 1]:[Lab Unit P "&amp;RawMaterials[[#This Row],[Lab Quote Count]]&amp;"]]")),LOG(INDIRECT("RawMaterials[@[Lab Q Model Units 1]:[Lab Q Model Units "&amp;RawMaterials[[#This Row],[Lab Quote Count]]&amp;"]]"))),"")</f>
        <v/>
      </c>
      <c r="AH308" s="393" t="str">
        <f>IF(RawMaterials[[#This Row],[Material Type]]="Metal Precursor","D13",IF(RawMaterials[[#This Row],[Material Type]]="Ligand","D13","D12"))</f>
        <v>D12</v>
      </c>
      <c r="AI308" s="394" t="str">
        <f ca="1">IF(RawMaterials[[#This Row],[Lab Quote Count]]&gt;1,10^RawMaterials[[#This Row],[Lab Log-Log Intercept]]*INDIRECT(RawMaterials[[#This Row],[Basis Cell]])^RawMaterials[[#This Row],[Lab Log-Log Slope]],"&gt;&gt;&gt; Enter 2 or more lab quotes &lt;&lt;&lt;")</f>
        <v>&gt;&gt;&gt; Enter 2 or more lab quotes &lt;&lt;&lt;</v>
      </c>
      <c r="AJ30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0.33999999999999903</v>
      </c>
      <c r="AL308" s="396">
        <f>IF(ISTEXT(RawMaterials[[#This Row],[Unit price in quote year]]),"Check calcs",RawMaterials[[#This Row],[Unit price in quote year]]/VLOOKUP(RawMaterials[[#This Row],[Quote Year]],ChemPPI[],14,FALSE)*VLOOKUP(BasisYear,ChemPPI[],14,FALSE))</f>
        <v>0.46145325203251908</v>
      </c>
      <c r="AM308" s="397" t="str">
        <f t="shared" si="4"/>
        <v>$/kg (2016)</v>
      </c>
    </row>
    <row r="309" spans="1:39">
      <c r="A309" s="259" t="s">
        <v>1400</v>
      </c>
      <c r="B309" s="260"/>
      <c r="C309" s="351"/>
      <c r="D309" s="351"/>
      <c r="E309" s="260">
        <v>100</v>
      </c>
      <c r="F309" s="260"/>
      <c r="G309" s="351"/>
      <c r="H309" s="351"/>
      <c r="I309" s="262"/>
      <c r="J309" s="351"/>
      <c r="K309" s="351"/>
      <c r="L309" s="351"/>
      <c r="M309" s="351"/>
      <c r="N309" s="351"/>
      <c r="O309" s="351"/>
      <c r="P309" s="261">
        <v>335</v>
      </c>
      <c r="Q309" s="260">
        <v>1</v>
      </c>
      <c r="R309" s="260" t="s">
        <v>20</v>
      </c>
      <c r="S309" s="260">
        <v>2006</v>
      </c>
      <c r="T309" s="260" t="s">
        <v>161</v>
      </c>
      <c r="U309" s="386">
        <v>42653</v>
      </c>
      <c r="V309" s="387"/>
      <c r="W309" s="354">
        <f>COUNT(RawMaterials[[#This Row],[Lab Quantity 1]:[Lab Quantity 4]])</f>
        <v>0</v>
      </c>
      <c r="X30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9" s="392" t="e">
        <f>RawMaterials[[#This Row],[Lab Price 1]]/RawMaterials[[#This Row],[Lab Q Model Units 1]]</f>
        <v>#N/A</v>
      </c>
      <c r="AC309" s="392" t="e">
        <f>RawMaterials[[#This Row],[Lab Price 2]]/RawMaterials[[#This Row],[Lab Q Model Units 2]]</f>
        <v>#N/A</v>
      </c>
      <c r="AD309" s="392" t="e">
        <f>RawMaterials[[#This Row],[Lab Price 3]]/RawMaterials[[#This Row],[Lab Q Model Units 3]]</f>
        <v>#N/A</v>
      </c>
      <c r="AE309" s="392" t="e">
        <f>RawMaterials[[#This Row],[Lab Price 4]]/RawMaterials[[#This Row],[Lab Q Model Units 4]]</f>
        <v>#N/A</v>
      </c>
      <c r="AF309" s="392" t="str">
        <f ca="1">IF(RawMaterials[[#This Row],[Lab Quote Count]]&gt;1,SLOPE(LOG(INDIRECT("RawMaterials[@[Lab Unit P 1]:[Lab Unit P "&amp;RawMaterials[[#This Row],[Lab Quote Count]]&amp;"]]")),LOG(INDIRECT("RawMaterials[@[Lab Q Model Units 1]:[Lab Q Model Units "&amp;RawMaterials[[#This Row],[Lab Quote Count]]&amp;"]]"))),"")</f>
        <v/>
      </c>
      <c r="AG309" s="392" t="str">
        <f ca="1">IF(RawMaterials[[#This Row],[Lab Quote Count]]&gt;1,INTERCEPT(LOG(INDIRECT("RawMaterials[@[Lab Unit P 1]:[Lab Unit P "&amp;RawMaterials[[#This Row],[Lab Quote Count]]&amp;"]]")),LOG(INDIRECT("RawMaterials[@[Lab Q Model Units 1]:[Lab Q Model Units "&amp;RawMaterials[[#This Row],[Lab Quote Count]]&amp;"]]"))),"")</f>
        <v/>
      </c>
      <c r="AH309" s="393" t="str">
        <f>IF(RawMaterials[[#This Row],[Material Type]]="Metal Precursor","D13",IF(RawMaterials[[#This Row],[Material Type]]="Ligand","D13","D12"))</f>
        <v>D12</v>
      </c>
      <c r="AI309" s="394" t="str">
        <f ca="1">IF(RawMaterials[[#This Row],[Lab Quote Count]]&gt;1,10^RawMaterials[[#This Row],[Lab Log-Log Intercept]]*INDIRECT(RawMaterials[[#This Row],[Basis Cell]])^RawMaterials[[#This Row],[Lab Log-Log Slope]],"&gt;&gt;&gt; Enter 2 or more lab quotes &lt;&lt;&lt;")</f>
        <v>&gt;&gt;&gt; Enter 2 or more lab quotes &lt;&lt;&lt;</v>
      </c>
      <c r="AJ30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738.54857831933987</v>
      </c>
      <c r="AL309" s="396">
        <f>IF(ISTEXT(RawMaterials[[#This Row],[Unit price in quote year]]),"Check calcs",RawMaterials[[#This Row],[Unit price in quote year]]/VLOOKUP(RawMaterials[[#This Row],[Quote Year]],ChemPPI[],14,FALSE)*VLOOKUP(BasisYear,ChemPPI[],14,FALSE))</f>
        <v>1002.3695389689823</v>
      </c>
      <c r="AM309" s="397" t="str">
        <f t="shared" si="4"/>
        <v>$/kg (2016)</v>
      </c>
    </row>
    <row r="310" spans="1:39">
      <c r="A310" s="259" t="s">
        <v>1401</v>
      </c>
      <c r="B310" s="260"/>
      <c r="C310" s="351"/>
      <c r="D310" s="351"/>
      <c r="E310" s="260">
        <v>100</v>
      </c>
      <c r="F310" s="260"/>
      <c r="G310" s="351"/>
      <c r="H310" s="351"/>
      <c r="I310" s="262"/>
      <c r="J310" s="351"/>
      <c r="K310" s="351"/>
      <c r="L310" s="351"/>
      <c r="M310" s="351"/>
      <c r="N310" s="351"/>
      <c r="O310" s="351"/>
      <c r="P310" s="261">
        <v>1.375</v>
      </c>
      <c r="Q310" s="260">
        <v>1</v>
      </c>
      <c r="R310" s="260" t="s">
        <v>20</v>
      </c>
      <c r="S310" s="260">
        <v>2006</v>
      </c>
      <c r="T310" s="260" t="s">
        <v>161</v>
      </c>
      <c r="U310" s="386">
        <v>42653</v>
      </c>
      <c r="V310" s="387"/>
      <c r="W310" s="354">
        <f>COUNT(RawMaterials[[#This Row],[Lab Quantity 1]:[Lab Quantity 4]])</f>
        <v>0</v>
      </c>
      <c r="X31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0" s="392" t="e">
        <f>RawMaterials[[#This Row],[Lab Price 1]]/RawMaterials[[#This Row],[Lab Q Model Units 1]]</f>
        <v>#N/A</v>
      </c>
      <c r="AC310" s="392" t="e">
        <f>RawMaterials[[#This Row],[Lab Price 2]]/RawMaterials[[#This Row],[Lab Q Model Units 2]]</f>
        <v>#N/A</v>
      </c>
      <c r="AD310" s="392" t="e">
        <f>RawMaterials[[#This Row],[Lab Price 3]]/RawMaterials[[#This Row],[Lab Q Model Units 3]]</f>
        <v>#N/A</v>
      </c>
      <c r="AE310" s="392" t="e">
        <f>RawMaterials[[#This Row],[Lab Price 4]]/RawMaterials[[#This Row],[Lab Q Model Units 4]]</f>
        <v>#N/A</v>
      </c>
      <c r="AF310" s="392" t="str">
        <f ca="1">IF(RawMaterials[[#This Row],[Lab Quote Count]]&gt;1,SLOPE(LOG(INDIRECT("RawMaterials[@[Lab Unit P 1]:[Lab Unit P "&amp;RawMaterials[[#This Row],[Lab Quote Count]]&amp;"]]")),LOG(INDIRECT("RawMaterials[@[Lab Q Model Units 1]:[Lab Q Model Units "&amp;RawMaterials[[#This Row],[Lab Quote Count]]&amp;"]]"))),"")</f>
        <v/>
      </c>
      <c r="AG310" s="392" t="str">
        <f ca="1">IF(RawMaterials[[#This Row],[Lab Quote Count]]&gt;1,INTERCEPT(LOG(INDIRECT("RawMaterials[@[Lab Unit P 1]:[Lab Unit P "&amp;RawMaterials[[#This Row],[Lab Quote Count]]&amp;"]]")),LOG(INDIRECT("RawMaterials[@[Lab Q Model Units 1]:[Lab Q Model Units "&amp;RawMaterials[[#This Row],[Lab Quote Count]]&amp;"]]"))),"")</f>
        <v/>
      </c>
      <c r="AH310" s="393" t="str">
        <f>IF(RawMaterials[[#This Row],[Material Type]]="Metal Precursor","D13",IF(RawMaterials[[#This Row],[Material Type]]="Ligand","D13","D12"))</f>
        <v>D12</v>
      </c>
      <c r="AI310" s="394" t="str">
        <f ca="1">IF(RawMaterials[[#This Row],[Lab Quote Count]]&gt;1,10^RawMaterials[[#This Row],[Lab Log-Log Intercept]]*INDIRECT(RawMaterials[[#This Row],[Basis Cell]])^RawMaterials[[#This Row],[Lab Log-Log Slope]],"&gt;&gt;&gt; Enter 2 or more lab quotes &lt;&lt;&lt;")</f>
        <v>&gt;&gt;&gt; Enter 2 or more lab quotes &lt;&lt;&lt;</v>
      </c>
      <c r="AJ31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3.0313561050420668</v>
      </c>
      <c r="AL310" s="396">
        <f>IF(ISTEXT(RawMaterials[[#This Row],[Unit price in quote year]]),"Check calcs",RawMaterials[[#This Row],[Unit price in quote year]]/VLOOKUP(RawMaterials[[#This Row],[Quote Year]],ChemPPI[],14,FALSE)*VLOOKUP(BasisYear,ChemPPI[],14,FALSE))</f>
        <v>4.1142033315891062</v>
      </c>
      <c r="AM310" s="397" t="str">
        <f t="shared" si="4"/>
        <v>$/kg (2016)</v>
      </c>
    </row>
    <row r="311" spans="1:39">
      <c r="A311" s="259" t="s">
        <v>1402</v>
      </c>
      <c r="B311" s="260"/>
      <c r="C311" s="351"/>
      <c r="D311" s="351"/>
      <c r="E311" s="260">
        <v>100</v>
      </c>
      <c r="F311" s="260"/>
      <c r="G311" s="351"/>
      <c r="H311" s="351"/>
      <c r="I311" s="262"/>
      <c r="J311" s="351"/>
      <c r="K311" s="351"/>
      <c r="L311" s="351"/>
      <c r="M311" s="351"/>
      <c r="N311" s="351"/>
      <c r="O311" s="351"/>
      <c r="P311" s="261">
        <v>1.3</v>
      </c>
      <c r="Q311" s="260">
        <v>1</v>
      </c>
      <c r="R311" s="260" t="s">
        <v>20</v>
      </c>
      <c r="S311" s="260">
        <v>2006</v>
      </c>
      <c r="T311" s="260" t="s">
        <v>161</v>
      </c>
      <c r="U311" s="386">
        <v>42653</v>
      </c>
      <c r="V311" s="387"/>
      <c r="W311" s="354">
        <f>COUNT(RawMaterials[[#This Row],[Lab Quantity 1]:[Lab Quantity 4]])</f>
        <v>0</v>
      </c>
      <c r="X31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1" s="392" t="e">
        <f>RawMaterials[[#This Row],[Lab Price 1]]/RawMaterials[[#This Row],[Lab Q Model Units 1]]</f>
        <v>#N/A</v>
      </c>
      <c r="AC311" s="392" t="e">
        <f>RawMaterials[[#This Row],[Lab Price 2]]/RawMaterials[[#This Row],[Lab Q Model Units 2]]</f>
        <v>#N/A</v>
      </c>
      <c r="AD311" s="392" t="e">
        <f>RawMaterials[[#This Row],[Lab Price 3]]/RawMaterials[[#This Row],[Lab Q Model Units 3]]</f>
        <v>#N/A</v>
      </c>
      <c r="AE311" s="392" t="e">
        <f>RawMaterials[[#This Row],[Lab Price 4]]/RawMaterials[[#This Row],[Lab Q Model Units 4]]</f>
        <v>#N/A</v>
      </c>
      <c r="AF311" s="392" t="str">
        <f ca="1">IF(RawMaterials[[#This Row],[Lab Quote Count]]&gt;1,SLOPE(LOG(INDIRECT("RawMaterials[@[Lab Unit P 1]:[Lab Unit P "&amp;RawMaterials[[#This Row],[Lab Quote Count]]&amp;"]]")),LOG(INDIRECT("RawMaterials[@[Lab Q Model Units 1]:[Lab Q Model Units "&amp;RawMaterials[[#This Row],[Lab Quote Count]]&amp;"]]"))),"")</f>
        <v/>
      </c>
      <c r="AG311" s="392" t="str">
        <f ca="1">IF(RawMaterials[[#This Row],[Lab Quote Count]]&gt;1,INTERCEPT(LOG(INDIRECT("RawMaterials[@[Lab Unit P 1]:[Lab Unit P "&amp;RawMaterials[[#This Row],[Lab Quote Count]]&amp;"]]")),LOG(INDIRECT("RawMaterials[@[Lab Q Model Units 1]:[Lab Q Model Units "&amp;RawMaterials[[#This Row],[Lab Quote Count]]&amp;"]]"))),"")</f>
        <v/>
      </c>
      <c r="AH311" s="393" t="str">
        <f>IF(RawMaterials[[#This Row],[Material Type]]="Metal Precursor","D13",IF(RawMaterials[[#This Row],[Material Type]]="Ligand","D13","D12"))</f>
        <v>D12</v>
      </c>
      <c r="AI311" s="394" t="str">
        <f ca="1">IF(RawMaterials[[#This Row],[Lab Quote Count]]&gt;1,10^RawMaterials[[#This Row],[Lab Log-Log Intercept]]*INDIRECT(RawMaterials[[#This Row],[Basis Cell]])^RawMaterials[[#This Row],[Lab Log-Log Slope]],"&gt;&gt;&gt; Enter 2 or more lab quotes &lt;&lt;&lt;")</f>
        <v>&gt;&gt;&gt; Enter 2 or more lab quotes &lt;&lt;&lt;</v>
      </c>
      <c r="AJ31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2.8660094084034085</v>
      </c>
      <c r="AL311" s="396">
        <f>IF(ISTEXT(RawMaterials[[#This Row],[Unit price in quote year]]),"Check calcs",RawMaterials[[#This Row],[Unit price in quote year]]/VLOOKUP(RawMaterials[[#This Row],[Quote Year]],ChemPPI[],14,FALSE)*VLOOKUP(BasisYear,ChemPPI[],14,FALSE))</f>
        <v>3.8897922407751553</v>
      </c>
      <c r="AM311" s="397" t="str">
        <f t="shared" si="4"/>
        <v>$/kg (2016)</v>
      </c>
    </row>
    <row r="312" spans="1:39">
      <c r="A312" s="259" t="s">
        <v>1403</v>
      </c>
      <c r="B312" s="260"/>
      <c r="C312" s="351"/>
      <c r="D312" s="351"/>
      <c r="E312" s="260">
        <v>100</v>
      </c>
      <c r="F312" s="260"/>
      <c r="G312" s="351"/>
      <c r="H312" s="351"/>
      <c r="I312" s="262"/>
      <c r="J312" s="351"/>
      <c r="K312" s="351"/>
      <c r="L312" s="351"/>
      <c r="M312" s="351"/>
      <c r="N312" s="351"/>
      <c r="O312" s="351"/>
      <c r="P312" s="261">
        <v>0.72499999999999998</v>
      </c>
      <c r="Q312" s="260">
        <v>1</v>
      </c>
      <c r="R312" s="260" t="s">
        <v>71</v>
      </c>
      <c r="S312" s="260">
        <v>2006</v>
      </c>
      <c r="T312" s="260" t="s">
        <v>161</v>
      </c>
      <c r="U312" s="386">
        <v>42653</v>
      </c>
      <c r="V312" s="387"/>
      <c r="W312" s="354">
        <f>COUNT(RawMaterials[[#This Row],[Lab Quantity 1]:[Lab Quantity 4]])</f>
        <v>0</v>
      </c>
      <c r="X31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2" s="392" t="e">
        <f>RawMaterials[[#This Row],[Lab Price 1]]/RawMaterials[[#This Row],[Lab Q Model Units 1]]</f>
        <v>#N/A</v>
      </c>
      <c r="AC312" s="392" t="e">
        <f>RawMaterials[[#This Row],[Lab Price 2]]/RawMaterials[[#This Row],[Lab Q Model Units 2]]</f>
        <v>#N/A</v>
      </c>
      <c r="AD312" s="392" t="e">
        <f>RawMaterials[[#This Row],[Lab Price 3]]/RawMaterials[[#This Row],[Lab Q Model Units 3]]</f>
        <v>#N/A</v>
      </c>
      <c r="AE312" s="392" t="e">
        <f>RawMaterials[[#This Row],[Lab Price 4]]/RawMaterials[[#This Row],[Lab Q Model Units 4]]</f>
        <v>#N/A</v>
      </c>
      <c r="AF312" s="392" t="str">
        <f ca="1">IF(RawMaterials[[#This Row],[Lab Quote Count]]&gt;1,SLOPE(LOG(INDIRECT("RawMaterials[@[Lab Unit P 1]:[Lab Unit P "&amp;RawMaterials[[#This Row],[Lab Quote Count]]&amp;"]]")),LOG(INDIRECT("RawMaterials[@[Lab Q Model Units 1]:[Lab Q Model Units "&amp;RawMaterials[[#This Row],[Lab Quote Count]]&amp;"]]"))),"")</f>
        <v/>
      </c>
      <c r="AG312" s="392" t="str">
        <f ca="1">IF(RawMaterials[[#This Row],[Lab Quote Count]]&gt;1,INTERCEPT(LOG(INDIRECT("RawMaterials[@[Lab Unit P 1]:[Lab Unit P "&amp;RawMaterials[[#This Row],[Lab Quote Count]]&amp;"]]")),LOG(INDIRECT("RawMaterials[@[Lab Q Model Units 1]:[Lab Q Model Units "&amp;RawMaterials[[#This Row],[Lab Quote Count]]&amp;"]]"))),"")</f>
        <v/>
      </c>
      <c r="AH312" s="393" t="str">
        <f>IF(RawMaterials[[#This Row],[Material Type]]="Metal Precursor","D13",IF(RawMaterials[[#This Row],[Material Type]]="Ligand","D13","D12"))</f>
        <v>D12</v>
      </c>
      <c r="AI312" s="394" t="str">
        <f ca="1">IF(RawMaterials[[#This Row],[Lab Quote Count]]&gt;1,10^RawMaterials[[#This Row],[Lab Log-Log Intercept]]*INDIRECT(RawMaterials[[#This Row],[Basis Cell]])^RawMaterials[[#This Row],[Lab Log-Log Slope]],"&gt;&gt;&gt; Enter 2 or more lab quotes &lt;&lt;&lt;")</f>
        <v>&gt;&gt;&gt; Enter 2 or more lab quotes &lt;&lt;&lt;</v>
      </c>
      <c r="AJ31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0.72499999999999998</v>
      </c>
      <c r="AL312" s="396">
        <f>IF(ISTEXT(RawMaterials[[#This Row],[Unit price in quote year]]),"Check calcs",RawMaterials[[#This Row],[Unit price in quote year]]/VLOOKUP(RawMaterials[[#This Row],[Quote Year]],ChemPPI[],14,FALSE)*VLOOKUP(BasisYear,ChemPPI[],14,FALSE))</f>
        <v>0.98398119918699201</v>
      </c>
      <c r="AM312" s="397" t="str">
        <f t="shared" si="4"/>
        <v>$/kg (2016)</v>
      </c>
    </row>
    <row r="313" spans="1:39">
      <c r="A313" s="259" t="s">
        <v>1404</v>
      </c>
      <c r="B313" s="260"/>
      <c r="C313" s="351"/>
      <c r="D313" s="351"/>
      <c r="E313" s="260">
        <v>100</v>
      </c>
      <c r="F313" s="260"/>
      <c r="G313" s="351"/>
      <c r="H313" s="351"/>
      <c r="I313" s="262"/>
      <c r="J313" s="351"/>
      <c r="K313" s="351"/>
      <c r="L313" s="351"/>
      <c r="M313" s="351"/>
      <c r="N313" s="351"/>
      <c r="O313" s="351"/>
      <c r="P313" s="261">
        <v>21.9</v>
      </c>
      <c r="Q313" s="260">
        <v>1</v>
      </c>
      <c r="R313" s="260" t="s">
        <v>20</v>
      </c>
      <c r="S313" s="260">
        <v>2006</v>
      </c>
      <c r="T313" s="260" t="s">
        <v>161</v>
      </c>
      <c r="U313" s="386">
        <v>42653</v>
      </c>
      <c r="V313" s="387"/>
      <c r="W313" s="354">
        <f>COUNT(RawMaterials[[#This Row],[Lab Quantity 1]:[Lab Quantity 4]])</f>
        <v>0</v>
      </c>
      <c r="X31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3" s="392" t="e">
        <f>RawMaterials[[#This Row],[Lab Price 1]]/RawMaterials[[#This Row],[Lab Q Model Units 1]]</f>
        <v>#N/A</v>
      </c>
      <c r="AC313" s="392" t="e">
        <f>RawMaterials[[#This Row],[Lab Price 2]]/RawMaterials[[#This Row],[Lab Q Model Units 2]]</f>
        <v>#N/A</v>
      </c>
      <c r="AD313" s="392" t="e">
        <f>RawMaterials[[#This Row],[Lab Price 3]]/RawMaterials[[#This Row],[Lab Q Model Units 3]]</f>
        <v>#N/A</v>
      </c>
      <c r="AE313" s="392" t="e">
        <f>RawMaterials[[#This Row],[Lab Price 4]]/RawMaterials[[#This Row],[Lab Q Model Units 4]]</f>
        <v>#N/A</v>
      </c>
      <c r="AF313" s="392" t="str">
        <f ca="1">IF(RawMaterials[[#This Row],[Lab Quote Count]]&gt;1,SLOPE(LOG(INDIRECT("RawMaterials[@[Lab Unit P 1]:[Lab Unit P "&amp;RawMaterials[[#This Row],[Lab Quote Count]]&amp;"]]")),LOG(INDIRECT("RawMaterials[@[Lab Q Model Units 1]:[Lab Q Model Units "&amp;RawMaterials[[#This Row],[Lab Quote Count]]&amp;"]]"))),"")</f>
        <v/>
      </c>
      <c r="AG313" s="392" t="str">
        <f ca="1">IF(RawMaterials[[#This Row],[Lab Quote Count]]&gt;1,INTERCEPT(LOG(INDIRECT("RawMaterials[@[Lab Unit P 1]:[Lab Unit P "&amp;RawMaterials[[#This Row],[Lab Quote Count]]&amp;"]]")),LOG(INDIRECT("RawMaterials[@[Lab Q Model Units 1]:[Lab Q Model Units "&amp;RawMaterials[[#This Row],[Lab Quote Count]]&amp;"]]"))),"")</f>
        <v/>
      </c>
      <c r="AH313" s="393" t="str">
        <f>IF(RawMaterials[[#This Row],[Material Type]]="Metal Precursor","D13",IF(RawMaterials[[#This Row],[Material Type]]="Ligand","D13","D12"))</f>
        <v>D12</v>
      </c>
      <c r="AI313" s="394" t="str">
        <f ca="1">IF(RawMaterials[[#This Row],[Lab Quote Count]]&gt;1,10^RawMaterials[[#This Row],[Lab Log-Log Intercept]]*INDIRECT(RawMaterials[[#This Row],[Basis Cell]])^RawMaterials[[#This Row],[Lab Log-Log Slope]],"&gt;&gt;&gt; Enter 2 or more lab quotes &lt;&lt;&lt;")</f>
        <v>&gt;&gt;&gt; Enter 2 or more lab quotes &lt;&lt;&lt;</v>
      </c>
      <c r="AJ31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48.281235418488187</v>
      </c>
      <c r="AL313" s="396">
        <f>IF(ISTEXT(RawMaterials[[#This Row],[Unit price in quote year]]),"Check calcs",RawMaterials[[#This Row],[Unit price in quote year]]/VLOOKUP(RawMaterials[[#This Row],[Quote Year]],ChemPPI[],14,FALSE)*VLOOKUP(BasisYear,ChemPPI[],14,FALSE))</f>
        <v>65.528038517673764</v>
      </c>
      <c r="AM313" s="397" t="str">
        <f t="shared" si="4"/>
        <v>$/kg (2016)</v>
      </c>
    </row>
    <row r="314" spans="1:39">
      <c r="A314" s="259" t="s">
        <v>1405</v>
      </c>
      <c r="B314" s="260"/>
      <c r="C314" s="351"/>
      <c r="D314" s="351"/>
      <c r="E314" s="260">
        <v>100</v>
      </c>
      <c r="F314" s="260"/>
      <c r="G314" s="351"/>
      <c r="H314" s="351"/>
      <c r="I314" s="262"/>
      <c r="J314" s="351"/>
      <c r="K314" s="351"/>
      <c r="L314" s="351"/>
      <c r="M314" s="351"/>
      <c r="N314" s="351"/>
      <c r="O314" s="351"/>
      <c r="P314" s="261">
        <v>0.93500000000000005</v>
      </c>
      <c r="Q314" s="260">
        <v>1</v>
      </c>
      <c r="R314" s="260" t="s">
        <v>20</v>
      </c>
      <c r="S314" s="260">
        <v>2008</v>
      </c>
      <c r="T314" s="260" t="s">
        <v>161</v>
      </c>
      <c r="U314" s="386">
        <v>42653</v>
      </c>
      <c r="V314" s="387"/>
      <c r="W314" s="354">
        <f>COUNT(RawMaterials[[#This Row],[Lab Quantity 1]:[Lab Quantity 4]])</f>
        <v>0</v>
      </c>
      <c r="X31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4" s="392" t="e">
        <f>RawMaterials[[#This Row],[Lab Price 1]]/RawMaterials[[#This Row],[Lab Q Model Units 1]]</f>
        <v>#N/A</v>
      </c>
      <c r="AC314" s="392" t="e">
        <f>RawMaterials[[#This Row],[Lab Price 2]]/RawMaterials[[#This Row],[Lab Q Model Units 2]]</f>
        <v>#N/A</v>
      </c>
      <c r="AD314" s="392" t="e">
        <f>RawMaterials[[#This Row],[Lab Price 3]]/RawMaterials[[#This Row],[Lab Q Model Units 3]]</f>
        <v>#N/A</v>
      </c>
      <c r="AE314" s="392" t="e">
        <f>RawMaterials[[#This Row],[Lab Price 4]]/RawMaterials[[#This Row],[Lab Q Model Units 4]]</f>
        <v>#N/A</v>
      </c>
      <c r="AF314" s="392" t="str">
        <f ca="1">IF(RawMaterials[[#This Row],[Lab Quote Count]]&gt;1,SLOPE(LOG(INDIRECT("RawMaterials[@[Lab Unit P 1]:[Lab Unit P "&amp;RawMaterials[[#This Row],[Lab Quote Count]]&amp;"]]")),LOG(INDIRECT("RawMaterials[@[Lab Q Model Units 1]:[Lab Q Model Units "&amp;RawMaterials[[#This Row],[Lab Quote Count]]&amp;"]]"))),"")</f>
        <v/>
      </c>
      <c r="AG314" s="392" t="str">
        <f ca="1">IF(RawMaterials[[#This Row],[Lab Quote Count]]&gt;1,INTERCEPT(LOG(INDIRECT("RawMaterials[@[Lab Unit P 1]:[Lab Unit P "&amp;RawMaterials[[#This Row],[Lab Quote Count]]&amp;"]]")),LOG(INDIRECT("RawMaterials[@[Lab Q Model Units 1]:[Lab Q Model Units "&amp;RawMaterials[[#This Row],[Lab Quote Count]]&amp;"]]"))),"")</f>
        <v/>
      </c>
      <c r="AH314" s="393" t="str">
        <f>IF(RawMaterials[[#This Row],[Material Type]]="Metal Precursor","D13",IF(RawMaterials[[#This Row],[Material Type]]="Ligand","D13","D12"))</f>
        <v>D12</v>
      </c>
      <c r="AI314" s="394" t="str">
        <f ca="1">IF(RawMaterials[[#This Row],[Lab Quote Count]]&gt;1,10^RawMaterials[[#This Row],[Lab Log-Log Intercept]]*INDIRECT(RawMaterials[[#This Row],[Basis Cell]])^RawMaterials[[#This Row],[Lab Log-Log Slope]],"&gt;&gt;&gt; Enter 2 or more lab quotes &lt;&lt;&lt;")</f>
        <v>&gt;&gt;&gt; Enter 2 or more lab quotes &lt;&lt;&lt;</v>
      </c>
      <c r="AJ31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2.0613221514286053</v>
      </c>
      <c r="AL314" s="396">
        <f>IF(ISTEXT(RawMaterials[[#This Row],[Unit price in quote year]]),"Check calcs",RawMaterials[[#This Row],[Unit price in quote year]]/VLOOKUP(RawMaterials[[#This Row],[Quote Year]],ChemPPI[],14,FALSE)*VLOOKUP(BasisYear,ChemPPI[],14,FALSE))</f>
        <v>2.4126163081099019</v>
      </c>
      <c r="AM314" s="397" t="str">
        <f t="shared" si="4"/>
        <v>$/kg (2016)</v>
      </c>
    </row>
    <row r="315" spans="1:39">
      <c r="A315" s="259" t="s">
        <v>1406</v>
      </c>
      <c r="B315" s="260"/>
      <c r="C315" s="351"/>
      <c r="D315" s="351"/>
      <c r="E315" s="260">
        <v>100</v>
      </c>
      <c r="F315" s="260"/>
      <c r="G315" s="351"/>
      <c r="H315" s="351"/>
      <c r="I315" s="262"/>
      <c r="J315" s="351"/>
      <c r="K315" s="351"/>
      <c r="L315" s="351"/>
      <c r="M315" s="351"/>
      <c r="N315" s="351"/>
      <c r="O315" s="351"/>
      <c r="P315" s="261">
        <v>0.76500000000000001</v>
      </c>
      <c r="Q315" s="260">
        <v>1</v>
      </c>
      <c r="R315" s="260" t="s">
        <v>20</v>
      </c>
      <c r="S315" s="260">
        <v>2008</v>
      </c>
      <c r="T315" s="260" t="s">
        <v>161</v>
      </c>
      <c r="U315" s="386">
        <v>42653</v>
      </c>
      <c r="V315" s="387"/>
      <c r="W315" s="354">
        <f>COUNT(RawMaterials[[#This Row],[Lab Quantity 1]:[Lab Quantity 4]])</f>
        <v>0</v>
      </c>
      <c r="X31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5" s="392" t="e">
        <f>RawMaterials[[#This Row],[Lab Price 1]]/RawMaterials[[#This Row],[Lab Q Model Units 1]]</f>
        <v>#N/A</v>
      </c>
      <c r="AC315" s="392" t="e">
        <f>RawMaterials[[#This Row],[Lab Price 2]]/RawMaterials[[#This Row],[Lab Q Model Units 2]]</f>
        <v>#N/A</v>
      </c>
      <c r="AD315" s="392" t="e">
        <f>RawMaterials[[#This Row],[Lab Price 3]]/RawMaterials[[#This Row],[Lab Q Model Units 3]]</f>
        <v>#N/A</v>
      </c>
      <c r="AE315" s="392" t="e">
        <f>RawMaterials[[#This Row],[Lab Price 4]]/RawMaterials[[#This Row],[Lab Q Model Units 4]]</f>
        <v>#N/A</v>
      </c>
      <c r="AF315" s="392" t="str">
        <f ca="1">IF(RawMaterials[[#This Row],[Lab Quote Count]]&gt;1,SLOPE(LOG(INDIRECT("RawMaterials[@[Lab Unit P 1]:[Lab Unit P "&amp;RawMaterials[[#This Row],[Lab Quote Count]]&amp;"]]")),LOG(INDIRECT("RawMaterials[@[Lab Q Model Units 1]:[Lab Q Model Units "&amp;RawMaterials[[#This Row],[Lab Quote Count]]&amp;"]]"))),"")</f>
        <v/>
      </c>
      <c r="AG315" s="392" t="str">
        <f ca="1">IF(RawMaterials[[#This Row],[Lab Quote Count]]&gt;1,INTERCEPT(LOG(INDIRECT("RawMaterials[@[Lab Unit P 1]:[Lab Unit P "&amp;RawMaterials[[#This Row],[Lab Quote Count]]&amp;"]]")),LOG(INDIRECT("RawMaterials[@[Lab Q Model Units 1]:[Lab Q Model Units "&amp;RawMaterials[[#This Row],[Lab Quote Count]]&amp;"]]"))),"")</f>
        <v/>
      </c>
      <c r="AH315" s="393" t="str">
        <f>IF(RawMaterials[[#This Row],[Material Type]]="Metal Precursor","D13",IF(RawMaterials[[#This Row],[Material Type]]="Ligand","D13","D12"))</f>
        <v>D12</v>
      </c>
      <c r="AI315" s="394" t="str">
        <f ca="1">IF(RawMaterials[[#This Row],[Lab Quote Count]]&gt;1,10^RawMaterials[[#This Row],[Lab Log-Log Intercept]]*INDIRECT(RawMaterials[[#This Row],[Basis Cell]])^RawMaterials[[#This Row],[Lab Log-Log Slope]],"&gt;&gt;&gt; Enter 2 or more lab quotes &lt;&lt;&lt;")</f>
        <v>&gt;&gt;&gt; Enter 2 or more lab quotes &lt;&lt;&lt;</v>
      </c>
      <c r="AJ31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1.6865363057143135</v>
      </c>
      <c r="AL315" s="396">
        <f>IF(ISTEXT(RawMaterials[[#This Row],[Unit price in quote year]]),"Check calcs",RawMaterials[[#This Row],[Unit price in quote year]]/VLOOKUP(RawMaterials[[#This Row],[Quote Year]],ChemPPI[],14,FALSE)*VLOOKUP(BasisYear,ChemPPI[],14,FALSE))</f>
        <v>1.973958797544465</v>
      </c>
      <c r="AM315" s="397" t="str">
        <f t="shared" si="4"/>
        <v>$/kg (2016)</v>
      </c>
    </row>
    <row r="316" spans="1:39">
      <c r="A316" s="259" t="s">
        <v>1407</v>
      </c>
      <c r="B316" s="260"/>
      <c r="C316" s="351"/>
      <c r="D316" s="351"/>
      <c r="E316" s="260">
        <v>100</v>
      </c>
      <c r="F316" s="260"/>
      <c r="G316" s="351"/>
      <c r="H316" s="351"/>
      <c r="I316" s="262"/>
      <c r="J316" s="351"/>
      <c r="K316" s="351"/>
      <c r="L316" s="351"/>
      <c r="M316" s="351"/>
      <c r="N316" s="351"/>
      <c r="O316" s="351"/>
      <c r="P316" s="261">
        <v>1</v>
      </c>
      <c r="Q316" s="260">
        <v>1</v>
      </c>
      <c r="R316" s="260" t="s">
        <v>20</v>
      </c>
      <c r="S316" s="260">
        <v>2008</v>
      </c>
      <c r="T316" s="260" t="s">
        <v>161</v>
      </c>
      <c r="U316" s="386">
        <v>42653</v>
      </c>
      <c r="V316" s="387"/>
      <c r="W316" s="354">
        <f>COUNT(RawMaterials[[#This Row],[Lab Quantity 1]:[Lab Quantity 4]])</f>
        <v>0</v>
      </c>
      <c r="X31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6" s="392" t="e">
        <f>RawMaterials[[#This Row],[Lab Price 1]]/RawMaterials[[#This Row],[Lab Q Model Units 1]]</f>
        <v>#N/A</v>
      </c>
      <c r="AC316" s="392" t="e">
        <f>RawMaterials[[#This Row],[Lab Price 2]]/RawMaterials[[#This Row],[Lab Q Model Units 2]]</f>
        <v>#N/A</v>
      </c>
      <c r="AD316" s="392" t="e">
        <f>RawMaterials[[#This Row],[Lab Price 3]]/RawMaterials[[#This Row],[Lab Q Model Units 3]]</f>
        <v>#N/A</v>
      </c>
      <c r="AE316" s="392" t="e">
        <f>RawMaterials[[#This Row],[Lab Price 4]]/RawMaterials[[#This Row],[Lab Q Model Units 4]]</f>
        <v>#N/A</v>
      </c>
      <c r="AF316" s="392" t="str">
        <f ca="1">IF(RawMaterials[[#This Row],[Lab Quote Count]]&gt;1,SLOPE(LOG(INDIRECT("RawMaterials[@[Lab Unit P 1]:[Lab Unit P "&amp;RawMaterials[[#This Row],[Lab Quote Count]]&amp;"]]")),LOG(INDIRECT("RawMaterials[@[Lab Q Model Units 1]:[Lab Q Model Units "&amp;RawMaterials[[#This Row],[Lab Quote Count]]&amp;"]]"))),"")</f>
        <v/>
      </c>
      <c r="AG316" s="392" t="str">
        <f ca="1">IF(RawMaterials[[#This Row],[Lab Quote Count]]&gt;1,INTERCEPT(LOG(INDIRECT("RawMaterials[@[Lab Unit P 1]:[Lab Unit P "&amp;RawMaterials[[#This Row],[Lab Quote Count]]&amp;"]]")),LOG(INDIRECT("RawMaterials[@[Lab Q Model Units 1]:[Lab Q Model Units "&amp;RawMaterials[[#This Row],[Lab Quote Count]]&amp;"]]"))),"")</f>
        <v/>
      </c>
      <c r="AH316" s="393" t="str">
        <f>IF(RawMaterials[[#This Row],[Material Type]]="Metal Precursor","D13",IF(RawMaterials[[#This Row],[Material Type]]="Ligand","D13","D12"))</f>
        <v>D12</v>
      </c>
      <c r="AI316" s="394" t="str">
        <f ca="1">IF(RawMaterials[[#This Row],[Lab Quote Count]]&gt;1,10^RawMaterials[[#This Row],[Lab Log-Log Intercept]]*INDIRECT(RawMaterials[[#This Row],[Basis Cell]])^RawMaterials[[#This Row],[Lab Log-Log Slope]],"&gt;&gt;&gt; Enter 2 or more lab quotes &lt;&lt;&lt;")</f>
        <v>&gt;&gt;&gt; Enter 2 or more lab quotes &lt;&lt;&lt;</v>
      </c>
      <c r="AJ31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2.2046226218487757</v>
      </c>
      <c r="AL316" s="396">
        <f>IF(ISTEXT(RawMaterials[[#This Row],[Unit price in quote year]]),"Check calcs",RawMaterials[[#This Row],[Unit price in quote year]]/VLOOKUP(RawMaterials[[#This Row],[Quote Year]],ChemPPI[],14,FALSE)*VLOOKUP(BasisYear,ChemPPI[],14,FALSE))</f>
        <v>2.580338297443745</v>
      </c>
      <c r="AM316" s="397" t="str">
        <f t="shared" si="4"/>
        <v>$/kg (2016)</v>
      </c>
    </row>
    <row r="317" spans="1:39">
      <c r="A317" s="259" t="s">
        <v>1408</v>
      </c>
      <c r="B317" s="260"/>
      <c r="C317" s="351"/>
      <c r="D317" s="351"/>
      <c r="E317" s="260">
        <v>100</v>
      </c>
      <c r="F317" s="260"/>
      <c r="G317" s="351"/>
      <c r="H317" s="351"/>
      <c r="I317" s="262"/>
      <c r="J317" s="351"/>
      <c r="K317" s="351"/>
      <c r="L317" s="351"/>
      <c r="M317" s="351"/>
      <c r="N317" s="351"/>
      <c r="O317" s="351"/>
      <c r="P317" s="261">
        <v>1.02</v>
      </c>
      <c r="Q317" s="260">
        <v>1</v>
      </c>
      <c r="R317" s="260" t="s">
        <v>20</v>
      </c>
      <c r="S317" s="260">
        <v>2008</v>
      </c>
      <c r="T317" s="260" t="s">
        <v>161</v>
      </c>
      <c r="U317" s="386">
        <v>42653</v>
      </c>
      <c r="V317" s="387"/>
      <c r="W317" s="354">
        <f>COUNT(RawMaterials[[#This Row],[Lab Quantity 1]:[Lab Quantity 4]])</f>
        <v>0</v>
      </c>
      <c r="X31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7" s="392" t="e">
        <f>RawMaterials[[#This Row],[Lab Price 1]]/RawMaterials[[#This Row],[Lab Q Model Units 1]]</f>
        <v>#N/A</v>
      </c>
      <c r="AC317" s="392" t="e">
        <f>RawMaterials[[#This Row],[Lab Price 2]]/RawMaterials[[#This Row],[Lab Q Model Units 2]]</f>
        <v>#N/A</v>
      </c>
      <c r="AD317" s="392" t="e">
        <f>RawMaterials[[#This Row],[Lab Price 3]]/RawMaterials[[#This Row],[Lab Q Model Units 3]]</f>
        <v>#N/A</v>
      </c>
      <c r="AE317" s="392" t="e">
        <f>RawMaterials[[#This Row],[Lab Price 4]]/RawMaterials[[#This Row],[Lab Q Model Units 4]]</f>
        <v>#N/A</v>
      </c>
      <c r="AF317" s="392" t="str">
        <f ca="1">IF(RawMaterials[[#This Row],[Lab Quote Count]]&gt;1,SLOPE(LOG(INDIRECT("RawMaterials[@[Lab Unit P 1]:[Lab Unit P "&amp;RawMaterials[[#This Row],[Lab Quote Count]]&amp;"]]")),LOG(INDIRECT("RawMaterials[@[Lab Q Model Units 1]:[Lab Q Model Units "&amp;RawMaterials[[#This Row],[Lab Quote Count]]&amp;"]]"))),"")</f>
        <v/>
      </c>
      <c r="AG317" s="392" t="str">
        <f ca="1">IF(RawMaterials[[#This Row],[Lab Quote Count]]&gt;1,INTERCEPT(LOG(INDIRECT("RawMaterials[@[Lab Unit P 1]:[Lab Unit P "&amp;RawMaterials[[#This Row],[Lab Quote Count]]&amp;"]]")),LOG(INDIRECT("RawMaterials[@[Lab Q Model Units 1]:[Lab Q Model Units "&amp;RawMaterials[[#This Row],[Lab Quote Count]]&amp;"]]"))),"")</f>
        <v/>
      </c>
      <c r="AH317" s="393" t="str">
        <f>IF(RawMaterials[[#This Row],[Material Type]]="Metal Precursor","D13",IF(RawMaterials[[#This Row],[Material Type]]="Ligand","D13","D12"))</f>
        <v>D12</v>
      </c>
      <c r="AI317" s="394" t="str">
        <f ca="1">IF(RawMaterials[[#This Row],[Lab Quote Count]]&gt;1,10^RawMaterials[[#This Row],[Lab Log-Log Intercept]]*INDIRECT(RawMaterials[[#This Row],[Basis Cell]])^RawMaterials[[#This Row],[Lab Log-Log Slope]],"&gt;&gt;&gt; Enter 2 or more lab quotes &lt;&lt;&lt;")</f>
        <v>&gt;&gt;&gt; Enter 2 or more lab quotes &lt;&lt;&lt;</v>
      </c>
      <c r="AJ31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2.2487150742857511</v>
      </c>
      <c r="AL317" s="396">
        <f>IF(ISTEXT(RawMaterials[[#This Row],[Unit price in quote year]]),"Check calcs",RawMaterials[[#This Row],[Unit price in quote year]]/VLOOKUP(RawMaterials[[#This Row],[Quote Year]],ChemPPI[],14,FALSE)*VLOOKUP(BasisYear,ChemPPI[],14,FALSE))</f>
        <v>2.63194506339262</v>
      </c>
      <c r="AM317" s="397" t="str">
        <f t="shared" si="4"/>
        <v>$/kg (2016)</v>
      </c>
    </row>
    <row r="318" spans="1:39">
      <c r="A318" s="259" t="s">
        <v>1409</v>
      </c>
      <c r="B318" s="260"/>
      <c r="C318" s="351"/>
      <c r="D318" s="351"/>
      <c r="E318" s="260">
        <v>100</v>
      </c>
      <c r="F318" s="260"/>
      <c r="G318" s="351"/>
      <c r="H318" s="351"/>
      <c r="I318" s="262"/>
      <c r="J318" s="351"/>
      <c r="K318" s="351"/>
      <c r="L318" s="351"/>
      <c r="M318" s="351"/>
      <c r="N318" s="351"/>
      <c r="O318" s="351"/>
      <c r="P318" s="261">
        <v>0.48499999999999999</v>
      </c>
      <c r="Q318" s="260">
        <v>1</v>
      </c>
      <c r="R318" s="260" t="s">
        <v>20</v>
      </c>
      <c r="S318" s="260">
        <v>2008</v>
      </c>
      <c r="T318" s="260" t="s">
        <v>161</v>
      </c>
      <c r="U318" s="386">
        <v>42653</v>
      </c>
      <c r="V318" s="387"/>
      <c r="W318" s="354">
        <f>COUNT(RawMaterials[[#This Row],[Lab Quantity 1]:[Lab Quantity 4]])</f>
        <v>0</v>
      </c>
      <c r="X31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8" s="392" t="e">
        <f>RawMaterials[[#This Row],[Lab Price 1]]/RawMaterials[[#This Row],[Lab Q Model Units 1]]</f>
        <v>#N/A</v>
      </c>
      <c r="AC318" s="392" t="e">
        <f>RawMaterials[[#This Row],[Lab Price 2]]/RawMaterials[[#This Row],[Lab Q Model Units 2]]</f>
        <v>#N/A</v>
      </c>
      <c r="AD318" s="392" t="e">
        <f>RawMaterials[[#This Row],[Lab Price 3]]/RawMaterials[[#This Row],[Lab Q Model Units 3]]</f>
        <v>#N/A</v>
      </c>
      <c r="AE318" s="392" t="e">
        <f>RawMaterials[[#This Row],[Lab Price 4]]/RawMaterials[[#This Row],[Lab Q Model Units 4]]</f>
        <v>#N/A</v>
      </c>
      <c r="AF318" s="392" t="str">
        <f ca="1">IF(RawMaterials[[#This Row],[Lab Quote Count]]&gt;1,SLOPE(LOG(INDIRECT("RawMaterials[@[Lab Unit P 1]:[Lab Unit P "&amp;RawMaterials[[#This Row],[Lab Quote Count]]&amp;"]]")),LOG(INDIRECT("RawMaterials[@[Lab Q Model Units 1]:[Lab Q Model Units "&amp;RawMaterials[[#This Row],[Lab Quote Count]]&amp;"]]"))),"")</f>
        <v/>
      </c>
      <c r="AG318" s="392" t="str">
        <f ca="1">IF(RawMaterials[[#This Row],[Lab Quote Count]]&gt;1,INTERCEPT(LOG(INDIRECT("RawMaterials[@[Lab Unit P 1]:[Lab Unit P "&amp;RawMaterials[[#This Row],[Lab Quote Count]]&amp;"]]")),LOG(INDIRECT("RawMaterials[@[Lab Q Model Units 1]:[Lab Q Model Units "&amp;RawMaterials[[#This Row],[Lab Quote Count]]&amp;"]]"))),"")</f>
        <v/>
      </c>
      <c r="AH318" s="393" t="str">
        <f>IF(RawMaterials[[#This Row],[Material Type]]="Metal Precursor","D13",IF(RawMaterials[[#This Row],[Material Type]]="Ligand","D13","D12"))</f>
        <v>D12</v>
      </c>
      <c r="AI318" s="394" t="str">
        <f ca="1">IF(RawMaterials[[#This Row],[Lab Quote Count]]&gt;1,10^RawMaterials[[#This Row],[Lab Log-Log Intercept]]*INDIRECT(RawMaterials[[#This Row],[Basis Cell]])^RawMaterials[[#This Row],[Lab Log-Log Slope]],"&gt;&gt;&gt; Enter 2 or more lab quotes &lt;&lt;&lt;")</f>
        <v>&gt;&gt;&gt; Enter 2 or more lab quotes &lt;&lt;&lt;</v>
      </c>
      <c r="AJ31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1.0692419715966561</v>
      </c>
      <c r="AL318" s="396">
        <f>IF(ISTEXT(RawMaterials[[#This Row],[Unit price in quote year]]),"Check calcs",RawMaterials[[#This Row],[Unit price in quote year]]/VLOOKUP(RawMaterials[[#This Row],[Quote Year]],ChemPPI[],14,FALSE)*VLOOKUP(BasisYear,ChemPPI[],14,FALSE))</f>
        <v>1.2514640742602163</v>
      </c>
      <c r="AM318" s="397" t="str">
        <f t="shared" si="4"/>
        <v>$/kg (2016)</v>
      </c>
    </row>
    <row r="319" spans="1:39">
      <c r="A319" s="259" t="s">
        <v>1410</v>
      </c>
      <c r="B319" s="260"/>
      <c r="C319" s="351"/>
      <c r="D319" s="351"/>
      <c r="E319" s="260">
        <v>100</v>
      </c>
      <c r="F319" s="260"/>
      <c r="G319" s="351"/>
      <c r="H319" s="351"/>
      <c r="I319" s="262"/>
      <c r="J319" s="351"/>
      <c r="K319" s="351"/>
      <c r="L319" s="351"/>
      <c r="M319" s="351"/>
      <c r="N319" s="351"/>
      <c r="O319" s="351"/>
      <c r="P319" s="261">
        <v>0.43</v>
      </c>
      <c r="Q319" s="260">
        <v>1</v>
      </c>
      <c r="R319" s="260" t="s">
        <v>20</v>
      </c>
      <c r="S319" s="260">
        <v>2008</v>
      </c>
      <c r="T319" s="260" t="s">
        <v>161</v>
      </c>
      <c r="U319" s="386">
        <v>42653</v>
      </c>
      <c r="V319" s="387"/>
      <c r="W319" s="354">
        <f>COUNT(RawMaterials[[#This Row],[Lab Quantity 1]:[Lab Quantity 4]])</f>
        <v>0</v>
      </c>
      <c r="X31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9" s="392" t="e">
        <f>RawMaterials[[#This Row],[Lab Price 1]]/RawMaterials[[#This Row],[Lab Q Model Units 1]]</f>
        <v>#N/A</v>
      </c>
      <c r="AC319" s="392" t="e">
        <f>RawMaterials[[#This Row],[Lab Price 2]]/RawMaterials[[#This Row],[Lab Q Model Units 2]]</f>
        <v>#N/A</v>
      </c>
      <c r="AD319" s="392" t="e">
        <f>RawMaterials[[#This Row],[Lab Price 3]]/RawMaterials[[#This Row],[Lab Q Model Units 3]]</f>
        <v>#N/A</v>
      </c>
      <c r="AE319" s="392" t="e">
        <f>RawMaterials[[#This Row],[Lab Price 4]]/RawMaterials[[#This Row],[Lab Q Model Units 4]]</f>
        <v>#N/A</v>
      </c>
      <c r="AF319" s="392" t="str">
        <f ca="1">IF(RawMaterials[[#This Row],[Lab Quote Count]]&gt;1,SLOPE(LOG(INDIRECT("RawMaterials[@[Lab Unit P 1]:[Lab Unit P "&amp;RawMaterials[[#This Row],[Lab Quote Count]]&amp;"]]")),LOG(INDIRECT("RawMaterials[@[Lab Q Model Units 1]:[Lab Q Model Units "&amp;RawMaterials[[#This Row],[Lab Quote Count]]&amp;"]]"))),"")</f>
        <v/>
      </c>
      <c r="AG319" s="392" t="str">
        <f ca="1">IF(RawMaterials[[#This Row],[Lab Quote Count]]&gt;1,INTERCEPT(LOG(INDIRECT("RawMaterials[@[Lab Unit P 1]:[Lab Unit P "&amp;RawMaterials[[#This Row],[Lab Quote Count]]&amp;"]]")),LOG(INDIRECT("RawMaterials[@[Lab Q Model Units 1]:[Lab Q Model Units "&amp;RawMaterials[[#This Row],[Lab Quote Count]]&amp;"]]"))),"")</f>
        <v/>
      </c>
      <c r="AH319" s="393" t="str">
        <f>IF(RawMaterials[[#This Row],[Material Type]]="Metal Precursor","D13",IF(RawMaterials[[#This Row],[Material Type]]="Ligand","D13","D12"))</f>
        <v>D12</v>
      </c>
      <c r="AI319" s="394" t="str">
        <f ca="1">IF(RawMaterials[[#This Row],[Lab Quote Count]]&gt;1,10^RawMaterials[[#This Row],[Lab Log-Log Intercept]]*INDIRECT(RawMaterials[[#This Row],[Basis Cell]])^RawMaterials[[#This Row],[Lab Log-Log Slope]],"&gt;&gt;&gt; Enter 2 or more lab quotes &lt;&lt;&lt;")</f>
        <v>&gt;&gt;&gt; Enter 2 or more lab quotes &lt;&lt;&lt;</v>
      </c>
      <c r="AJ31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0.9479877273949735</v>
      </c>
      <c r="AL319" s="396">
        <f>IF(ISTEXT(RawMaterials[[#This Row],[Unit price in quote year]]),"Check calcs",RawMaterials[[#This Row],[Unit price in quote year]]/VLOOKUP(RawMaterials[[#This Row],[Quote Year]],ChemPPI[],14,FALSE)*VLOOKUP(BasisYear,ChemPPI[],14,FALSE))</f>
        <v>1.1095454679008103</v>
      </c>
      <c r="AM319" s="397" t="str">
        <f t="shared" si="4"/>
        <v>$/kg (2016)</v>
      </c>
    </row>
    <row r="320" spans="1:39">
      <c r="A320" s="259" t="s">
        <v>1411</v>
      </c>
      <c r="B320" s="260"/>
      <c r="C320" s="351"/>
      <c r="D320" s="351"/>
      <c r="E320" s="260">
        <v>100</v>
      </c>
      <c r="F320" s="260"/>
      <c r="G320" s="351"/>
      <c r="H320" s="351"/>
      <c r="I320" s="262"/>
      <c r="J320" s="351"/>
      <c r="K320" s="351"/>
      <c r="L320" s="351"/>
      <c r="M320" s="351"/>
      <c r="N320" s="351"/>
      <c r="O320" s="351"/>
      <c r="P320" s="261">
        <v>0.64749999999999996</v>
      </c>
      <c r="Q320" s="260">
        <v>1</v>
      </c>
      <c r="R320" s="260" t="s">
        <v>20</v>
      </c>
      <c r="S320" s="260">
        <v>2006</v>
      </c>
      <c r="T320" s="260" t="s">
        <v>161</v>
      </c>
      <c r="U320" s="386">
        <v>42653</v>
      </c>
      <c r="V320" s="387"/>
      <c r="W320" s="354">
        <f>COUNT(RawMaterials[[#This Row],[Lab Quantity 1]:[Lab Quantity 4]])</f>
        <v>0</v>
      </c>
      <c r="X32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0" s="392" t="e">
        <f>RawMaterials[[#This Row],[Lab Price 1]]/RawMaterials[[#This Row],[Lab Q Model Units 1]]</f>
        <v>#N/A</v>
      </c>
      <c r="AC320" s="392" t="e">
        <f>RawMaterials[[#This Row],[Lab Price 2]]/RawMaterials[[#This Row],[Lab Q Model Units 2]]</f>
        <v>#N/A</v>
      </c>
      <c r="AD320" s="392" t="e">
        <f>RawMaterials[[#This Row],[Lab Price 3]]/RawMaterials[[#This Row],[Lab Q Model Units 3]]</f>
        <v>#N/A</v>
      </c>
      <c r="AE320" s="392" t="e">
        <f>RawMaterials[[#This Row],[Lab Price 4]]/RawMaterials[[#This Row],[Lab Q Model Units 4]]</f>
        <v>#N/A</v>
      </c>
      <c r="AF320" s="392" t="str">
        <f ca="1">IF(RawMaterials[[#This Row],[Lab Quote Count]]&gt;1,SLOPE(LOG(INDIRECT("RawMaterials[@[Lab Unit P 1]:[Lab Unit P "&amp;RawMaterials[[#This Row],[Lab Quote Count]]&amp;"]]")),LOG(INDIRECT("RawMaterials[@[Lab Q Model Units 1]:[Lab Q Model Units "&amp;RawMaterials[[#This Row],[Lab Quote Count]]&amp;"]]"))),"")</f>
        <v/>
      </c>
      <c r="AG320" s="392" t="str">
        <f ca="1">IF(RawMaterials[[#This Row],[Lab Quote Count]]&gt;1,INTERCEPT(LOG(INDIRECT("RawMaterials[@[Lab Unit P 1]:[Lab Unit P "&amp;RawMaterials[[#This Row],[Lab Quote Count]]&amp;"]]")),LOG(INDIRECT("RawMaterials[@[Lab Q Model Units 1]:[Lab Q Model Units "&amp;RawMaterials[[#This Row],[Lab Quote Count]]&amp;"]]"))),"")</f>
        <v/>
      </c>
      <c r="AH320" s="393" t="str">
        <f>IF(RawMaterials[[#This Row],[Material Type]]="Metal Precursor","D13",IF(RawMaterials[[#This Row],[Material Type]]="Ligand","D13","D12"))</f>
        <v>D12</v>
      </c>
      <c r="AI320" s="394" t="str">
        <f ca="1">IF(RawMaterials[[#This Row],[Lab Quote Count]]&gt;1,10^RawMaterials[[#This Row],[Lab Log-Log Intercept]]*INDIRECT(RawMaterials[[#This Row],[Basis Cell]])^RawMaterials[[#This Row],[Lab Log-Log Slope]],"&gt;&gt;&gt; Enter 2 or more lab quotes &lt;&lt;&lt;")</f>
        <v>&gt;&gt;&gt; Enter 2 or more lab quotes &lt;&lt;&lt;</v>
      </c>
      <c r="AJ32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1.4274931476470822</v>
      </c>
      <c r="AL320" s="396">
        <f>IF(ISTEXT(RawMaterials[[#This Row],[Unit price in quote year]]),"Check calcs",RawMaterials[[#This Row],[Unit price in quote year]]/VLOOKUP(RawMaterials[[#This Row],[Quote Year]],ChemPPI[],14,FALSE)*VLOOKUP(BasisYear,ChemPPI[],14,FALSE))</f>
        <v>1.937415750693779</v>
      </c>
      <c r="AM320" s="397" t="str">
        <f t="shared" si="4"/>
        <v>$/kg (2016)</v>
      </c>
    </row>
    <row r="321" spans="1:39">
      <c r="A321" s="259" t="s">
        <v>1412</v>
      </c>
      <c r="B321" s="260"/>
      <c r="C321" s="351"/>
      <c r="D321" s="351"/>
      <c r="E321" s="260">
        <v>100</v>
      </c>
      <c r="F321" s="260"/>
      <c r="G321" s="351"/>
      <c r="H321" s="351"/>
      <c r="I321" s="262"/>
      <c r="J321" s="351"/>
      <c r="K321" s="351"/>
      <c r="L321" s="351"/>
      <c r="M321" s="351"/>
      <c r="N321" s="351"/>
      <c r="O321" s="351"/>
      <c r="P321" s="261">
        <v>0.71750000000000003</v>
      </c>
      <c r="Q321" s="260">
        <v>1</v>
      </c>
      <c r="R321" s="260" t="s">
        <v>20</v>
      </c>
      <c r="S321" s="260">
        <v>2006</v>
      </c>
      <c r="T321" s="260" t="s">
        <v>161</v>
      </c>
      <c r="U321" s="386">
        <v>42653</v>
      </c>
      <c r="V321" s="387"/>
      <c r="W321" s="354">
        <f>COUNT(RawMaterials[[#This Row],[Lab Quantity 1]:[Lab Quantity 4]])</f>
        <v>0</v>
      </c>
      <c r="X32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1" s="392" t="e">
        <f>RawMaterials[[#This Row],[Lab Price 1]]/RawMaterials[[#This Row],[Lab Q Model Units 1]]</f>
        <v>#N/A</v>
      </c>
      <c r="AC321" s="392" t="e">
        <f>RawMaterials[[#This Row],[Lab Price 2]]/RawMaterials[[#This Row],[Lab Q Model Units 2]]</f>
        <v>#N/A</v>
      </c>
      <c r="AD321" s="392" t="e">
        <f>RawMaterials[[#This Row],[Lab Price 3]]/RawMaterials[[#This Row],[Lab Q Model Units 3]]</f>
        <v>#N/A</v>
      </c>
      <c r="AE321" s="392" t="e">
        <f>RawMaterials[[#This Row],[Lab Price 4]]/RawMaterials[[#This Row],[Lab Q Model Units 4]]</f>
        <v>#N/A</v>
      </c>
      <c r="AF321" s="392" t="str">
        <f ca="1">IF(RawMaterials[[#This Row],[Lab Quote Count]]&gt;1,SLOPE(LOG(INDIRECT("RawMaterials[@[Lab Unit P 1]:[Lab Unit P "&amp;RawMaterials[[#This Row],[Lab Quote Count]]&amp;"]]")),LOG(INDIRECT("RawMaterials[@[Lab Q Model Units 1]:[Lab Q Model Units "&amp;RawMaterials[[#This Row],[Lab Quote Count]]&amp;"]]"))),"")</f>
        <v/>
      </c>
      <c r="AG321" s="392" t="str">
        <f ca="1">IF(RawMaterials[[#This Row],[Lab Quote Count]]&gt;1,INTERCEPT(LOG(INDIRECT("RawMaterials[@[Lab Unit P 1]:[Lab Unit P "&amp;RawMaterials[[#This Row],[Lab Quote Count]]&amp;"]]")),LOG(INDIRECT("RawMaterials[@[Lab Q Model Units 1]:[Lab Q Model Units "&amp;RawMaterials[[#This Row],[Lab Quote Count]]&amp;"]]"))),"")</f>
        <v/>
      </c>
      <c r="AH321" s="393" t="str">
        <f>IF(RawMaterials[[#This Row],[Material Type]]="Metal Precursor","D13",IF(RawMaterials[[#This Row],[Material Type]]="Ligand","D13","D12"))</f>
        <v>D12</v>
      </c>
      <c r="AI321" s="394" t="str">
        <f ca="1">IF(RawMaterials[[#This Row],[Lab Quote Count]]&gt;1,10^RawMaterials[[#This Row],[Lab Log-Log Intercept]]*INDIRECT(RawMaterials[[#This Row],[Basis Cell]])^RawMaterials[[#This Row],[Lab Log-Log Slope]],"&gt;&gt;&gt; Enter 2 or more lab quotes &lt;&lt;&lt;")</f>
        <v>&gt;&gt;&gt; Enter 2 or more lab quotes &lt;&lt;&lt;</v>
      </c>
      <c r="AJ32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1.5818167311764966</v>
      </c>
      <c r="AL321" s="396">
        <f>IF(ISTEXT(RawMaterials[[#This Row],[Unit price in quote year]]),"Check calcs",RawMaterials[[#This Row],[Unit price in quote year]]/VLOOKUP(RawMaterials[[#This Row],[Quote Year]],ChemPPI[],14,FALSE)*VLOOKUP(BasisYear,ChemPPI[],14,FALSE))</f>
        <v>2.1468661021201334</v>
      </c>
      <c r="AM321" s="397" t="str">
        <f t="shared" si="4"/>
        <v>$/kg (2016)</v>
      </c>
    </row>
    <row r="322" spans="1:39">
      <c r="A322" s="259" t="s">
        <v>1413</v>
      </c>
      <c r="B322" s="260"/>
      <c r="C322" s="351"/>
      <c r="D322" s="351">
        <v>0.85</v>
      </c>
      <c r="E322" s="260">
        <v>100</v>
      </c>
      <c r="F322" s="260"/>
      <c r="G322" s="351"/>
      <c r="H322" s="351"/>
      <c r="I322" s="262"/>
      <c r="J322" s="351"/>
      <c r="K322" s="351"/>
      <c r="L322" s="351"/>
      <c r="M322" s="351"/>
      <c r="N322" s="351"/>
      <c r="O322" s="351"/>
      <c r="P322" s="261">
        <v>5.85</v>
      </c>
      <c r="Q322" s="260">
        <v>1</v>
      </c>
      <c r="R322" s="260" t="s">
        <v>85</v>
      </c>
      <c r="S322" s="260">
        <v>2006</v>
      </c>
      <c r="T322" s="260" t="s">
        <v>161</v>
      </c>
      <c r="U322" s="386">
        <v>42653</v>
      </c>
      <c r="V322" s="387"/>
      <c r="W322" s="354">
        <f>COUNT(RawMaterials[[#This Row],[Lab Quantity 1]:[Lab Quantity 4]])</f>
        <v>0</v>
      </c>
      <c r="X32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2" s="392" t="e">
        <f>RawMaterials[[#This Row],[Lab Price 1]]/RawMaterials[[#This Row],[Lab Q Model Units 1]]</f>
        <v>#N/A</v>
      </c>
      <c r="AC322" s="392" t="e">
        <f>RawMaterials[[#This Row],[Lab Price 2]]/RawMaterials[[#This Row],[Lab Q Model Units 2]]</f>
        <v>#N/A</v>
      </c>
      <c r="AD322" s="392" t="e">
        <f>RawMaterials[[#This Row],[Lab Price 3]]/RawMaterials[[#This Row],[Lab Q Model Units 3]]</f>
        <v>#N/A</v>
      </c>
      <c r="AE322" s="392" t="e">
        <f>RawMaterials[[#This Row],[Lab Price 4]]/RawMaterials[[#This Row],[Lab Q Model Units 4]]</f>
        <v>#N/A</v>
      </c>
      <c r="AF322" s="392" t="str">
        <f ca="1">IF(RawMaterials[[#This Row],[Lab Quote Count]]&gt;1,SLOPE(LOG(INDIRECT("RawMaterials[@[Lab Unit P 1]:[Lab Unit P "&amp;RawMaterials[[#This Row],[Lab Quote Count]]&amp;"]]")),LOG(INDIRECT("RawMaterials[@[Lab Q Model Units 1]:[Lab Q Model Units "&amp;RawMaterials[[#This Row],[Lab Quote Count]]&amp;"]]"))),"")</f>
        <v/>
      </c>
      <c r="AG322" s="392" t="str">
        <f ca="1">IF(RawMaterials[[#This Row],[Lab Quote Count]]&gt;1,INTERCEPT(LOG(INDIRECT("RawMaterials[@[Lab Unit P 1]:[Lab Unit P "&amp;RawMaterials[[#This Row],[Lab Quote Count]]&amp;"]]")),LOG(INDIRECT("RawMaterials[@[Lab Q Model Units 1]:[Lab Q Model Units "&amp;RawMaterials[[#This Row],[Lab Quote Count]]&amp;"]]"))),"")</f>
        <v/>
      </c>
      <c r="AH322" s="393" t="str">
        <f>IF(RawMaterials[[#This Row],[Material Type]]="Metal Precursor","D13",IF(RawMaterials[[#This Row],[Material Type]]="Ligand","D13","D12"))</f>
        <v>D12</v>
      </c>
      <c r="AI322" s="394" t="str">
        <f ca="1">IF(RawMaterials[[#This Row],[Lab Quote Count]]&gt;1,10^RawMaterials[[#This Row],[Lab Log-Log Intercept]]*INDIRECT(RawMaterials[[#This Row],[Basis Cell]])^RawMaterials[[#This Row],[Lab Log-Log Slope]],"&gt;&gt;&gt; Enter 2 or more lab quotes &lt;&lt;&lt;")</f>
        <v>&gt;&gt;&gt; Enter 2 or more lab quotes &lt;&lt;&lt;</v>
      </c>
      <c r="AJ32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1.8181253015237271</v>
      </c>
      <c r="AL322" s="396">
        <f>IF(ISTEXT(RawMaterials[[#This Row],[Unit price in quote year]]),"Check calcs",RawMaterials[[#This Row],[Unit price in quote year]]/VLOOKUP(RawMaterials[[#This Row],[Quote Year]],ChemPPI[],14,FALSE)*VLOOKUP(BasisYear,ChemPPI[],14,FALSE))</f>
        <v>2.4675877440903839</v>
      </c>
      <c r="AM322" s="397" t="str">
        <f t="shared" si="4"/>
        <v>$/kg (2016)</v>
      </c>
    </row>
    <row r="323" spans="1:39">
      <c r="A323" s="259" t="s">
        <v>1414</v>
      </c>
      <c r="B323" s="260"/>
      <c r="C323" s="351"/>
      <c r="D323" s="351">
        <v>0.85</v>
      </c>
      <c r="E323" s="260">
        <v>100</v>
      </c>
      <c r="F323" s="260"/>
      <c r="G323" s="351"/>
      <c r="H323" s="351"/>
      <c r="I323" s="262"/>
      <c r="J323" s="351"/>
      <c r="K323" s="351"/>
      <c r="L323" s="351"/>
      <c r="M323" s="351"/>
      <c r="N323" s="351"/>
      <c r="O323" s="351"/>
      <c r="P323" s="261">
        <v>5.87</v>
      </c>
      <c r="Q323" s="260">
        <v>1</v>
      </c>
      <c r="R323" s="260" t="s">
        <v>85</v>
      </c>
      <c r="S323" s="260">
        <v>2006</v>
      </c>
      <c r="T323" s="260" t="s">
        <v>161</v>
      </c>
      <c r="U323" s="386">
        <v>42653</v>
      </c>
      <c r="V323" s="387"/>
      <c r="W323" s="354">
        <f>COUNT(RawMaterials[[#This Row],[Lab Quantity 1]:[Lab Quantity 4]])</f>
        <v>0</v>
      </c>
      <c r="X32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3" s="392" t="e">
        <f>RawMaterials[[#This Row],[Lab Price 1]]/RawMaterials[[#This Row],[Lab Q Model Units 1]]</f>
        <v>#N/A</v>
      </c>
      <c r="AC323" s="392" t="e">
        <f>RawMaterials[[#This Row],[Lab Price 2]]/RawMaterials[[#This Row],[Lab Q Model Units 2]]</f>
        <v>#N/A</v>
      </c>
      <c r="AD323" s="392" t="e">
        <f>RawMaterials[[#This Row],[Lab Price 3]]/RawMaterials[[#This Row],[Lab Q Model Units 3]]</f>
        <v>#N/A</v>
      </c>
      <c r="AE323" s="392" t="e">
        <f>RawMaterials[[#This Row],[Lab Price 4]]/RawMaterials[[#This Row],[Lab Q Model Units 4]]</f>
        <v>#N/A</v>
      </c>
      <c r="AF323" s="392" t="str">
        <f ca="1">IF(RawMaterials[[#This Row],[Lab Quote Count]]&gt;1,SLOPE(LOG(INDIRECT("RawMaterials[@[Lab Unit P 1]:[Lab Unit P "&amp;RawMaterials[[#This Row],[Lab Quote Count]]&amp;"]]")),LOG(INDIRECT("RawMaterials[@[Lab Q Model Units 1]:[Lab Q Model Units "&amp;RawMaterials[[#This Row],[Lab Quote Count]]&amp;"]]"))),"")</f>
        <v/>
      </c>
      <c r="AG323" s="392" t="str">
        <f ca="1">IF(RawMaterials[[#This Row],[Lab Quote Count]]&gt;1,INTERCEPT(LOG(INDIRECT("RawMaterials[@[Lab Unit P 1]:[Lab Unit P "&amp;RawMaterials[[#This Row],[Lab Quote Count]]&amp;"]]")),LOG(INDIRECT("RawMaterials[@[Lab Q Model Units 1]:[Lab Q Model Units "&amp;RawMaterials[[#This Row],[Lab Quote Count]]&amp;"]]"))),"")</f>
        <v/>
      </c>
      <c r="AH323" s="393" t="str">
        <f>IF(RawMaterials[[#This Row],[Material Type]]="Metal Precursor","D13",IF(RawMaterials[[#This Row],[Material Type]]="Ligand","D13","D12"))</f>
        <v>D12</v>
      </c>
      <c r="AI323" s="394" t="str">
        <f ca="1">IF(RawMaterials[[#This Row],[Lab Quote Count]]&gt;1,10^RawMaterials[[#This Row],[Lab Log-Log Intercept]]*INDIRECT(RawMaterials[[#This Row],[Basis Cell]])^RawMaterials[[#This Row],[Lab Log-Log Slope]],"&gt;&gt;&gt; Enter 2 or more lab quotes &lt;&lt;&lt;")</f>
        <v>&gt;&gt;&gt; Enter 2 or more lab quotes &lt;&lt;&lt;</v>
      </c>
      <c r="AJ32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1.8243411145203896</v>
      </c>
      <c r="AL323" s="396">
        <f>IF(ISTEXT(RawMaterials[[#This Row],[Unit price in quote year]]),"Check calcs",RawMaterials[[#This Row],[Unit price in quote year]]/VLOOKUP(RawMaterials[[#This Row],[Quote Year]],ChemPPI[],14,FALSE)*VLOOKUP(BasisYear,ChemPPI[],14,FALSE))</f>
        <v>2.4760239415060781</v>
      </c>
      <c r="AM323" s="397" t="str">
        <f t="shared" si="4"/>
        <v>$/kg (2016)</v>
      </c>
    </row>
    <row r="324" spans="1:39">
      <c r="A324" s="259" t="s">
        <v>1415</v>
      </c>
      <c r="B324" s="260"/>
      <c r="C324" s="351"/>
      <c r="D324" s="351">
        <v>0.85</v>
      </c>
      <c r="E324" s="260">
        <v>100</v>
      </c>
      <c r="F324" s="260"/>
      <c r="G324" s="351"/>
      <c r="H324" s="351"/>
      <c r="I324" s="262"/>
      <c r="J324" s="351"/>
      <c r="K324" s="351"/>
      <c r="L324" s="351"/>
      <c r="M324" s="351"/>
      <c r="N324" s="351"/>
      <c r="O324" s="351"/>
      <c r="P324" s="261">
        <v>5.96</v>
      </c>
      <c r="Q324" s="260">
        <v>1</v>
      </c>
      <c r="R324" s="260" t="s">
        <v>85</v>
      </c>
      <c r="S324" s="260">
        <v>2006</v>
      </c>
      <c r="T324" s="260" t="s">
        <v>161</v>
      </c>
      <c r="U324" s="386">
        <v>42653</v>
      </c>
      <c r="V324" s="387"/>
      <c r="W324" s="354">
        <f>COUNT(RawMaterials[[#This Row],[Lab Quantity 1]:[Lab Quantity 4]])</f>
        <v>0</v>
      </c>
      <c r="X32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4" s="392" t="e">
        <f>RawMaterials[[#This Row],[Lab Price 1]]/RawMaterials[[#This Row],[Lab Q Model Units 1]]</f>
        <v>#N/A</v>
      </c>
      <c r="AC324" s="392" t="e">
        <f>RawMaterials[[#This Row],[Lab Price 2]]/RawMaterials[[#This Row],[Lab Q Model Units 2]]</f>
        <v>#N/A</v>
      </c>
      <c r="AD324" s="392" t="e">
        <f>RawMaterials[[#This Row],[Lab Price 3]]/RawMaterials[[#This Row],[Lab Q Model Units 3]]</f>
        <v>#N/A</v>
      </c>
      <c r="AE324" s="392" t="e">
        <f>RawMaterials[[#This Row],[Lab Price 4]]/RawMaterials[[#This Row],[Lab Q Model Units 4]]</f>
        <v>#N/A</v>
      </c>
      <c r="AF324" s="392" t="str">
        <f ca="1">IF(RawMaterials[[#This Row],[Lab Quote Count]]&gt;1,SLOPE(LOG(INDIRECT("RawMaterials[@[Lab Unit P 1]:[Lab Unit P "&amp;RawMaterials[[#This Row],[Lab Quote Count]]&amp;"]]")),LOG(INDIRECT("RawMaterials[@[Lab Q Model Units 1]:[Lab Q Model Units "&amp;RawMaterials[[#This Row],[Lab Quote Count]]&amp;"]]"))),"")</f>
        <v/>
      </c>
      <c r="AG324" s="392" t="str">
        <f ca="1">IF(RawMaterials[[#This Row],[Lab Quote Count]]&gt;1,INTERCEPT(LOG(INDIRECT("RawMaterials[@[Lab Unit P 1]:[Lab Unit P "&amp;RawMaterials[[#This Row],[Lab Quote Count]]&amp;"]]")),LOG(INDIRECT("RawMaterials[@[Lab Q Model Units 1]:[Lab Q Model Units "&amp;RawMaterials[[#This Row],[Lab Quote Count]]&amp;"]]"))),"")</f>
        <v/>
      </c>
      <c r="AH324" s="393" t="str">
        <f>IF(RawMaterials[[#This Row],[Material Type]]="Metal Precursor","D13",IF(RawMaterials[[#This Row],[Material Type]]="Ligand","D13","D12"))</f>
        <v>D12</v>
      </c>
      <c r="AI324" s="394" t="str">
        <f ca="1">IF(RawMaterials[[#This Row],[Lab Quote Count]]&gt;1,10^RawMaterials[[#This Row],[Lab Log-Log Intercept]]*INDIRECT(RawMaterials[[#This Row],[Basis Cell]])^RawMaterials[[#This Row],[Lab Log-Log Slope]],"&gt;&gt;&gt; Enter 2 or more lab quotes &lt;&lt;&lt;")</f>
        <v>&gt;&gt;&gt; Enter 2 or more lab quotes &lt;&lt;&lt;</v>
      </c>
      <c r="AJ32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1.85231227300537</v>
      </c>
      <c r="AL324" s="396">
        <f>IF(ISTEXT(RawMaterials[[#This Row],[Unit price in quote year]]),"Check calcs",RawMaterials[[#This Row],[Unit price in quote year]]/VLOOKUP(RawMaterials[[#This Row],[Quote Year]],ChemPPI[],14,FALSE)*VLOOKUP(BasisYear,ChemPPI[],14,FALSE))</f>
        <v>2.5139868298766994</v>
      </c>
      <c r="AM324" s="397" t="str">
        <f t="shared" si="4"/>
        <v>$/kg (2016)</v>
      </c>
    </row>
    <row r="325" spans="1:39">
      <c r="A325" s="259" t="s">
        <v>1416</v>
      </c>
      <c r="B325" s="260"/>
      <c r="C325" s="351"/>
      <c r="D325" s="351">
        <v>0.85</v>
      </c>
      <c r="E325" s="260">
        <v>100</v>
      </c>
      <c r="F325" s="260"/>
      <c r="G325" s="351"/>
      <c r="H325" s="351"/>
      <c r="I325" s="262"/>
      <c r="J325" s="351"/>
      <c r="K325" s="351"/>
      <c r="L325" s="351"/>
      <c r="M325" s="351"/>
      <c r="N325" s="351"/>
      <c r="O325" s="351"/>
      <c r="P325" s="261">
        <v>5.69</v>
      </c>
      <c r="Q325" s="260">
        <v>1</v>
      </c>
      <c r="R325" s="260" t="s">
        <v>85</v>
      </c>
      <c r="S325" s="260">
        <v>2006</v>
      </c>
      <c r="T325" s="260" t="s">
        <v>161</v>
      </c>
      <c r="U325" s="386">
        <v>42653</v>
      </c>
      <c r="V325" s="387"/>
      <c r="W325" s="354">
        <f>COUNT(RawMaterials[[#This Row],[Lab Quantity 1]:[Lab Quantity 4]])</f>
        <v>0</v>
      </c>
      <c r="X32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5" s="392" t="e">
        <f>RawMaterials[[#This Row],[Lab Price 1]]/RawMaterials[[#This Row],[Lab Q Model Units 1]]</f>
        <v>#N/A</v>
      </c>
      <c r="AC325" s="392" t="e">
        <f>RawMaterials[[#This Row],[Lab Price 2]]/RawMaterials[[#This Row],[Lab Q Model Units 2]]</f>
        <v>#N/A</v>
      </c>
      <c r="AD325" s="392" t="e">
        <f>RawMaterials[[#This Row],[Lab Price 3]]/RawMaterials[[#This Row],[Lab Q Model Units 3]]</f>
        <v>#N/A</v>
      </c>
      <c r="AE325" s="392" t="e">
        <f>RawMaterials[[#This Row],[Lab Price 4]]/RawMaterials[[#This Row],[Lab Q Model Units 4]]</f>
        <v>#N/A</v>
      </c>
      <c r="AF325" s="392" t="str">
        <f ca="1">IF(RawMaterials[[#This Row],[Lab Quote Count]]&gt;1,SLOPE(LOG(INDIRECT("RawMaterials[@[Lab Unit P 1]:[Lab Unit P "&amp;RawMaterials[[#This Row],[Lab Quote Count]]&amp;"]]")),LOG(INDIRECT("RawMaterials[@[Lab Q Model Units 1]:[Lab Q Model Units "&amp;RawMaterials[[#This Row],[Lab Quote Count]]&amp;"]]"))),"")</f>
        <v/>
      </c>
      <c r="AG325" s="392" t="str">
        <f ca="1">IF(RawMaterials[[#This Row],[Lab Quote Count]]&gt;1,INTERCEPT(LOG(INDIRECT("RawMaterials[@[Lab Unit P 1]:[Lab Unit P "&amp;RawMaterials[[#This Row],[Lab Quote Count]]&amp;"]]")),LOG(INDIRECT("RawMaterials[@[Lab Q Model Units 1]:[Lab Q Model Units "&amp;RawMaterials[[#This Row],[Lab Quote Count]]&amp;"]]"))),"")</f>
        <v/>
      </c>
      <c r="AH325" s="393" t="str">
        <f>IF(RawMaterials[[#This Row],[Material Type]]="Metal Precursor","D13",IF(RawMaterials[[#This Row],[Material Type]]="Ligand","D13","D12"))</f>
        <v>D12</v>
      </c>
      <c r="AI325" s="394" t="str">
        <f ca="1">IF(RawMaterials[[#This Row],[Lab Quote Count]]&gt;1,10^RawMaterials[[#This Row],[Lab Log-Log Intercept]]*INDIRECT(RawMaterials[[#This Row],[Basis Cell]])^RawMaterials[[#This Row],[Lab Log-Log Slope]],"&gt;&gt;&gt; Enter 2 or more lab quotes &lt;&lt;&lt;")</f>
        <v>&gt;&gt;&gt; Enter 2 or more lab quotes &lt;&lt;&lt;</v>
      </c>
      <c r="AJ32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1.7683987975504289</v>
      </c>
      <c r="AL325" s="396">
        <f>IF(ISTEXT(RawMaterials[[#This Row],[Unit price in quote year]]),"Check calcs",RawMaterials[[#This Row],[Unit price in quote year]]/VLOOKUP(RawMaterials[[#This Row],[Quote Year]],ChemPPI[],14,FALSE)*VLOOKUP(BasisYear,ChemPPI[],14,FALSE))</f>
        <v>2.4000981647648358</v>
      </c>
      <c r="AM325" s="397" t="str">
        <f t="shared" si="4"/>
        <v>$/kg (2016)</v>
      </c>
    </row>
    <row r="326" spans="1:39">
      <c r="A326" s="259" t="s">
        <v>1417</v>
      </c>
      <c r="B326" s="260"/>
      <c r="C326" s="351"/>
      <c r="D326" s="351">
        <v>0.85</v>
      </c>
      <c r="E326" s="260">
        <v>100</v>
      </c>
      <c r="F326" s="260"/>
      <c r="G326" s="351"/>
      <c r="H326" s="351"/>
      <c r="I326" s="262"/>
      <c r="J326" s="351"/>
      <c r="K326" s="351"/>
      <c r="L326" s="351"/>
      <c r="M326" s="351"/>
      <c r="N326" s="351"/>
      <c r="O326" s="351"/>
      <c r="P326" s="261">
        <v>5.54</v>
      </c>
      <c r="Q326" s="260">
        <v>1</v>
      </c>
      <c r="R326" s="260" t="s">
        <v>85</v>
      </c>
      <c r="S326" s="260">
        <v>2006</v>
      </c>
      <c r="T326" s="260" t="s">
        <v>161</v>
      </c>
      <c r="U326" s="386">
        <v>42653</v>
      </c>
      <c r="V326" s="387"/>
      <c r="W326" s="354">
        <f>COUNT(RawMaterials[[#This Row],[Lab Quantity 1]:[Lab Quantity 4]])</f>
        <v>0</v>
      </c>
      <c r="X32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6" s="392" t="e">
        <f>RawMaterials[[#This Row],[Lab Price 1]]/RawMaterials[[#This Row],[Lab Q Model Units 1]]</f>
        <v>#N/A</v>
      </c>
      <c r="AC326" s="392" t="e">
        <f>RawMaterials[[#This Row],[Lab Price 2]]/RawMaterials[[#This Row],[Lab Q Model Units 2]]</f>
        <v>#N/A</v>
      </c>
      <c r="AD326" s="392" t="e">
        <f>RawMaterials[[#This Row],[Lab Price 3]]/RawMaterials[[#This Row],[Lab Q Model Units 3]]</f>
        <v>#N/A</v>
      </c>
      <c r="AE326" s="392" t="e">
        <f>RawMaterials[[#This Row],[Lab Price 4]]/RawMaterials[[#This Row],[Lab Q Model Units 4]]</f>
        <v>#N/A</v>
      </c>
      <c r="AF326" s="392" t="str">
        <f ca="1">IF(RawMaterials[[#This Row],[Lab Quote Count]]&gt;1,SLOPE(LOG(INDIRECT("RawMaterials[@[Lab Unit P 1]:[Lab Unit P "&amp;RawMaterials[[#This Row],[Lab Quote Count]]&amp;"]]")),LOG(INDIRECT("RawMaterials[@[Lab Q Model Units 1]:[Lab Q Model Units "&amp;RawMaterials[[#This Row],[Lab Quote Count]]&amp;"]]"))),"")</f>
        <v/>
      </c>
      <c r="AG326" s="392" t="str">
        <f ca="1">IF(RawMaterials[[#This Row],[Lab Quote Count]]&gt;1,INTERCEPT(LOG(INDIRECT("RawMaterials[@[Lab Unit P 1]:[Lab Unit P "&amp;RawMaterials[[#This Row],[Lab Quote Count]]&amp;"]]")),LOG(INDIRECT("RawMaterials[@[Lab Q Model Units 1]:[Lab Q Model Units "&amp;RawMaterials[[#This Row],[Lab Quote Count]]&amp;"]]"))),"")</f>
        <v/>
      </c>
      <c r="AH326" s="393" t="str">
        <f>IF(RawMaterials[[#This Row],[Material Type]]="Metal Precursor","D13",IF(RawMaterials[[#This Row],[Material Type]]="Ligand","D13","D12"))</f>
        <v>D12</v>
      </c>
      <c r="AI326" s="394" t="str">
        <f ca="1">IF(RawMaterials[[#This Row],[Lab Quote Count]]&gt;1,10^RawMaterials[[#This Row],[Lab Log-Log Intercept]]*INDIRECT(RawMaterials[[#This Row],[Basis Cell]])^RawMaterials[[#This Row],[Lab Log-Log Slope]],"&gt;&gt;&gt; Enter 2 or more lab quotes &lt;&lt;&lt;")</f>
        <v>&gt;&gt;&gt; Enter 2 or more lab quotes &lt;&lt;&lt;</v>
      </c>
      <c r="AJ32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1.7217802000754614</v>
      </c>
      <c r="AL326" s="396">
        <f>IF(ISTEXT(RawMaterials[[#This Row],[Unit price in quote year]]),"Check calcs",RawMaterials[[#This Row],[Unit price in quote year]]/VLOOKUP(RawMaterials[[#This Row],[Quote Year]],ChemPPI[],14,FALSE)*VLOOKUP(BasisYear,ChemPPI[],14,FALSE))</f>
        <v>2.3368266841471335</v>
      </c>
      <c r="AM326" s="397" t="str">
        <f t="shared" si="4"/>
        <v>$/kg (2016)</v>
      </c>
    </row>
    <row r="327" spans="1:39">
      <c r="A327" s="259" t="s">
        <v>1418</v>
      </c>
      <c r="B327" s="260"/>
      <c r="C327" s="351"/>
      <c r="D327" s="351">
        <v>0.85</v>
      </c>
      <c r="E327" s="260">
        <v>100</v>
      </c>
      <c r="F327" s="260"/>
      <c r="G327" s="351"/>
      <c r="H327" s="351"/>
      <c r="I327" s="262"/>
      <c r="J327" s="351"/>
      <c r="K327" s="351"/>
      <c r="L327" s="351"/>
      <c r="M327" s="351"/>
      <c r="N327" s="351"/>
      <c r="O327" s="351"/>
      <c r="P327" s="261">
        <v>5.58</v>
      </c>
      <c r="Q327" s="260">
        <v>1</v>
      </c>
      <c r="R327" s="260" t="s">
        <v>85</v>
      </c>
      <c r="S327" s="260">
        <v>2006</v>
      </c>
      <c r="T327" s="260" t="s">
        <v>161</v>
      </c>
      <c r="U327" s="386">
        <v>42653</v>
      </c>
      <c r="V327" s="387"/>
      <c r="W327" s="354">
        <f>COUNT(RawMaterials[[#This Row],[Lab Quantity 1]:[Lab Quantity 4]])</f>
        <v>0</v>
      </c>
      <c r="X32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7" s="392" t="e">
        <f>RawMaterials[[#This Row],[Lab Price 1]]/RawMaterials[[#This Row],[Lab Q Model Units 1]]</f>
        <v>#N/A</v>
      </c>
      <c r="AC327" s="392" t="e">
        <f>RawMaterials[[#This Row],[Lab Price 2]]/RawMaterials[[#This Row],[Lab Q Model Units 2]]</f>
        <v>#N/A</v>
      </c>
      <c r="AD327" s="392" t="e">
        <f>RawMaterials[[#This Row],[Lab Price 3]]/RawMaterials[[#This Row],[Lab Q Model Units 3]]</f>
        <v>#N/A</v>
      </c>
      <c r="AE327" s="392" t="e">
        <f>RawMaterials[[#This Row],[Lab Price 4]]/RawMaterials[[#This Row],[Lab Q Model Units 4]]</f>
        <v>#N/A</v>
      </c>
      <c r="AF327" s="392" t="str">
        <f ca="1">IF(RawMaterials[[#This Row],[Lab Quote Count]]&gt;1,SLOPE(LOG(INDIRECT("RawMaterials[@[Lab Unit P 1]:[Lab Unit P "&amp;RawMaterials[[#This Row],[Lab Quote Count]]&amp;"]]")),LOG(INDIRECT("RawMaterials[@[Lab Q Model Units 1]:[Lab Q Model Units "&amp;RawMaterials[[#This Row],[Lab Quote Count]]&amp;"]]"))),"")</f>
        <v/>
      </c>
      <c r="AG327" s="392" t="str">
        <f ca="1">IF(RawMaterials[[#This Row],[Lab Quote Count]]&gt;1,INTERCEPT(LOG(INDIRECT("RawMaterials[@[Lab Unit P 1]:[Lab Unit P "&amp;RawMaterials[[#This Row],[Lab Quote Count]]&amp;"]]")),LOG(INDIRECT("RawMaterials[@[Lab Q Model Units 1]:[Lab Q Model Units "&amp;RawMaterials[[#This Row],[Lab Quote Count]]&amp;"]]"))),"")</f>
        <v/>
      </c>
      <c r="AH327" s="393" t="str">
        <f>IF(RawMaterials[[#This Row],[Material Type]]="Metal Precursor","D13",IF(RawMaterials[[#This Row],[Material Type]]="Ligand","D13","D12"))</f>
        <v>D12</v>
      </c>
      <c r="AI327" s="394" t="str">
        <f ca="1">IF(RawMaterials[[#This Row],[Lab Quote Count]]&gt;1,10^RawMaterials[[#This Row],[Lab Log-Log Intercept]]*INDIRECT(RawMaterials[[#This Row],[Basis Cell]])^RawMaterials[[#This Row],[Lab Log-Log Slope]],"&gt;&gt;&gt; Enter 2 or more lab quotes &lt;&lt;&lt;")</f>
        <v>&gt;&gt;&gt; Enter 2 or more lab quotes &lt;&lt;&lt;</v>
      </c>
      <c r="AJ32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1.734211826068786</v>
      </c>
      <c r="AL327" s="396">
        <f>IF(ISTEXT(RawMaterials[[#This Row],[Unit price in quote year]]),"Check calcs",RawMaterials[[#This Row],[Unit price in quote year]]/VLOOKUP(RawMaterials[[#This Row],[Quote Year]],ChemPPI[],14,FALSE)*VLOOKUP(BasisYear,ChemPPI[],14,FALSE))</f>
        <v>2.3536990789785204</v>
      </c>
      <c r="AM327" s="397" t="str">
        <f t="shared" si="4"/>
        <v>$/kg (2016)</v>
      </c>
    </row>
    <row r="328" spans="1:39">
      <c r="A328" s="259" t="s">
        <v>1419</v>
      </c>
      <c r="B328" s="260"/>
      <c r="C328" s="351"/>
      <c r="D328" s="351">
        <v>0.85</v>
      </c>
      <c r="E328" s="260">
        <v>100</v>
      </c>
      <c r="F328" s="260"/>
      <c r="G328" s="351"/>
      <c r="H328" s="351"/>
      <c r="I328" s="262"/>
      <c r="J328" s="351"/>
      <c r="K328" s="351"/>
      <c r="L328" s="351"/>
      <c r="M328" s="351"/>
      <c r="N328" s="351"/>
      <c r="O328" s="351"/>
      <c r="P328" s="261">
        <v>5.61</v>
      </c>
      <c r="Q328" s="260">
        <v>1</v>
      </c>
      <c r="R328" s="260" t="s">
        <v>85</v>
      </c>
      <c r="S328" s="260">
        <v>2006</v>
      </c>
      <c r="T328" s="260" t="s">
        <v>161</v>
      </c>
      <c r="U328" s="386">
        <v>42653</v>
      </c>
      <c r="V328" s="387"/>
      <c r="W328" s="354">
        <f>COUNT(RawMaterials[[#This Row],[Lab Quantity 1]:[Lab Quantity 4]])</f>
        <v>0</v>
      </c>
      <c r="X32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8" s="392" t="e">
        <f>RawMaterials[[#This Row],[Lab Price 1]]/RawMaterials[[#This Row],[Lab Q Model Units 1]]</f>
        <v>#N/A</v>
      </c>
      <c r="AC328" s="392" t="e">
        <f>RawMaterials[[#This Row],[Lab Price 2]]/RawMaterials[[#This Row],[Lab Q Model Units 2]]</f>
        <v>#N/A</v>
      </c>
      <c r="AD328" s="392" t="e">
        <f>RawMaterials[[#This Row],[Lab Price 3]]/RawMaterials[[#This Row],[Lab Q Model Units 3]]</f>
        <v>#N/A</v>
      </c>
      <c r="AE328" s="392" t="e">
        <f>RawMaterials[[#This Row],[Lab Price 4]]/RawMaterials[[#This Row],[Lab Q Model Units 4]]</f>
        <v>#N/A</v>
      </c>
      <c r="AF328" s="392" t="str">
        <f ca="1">IF(RawMaterials[[#This Row],[Lab Quote Count]]&gt;1,SLOPE(LOG(INDIRECT("RawMaterials[@[Lab Unit P 1]:[Lab Unit P "&amp;RawMaterials[[#This Row],[Lab Quote Count]]&amp;"]]")),LOG(INDIRECT("RawMaterials[@[Lab Q Model Units 1]:[Lab Q Model Units "&amp;RawMaterials[[#This Row],[Lab Quote Count]]&amp;"]]"))),"")</f>
        <v/>
      </c>
      <c r="AG328" s="392" t="str">
        <f ca="1">IF(RawMaterials[[#This Row],[Lab Quote Count]]&gt;1,INTERCEPT(LOG(INDIRECT("RawMaterials[@[Lab Unit P 1]:[Lab Unit P "&amp;RawMaterials[[#This Row],[Lab Quote Count]]&amp;"]]")),LOG(INDIRECT("RawMaterials[@[Lab Q Model Units 1]:[Lab Q Model Units "&amp;RawMaterials[[#This Row],[Lab Quote Count]]&amp;"]]"))),"")</f>
        <v/>
      </c>
      <c r="AH328" s="393" t="str">
        <f>IF(RawMaterials[[#This Row],[Material Type]]="Metal Precursor","D13",IF(RawMaterials[[#This Row],[Material Type]]="Ligand","D13","D12"))</f>
        <v>D12</v>
      </c>
      <c r="AI328" s="394" t="str">
        <f ca="1">IF(RawMaterials[[#This Row],[Lab Quote Count]]&gt;1,10^RawMaterials[[#This Row],[Lab Log-Log Intercept]]*INDIRECT(RawMaterials[[#This Row],[Basis Cell]])^RawMaterials[[#This Row],[Lab Log-Log Slope]],"&gt;&gt;&gt; Enter 2 or more lab quotes &lt;&lt;&lt;")</f>
        <v>&gt;&gt;&gt; Enter 2 or more lab quotes &lt;&lt;&lt;</v>
      </c>
      <c r="AJ32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1.7435355455637795</v>
      </c>
      <c r="AL328" s="396">
        <f>IF(ISTEXT(RawMaterials[[#This Row],[Unit price in quote year]]),"Check calcs",RawMaterials[[#This Row],[Unit price in quote year]]/VLOOKUP(RawMaterials[[#This Row],[Quote Year]],ChemPPI[],14,FALSE)*VLOOKUP(BasisYear,ChemPPI[],14,FALSE))</f>
        <v>2.3663533751020607</v>
      </c>
      <c r="AM328" s="397" t="str">
        <f t="shared" si="4"/>
        <v>$/kg (2016)</v>
      </c>
    </row>
    <row r="329" spans="1:39">
      <c r="A329" s="352" t="s">
        <v>180</v>
      </c>
      <c r="B329" s="354"/>
      <c r="C329" s="353"/>
      <c r="D329" s="353"/>
      <c r="E329" s="354">
        <v>100</v>
      </c>
      <c r="F329" s="354"/>
      <c r="G329" s="353"/>
      <c r="H329" s="353"/>
      <c r="I329" s="355"/>
      <c r="J329" s="353"/>
      <c r="K329" s="353"/>
      <c r="L329" s="353"/>
      <c r="M329" s="353"/>
      <c r="N329" s="353"/>
      <c r="O329" s="353"/>
      <c r="P329" s="356">
        <v>24000</v>
      </c>
      <c r="Q329" s="260">
        <v>1</v>
      </c>
      <c r="R329" s="354" t="s">
        <v>1112</v>
      </c>
      <c r="S329" s="354">
        <v>2018</v>
      </c>
      <c r="T329" s="354" t="s">
        <v>1095</v>
      </c>
      <c r="U329" s="400">
        <v>43339</v>
      </c>
      <c r="V329" s="387" t="s">
        <v>1705</v>
      </c>
      <c r="W329" s="354">
        <f>COUNT(RawMaterials[[#This Row],[Lab Quantity 1]:[Lab Quantity 4]])</f>
        <v>0</v>
      </c>
      <c r="X32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9" s="392" t="e">
        <f>RawMaterials[[#This Row],[Lab Price 1]]/RawMaterials[[#This Row],[Lab Q Model Units 1]]</f>
        <v>#N/A</v>
      </c>
      <c r="AC329" s="392" t="e">
        <f>RawMaterials[[#This Row],[Lab Price 2]]/RawMaterials[[#This Row],[Lab Q Model Units 2]]</f>
        <v>#N/A</v>
      </c>
      <c r="AD329" s="392" t="e">
        <f>RawMaterials[[#This Row],[Lab Price 3]]/RawMaterials[[#This Row],[Lab Q Model Units 3]]</f>
        <v>#N/A</v>
      </c>
      <c r="AE329" s="392" t="e">
        <f>RawMaterials[[#This Row],[Lab Price 4]]/RawMaterials[[#This Row],[Lab Q Model Units 4]]</f>
        <v>#N/A</v>
      </c>
      <c r="AF329" s="392" t="str">
        <f ca="1">IF(RawMaterials[[#This Row],[Lab Quote Count]]&gt;1,SLOPE(LOG(INDIRECT("RawMaterials[@[Lab Unit P 1]:[Lab Unit P "&amp;RawMaterials[[#This Row],[Lab Quote Count]]&amp;"]]")),LOG(INDIRECT("RawMaterials[@[Lab Q Model Units 1]:[Lab Q Model Units "&amp;RawMaterials[[#This Row],[Lab Quote Count]]&amp;"]]"))),"")</f>
        <v/>
      </c>
      <c r="AG329" s="392" t="str">
        <f ca="1">IF(RawMaterials[[#This Row],[Lab Quote Count]]&gt;1,INTERCEPT(LOG(INDIRECT("RawMaterials[@[Lab Unit P 1]:[Lab Unit P "&amp;RawMaterials[[#This Row],[Lab Quote Count]]&amp;"]]")),LOG(INDIRECT("RawMaterials[@[Lab Q Model Units 1]:[Lab Q Model Units "&amp;RawMaterials[[#This Row],[Lab Quote Count]]&amp;"]]"))),"")</f>
        <v/>
      </c>
      <c r="AH329" s="393" t="str">
        <f>IF(RawMaterials[[#This Row],[Material Type]]="Metal Precursor","D13",IF(RawMaterials[[#This Row],[Material Type]]="Ligand","D13","D12"))</f>
        <v>D12</v>
      </c>
      <c r="AI329" s="394" t="str">
        <f ca="1">IF(RawMaterials[[#This Row],[Lab Quote Count]]&gt;1,10^RawMaterials[[#This Row],[Lab Log-Log Intercept]]*INDIRECT(RawMaterials[[#This Row],[Basis Cell]])^RawMaterials[[#This Row],[Lab Log-Log Slope]],"&gt;&gt;&gt; Enter 2 or more lab quotes &lt;&lt;&lt;")</f>
        <v>&gt;&gt;&gt; Enter 2 or more lab quotes &lt;&lt;&lt;</v>
      </c>
      <c r="AJ32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32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24</v>
      </c>
      <c r="AL329" s="396">
        <f>IF(ISTEXT(RawMaterials[[#This Row],[Unit price in quote year]]),"Check calcs",RawMaterials[[#This Row],[Unit price in quote year]]/VLOOKUP(RawMaterials[[#This Row],[Quote Year]],ChemPPI[],14,FALSE)*VLOOKUP(BasisYear,ChemPPI[],14,FALSE))</f>
        <v>22.092765444154058</v>
      </c>
      <c r="AM329" s="397" t="str">
        <f t="shared" si="4"/>
        <v>$/kg (2016)</v>
      </c>
    </row>
    <row r="330" spans="1:39">
      <c r="A330" s="259" t="s">
        <v>1420</v>
      </c>
      <c r="B330" s="260"/>
      <c r="C330" s="351"/>
      <c r="D330" s="351"/>
      <c r="E330" s="260">
        <v>100</v>
      </c>
      <c r="F330" s="260"/>
      <c r="G330" s="351"/>
      <c r="H330" s="351"/>
      <c r="I330" s="262"/>
      <c r="J330" s="351"/>
      <c r="K330" s="351"/>
      <c r="L330" s="351"/>
      <c r="M330" s="351"/>
      <c r="N330" s="351"/>
      <c r="O330" s="351"/>
      <c r="P330" s="261">
        <v>0.55000000000000004</v>
      </c>
      <c r="Q330" s="260">
        <v>1</v>
      </c>
      <c r="R330" s="260" t="s">
        <v>20</v>
      </c>
      <c r="S330" s="260">
        <v>2006</v>
      </c>
      <c r="T330" s="260" t="s">
        <v>161</v>
      </c>
      <c r="U330" s="386">
        <v>42653</v>
      </c>
      <c r="V330" s="387"/>
      <c r="W330" s="354">
        <f>COUNT(RawMaterials[[#This Row],[Lab Quantity 1]:[Lab Quantity 4]])</f>
        <v>0</v>
      </c>
      <c r="X33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0" s="392" t="e">
        <f>RawMaterials[[#This Row],[Lab Price 1]]/RawMaterials[[#This Row],[Lab Q Model Units 1]]</f>
        <v>#N/A</v>
      </c>
      <c r="AC330" s="392" t="e">
        <f>RawMaterials[[#This Row],[Lab Price 2]]/RawMaterials[[#This Row],[Lab Q Model Units 2]]</f>
        <v>#N/A</v>
      </c>
      <c r="AD330" s="392" t="e">
        <f>RawMaterials[[#This Row],[Lab Price 3]]/RawMaterials[[#This Row],[Lab Q Model Units 3]]</f>
        <v>#N/A</v>
      </c>
      <c r="AE330" s="392" t="e">
        <f>RawMaterials[[#This Row],[Lab Price 4]]/RawMaterials[[#This Row],[Lab Q Model Units 4]]</f>
        <v>#N/A</v>
      </c>
      <c r="AF330" s="392" t="str">
        <f ca="1">IF(RawMaterials[[#This Row],[Lab Quote Count]]&gt;1,SLOPE(LOG(INDIRECT("RawMaterials[@[Lab Unit P 1]:[Lab Unit P "&amp;RawMaterials[[#This Row],[Lab Quote Count]]&amp;"]]")),LOG(INDIRECT("RawMaterials[@[Lab Q Model Units 1]:[Lab Q Model Units "&amp;RawMaterials[[#This Row],[Lab Quote Count]]&amp;"]]"))),"")</f>
        <v/>
      </c>
      <c r="AG330" s="392" t="str">
        <f ca="1">IF(RawMaterials[[#This Row],[Lab Quote Count]]&gt;1,INTERCEPT(LOG(INDIRECT("RawMaterials[@[Lab Unit P 1]:[Lab Unit P "&amp;RawMaterials[[#This Row],[Lab Quote Count]]&amp;"]]")),LOG(INDIRECT("RawMaterials[@[Lab Q Model Units 1]:[Lab Q Model Units "&amp;RawMaterials[[#This Row],[Lab Quote Count]]&amp;"]]"))),"")</f>
        <v/>
      </c>
      <c r="AH330" s="393" t="str">
        <f>IF(RawMaterials[[#This Row],[Material Type]]="Metal Precursor","D13",IF(RawMaterials[[#This Row],[Material Type]]="Ligand","D13","D12"))</f>
        <v>D12</v>
      </c>
      <c r="AI330" s="394" t="str">
        <f ca="1">IF(RawMaterials[[#This Row],[Lab Quote Count]]&gt;1,10^RawMaterials[[#This Row],[Lab Log-Log Intercept]]*INDIRECT(RawMaterials[[#This Row],[Basis Cell]])^RawMaterials[[#This Row],[Lab Log-Log Slope]],"&gt;&gt;&gt; Enter 2 or more lab quotes &lt;&lt;&lt;")</f>
        <v>&gt;&gt;&gt; Enter 2 or more lab quotes &lt;&lt;&lt;</v>
      </c>
      <c r="AJ33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1.2125424420168267</v>
      </c>
      <c r="AL330" s="396">
        <f>IF(ISTEXT(RawMaterials[[#This Row],[Unit price in quote year]]),"Check calcs",RawMaterials[[#This Row],[Unit price in quote year]]/VLOOKUP(RawMaterials[[#This Row],[Quote Year]],ChemPPI[],14,FALSE)*VLOOKUP(BasisYear,ChemPPI[],14,FALSE))</f>
        <v>1.6456813326356425</v>
      </c>
      <c r="AM330" s="397" t="str">
        <f t="shared" si="4"/>
        <v>$/kg (2016)</v>
      </c>
    </row>
    <row r="331" spans="1:39">
      <c r="A331" s="259" t="s">
        <v>1421</v>
      </c>
      <c r="B331" s="260"/>
      <c r="C331" s="351"/>
      <c r="D331" s="351"/>
      <c r="E331" s="260">
        <v>100</v>
      </c>
      <c r="F331" s="260"/>
      <c r="G331" s="351"/>
      <c r="H331" s="351"/>
      <c r="I331" s="262"/>
      <c r="J331" s="351"/>
      <c r="K331" s="351"/>
      <c r="L331" s="351"/>
      <c r="M331" s="351"/>
      <c r="N331" s="351"/>
      <c r="O331" s="351"/>
      <c r="P331" s="261">
        <v>4.6100000000000003</v>
      </c>
      <c r="Q331" s="260">
        <v>1</v>
      </c>
      <c r="R331" s="260" t="s">
        <v>20</v>
      </c>
      <c r="S331" s="260">
        <v>2006</v>
      </c>
      <c r="T331" s="260" t="s">
        <v>161</v>
      </c>
      <c r="U331" s="386">
        <v>42653</v>
      </c>
      <c r="V331" s="387"/>
      <c r="W331" s="354">
        <f>COUNT(RawMaterials[[#This Row],[Lab Quantity 1]:[Lab Quantity 4]])</f>
        <v>0</v>
      </c>
      <c r="X33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1" s="392" t="e">
        <f>RawMaterials[[#This Row],[Lab Price 1]]/RawMaterials[[#This Row],[Lab Q Model Units 1]]</f>
        <v>#N/A</v>
      </c>
      <c r="AC331" s="392" t="e">
        <f>RawMaterials[[#This Row],[Lab Price 2]]/RawMaterials[[#This Row],[Lab Q Model Units 2]]</f>
        <v>#N/A</v>
      </c>
      <c r="AD331" s="392" t="e">
        <f>RawMaterials[[#This Row],[Lab Price 3]]/RawMaterials[[#This Row],[Lab Q Model Units 3]]</f>
        <v>#N/A</v>
      </c>
      <c r="AE331" s="392" t="e">
        <f>RawMaterials[[#This Row],[Lab Price 4]]/RawMaterials[[#This Row],[Lab Q Model Units 4]]</f>
        <v>#N/A</v>
      </c>
      <c r="AF331" s="392" t="str">
        <f ca="1">IF(RawMaterials[[#This Row],[Lab Quote Count]]&gt;1,SLOPE(LOG(INDIRECT("RawMaterials[@[Lab Unit P 1]:[Lab Unit P "&amp;RawMaterials[[#This Row],[Lab Quote Count]]&amp;"]]")),LOG(INDIRECT("RawMaterials[@[Lab Q Model Units 1]:[Lab Q Model Units "&amp;RawMaterials[[#This Row],[Lab Quote Count]]&amp;"]]"))),"")</f>
        <v/>
      </c>
      <c r="AG331" s="392" t="str">
        <f ca="1">IF(RawMaterials[[#This Row],[Lab Quote Count]]&gt;1,INTERCEPT(LOG(INDIRECT("RawMaterials[@[Lab Unit P 1]:[Lab Unit P "&amp;RawMaterials[[#This Row],[Lab Quote Count]]&amp;"]]")),LOG(INDIRECT("RawMaterials[@[Lab Q Model Units 1]:[Lab Q Model Units "&amp;RawMaterials[[#This Row],[Lab Quote Count]]&amp;"]]"))),"")</f>
        <v/>
      </c>
      <c r="AH331" s="393" t="str">
        <f>IF(RawMaterials[[#This Row],[Material Type]]="Metal Precursor","D13",IF(RawMaterials[[#This Row],[Material Type]]="Ligand","D13","D12"))</f>
        <v>D12</v>
      </c>
      <c r="AI331" s="394" t="str">
        <f ca="1">IF(RawMaterials[[#This Row],[Lab Quote Count]]&gt;1,10^RawMaterials[[#This Row],[Lab Log-Log Intercept]]*INDIRECT(RawMaterials[[#This Row],[Basis Cell]])^RawMaterials[[#This Row],[Lab Log-Log Slope]],"&gt;&gt;&gt; Enter 2 or more lab quotes &lt;&lt;&lt;")</f>
        <v>&gt;&gt;&gt; Enter 2 or more lab quotes &lt;&lt;&lt;</v>
      </c>
      <c r="AJ33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10.163310286722856</v>
      </c>
      <c r="AL331" s="396">
        <f>IF(ISTEXT(RawMaterials[[#This Row],[Unit price in quote year]]),"Check calcs",RawMaterials[[#This Row],[Unit price in quote year]]/VLOOKUP(RawMaterials[[#This Row],[Quote Year]],ChemPPI[],14,FALSE)*VLOOKUP(BasisYear,ChemPPI[],14,FALSE))</f>
        <v>13.793801715364204</v>
      </c>
      <c r="AM331" s="397" t="str">
        <f t="shared" si="4"/>
        <v>$/kg (2016)</v>
      </c>
    </row>
    <row r="332" spans="1:39">
      <c r="A332" s="259" t="s">
        <v>1422</v>
      </c>
      <c r="B332" s="260"/>
      <c r="C332" s="351"/>
      <c r="D332" s="351"/>
      <c r="E332" s="260">
        <v>100</v>
      </c>
      <c r="F332" s="260"/>
      <c r="G332" s="351"/>
      <c r="H332" s="351"/>
      <c r="I332" s="262"/>
      <c r="J332" s="351"/>
      <c r="K332" s="351"/>
      <c r="L332" s="351"/>
      <c r="M332" s="351"/>
      <c r="N332" s="351"/>
      <c r="O332" s="351"/>
      <c r="P332" s="261">
        <v>0.875</v>
      </c>
      <c r="Q332" s="260">
        <v>1</v>
      </c>
      <c r="R332" s="260" t="s">
        <v>20</v>
      </c>
      <c r="S332" s="260">
        <v>2006</v>
      </c>
      <c r="T332" s="260" t="s">
        <v>161</v>
      </c>
      <c r="U332" s="386">
        <v>42653</v>
      </c>
      <c r="V332" s="387"/>
      <c r="W332" s="354">
        <f>COUNT(RawMaterials[[#This Row],[Lab Quantity 1]:[Lab Quantity 4]])</f>
        <v>0</v>
      </c>
      <c r="X33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2" s="392" t="e">
        <f>RawMaterials[[#This Row],[Lab Price 1]]/RawMaterials[[#This Row],[Lab Q Model Units 1]]</f>
        <v>#N/A</v>
      </c>
      <c r="AC332" s="392" t="e">
        <f>RawMaterials[[#This Row],[Lab Price 2]]/RawMaterials[[#This Row],[Lab Q Model Units 2]]</f>
        <v>#N/A</v>
      </c>
      <c r="AD332" s="392" t="e">
        <f>RawMaterials[[#This Row],[Lab Price 3]]/RawMaterials[[#This Row],[Lab Q Model Units 3]]</f>
        <v>#N/A</v>
      </c>
      <c r="AE332" s="392" t="e">
        <f>RawMaterials[[#This Row],[Lab Price 4]]/RawMaterials[[#This Row],[Lab Q Model Units 4]]</f>
        <v>#N/A</v>
      </c>
      <c r="AF332" s="392" t="str">
        <f ca="1">IF(RawMaterials[[#This Row],[Lab Quote Count]]&gt;1,SLOPE(LOG(INDIRECT("RawMaterials[@[Lab Unit P 1]:[Lab Unit P "&amp;RawMaterials[[#This Row],[Lab Quote Count]]&amp;"]]")),LOG(INDIRECT("RawMaterials[@[Lab Q Model Units 1]:[Lab Q Model Units "&amp;RawMaterials[[#This Row],[Lab Quote Count]]&amp;"]]"))),"")</f>
        <v/>
      </c>
      <c r="AG332" s="392" t="str">
        <f ca="1">IF(RawMaterials[[#This Row],[Lab Quote Count]]&gt;1,INTERCEPT(LOG(INDIRECT("RawMaterials[@[Lab Unit P 1]:[Lab Unit P "&amp;RawMaterials[[#This Row],[Lab Quote Count]]&amp;"]]")),LOG(INDIRECT("RawMaterials[@[Lab Q Model Units 1]:[Lab Q Model Units "&amp;RawMaterials[[#This Row],[Lab Quote Count]]&amp;"]]"))),"")</f>
        <v/>
      </c>
      <c r="AH332" s="393" t="str">
        <f>IF(RawMaterials[[#This Row],[Material Type]]="Metal Precursor","D13",IF(RawMaterials[[#This Row],[Material Type]]="Ligand","D13","D12"))</f>
        <v>D12</v>
      </c>
      <c r="AI332" s="394" t="str">
        <f ca="1">IF(RawMaterials[[#This Row],[Lab Quote Count]]&gt;1,10^RawMaterials[[#This Row],[Lab Log-Log Intercept]]*INDIRECT(RawMaterials[[#This Row],[Basis Cell]])^RawMaterials[[#This Row],[Lab Log-Log Slope]],"&gt;&gt;&gt; Enter 2 or more lab quotes &lt;&lt;&lt;")</f>
        <v>&gt;&gt;&gt; Enter 2 or more lab quotes &lt;&lt;&lt;</v>
      </c>
      <c r="AJ33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1.9290447941176787</v>
      </c>
      <c r="AL332" s="396">
        <f>IF(ISTEXT(RawMaterials[[#This Row],[Unit price in quote year]]),"Check calcs",RawMaterials[[#This Row],[Unit price in quote year]]/VLOOKUP(RawMaterials[[#This Row],[Quote Year]],ChemPPI[],14,FALSE)*VLOOKUP(BasisYear,ChemPPI[],14,FALSE))</f>
        <v>2.6181293928294314</v>
      </c>
      <c r="AM332" s="397" t="str">
        <f t="shared" si="4"/>
        <v>$/kg (2016)</v>
      </c>
    </row>
    <row r="333" spans="1:39">
      <c r="A333" s="259" t="s">
        <v>1423</v>
      </c>
      <c r="B333" s="260"/>
      <c r="C333" s="351"/>
      <c r="D333" s="351"/>
      <c r="E333" s="260">
        <v>100</v>
      </c>
      <c r="F333" s="260"/>
      <c r="G333" s="351"/>
      <c r="H333" s="351"/>
      <c r="I333" s="262"/>
      <c r="J333" s="351"/>
      <c r="K333" s="351"/>
      <c r="L333" s="351"/>
      <c r="M333" s="351"/>
      <c r="N333" s="351"/>
      <c r="O333" s="351"/>
      <c r="P333" s="261">
        <v>0.77500000000000002</v>
      </c>
      <c r="Q333" s="260">
        <v>1</v>
      </c>
      <c r="R333" s="260" t="s">
        <v>20</v>
      </c>
      <c r="S333" s="260">
        <v>2006</v>
      </c>
      <c r="T333" s="260" t="s">
        <v>161</v>
      </c>
      <c r="U333" s="386">
        <v>42653</v>
      </c>
      <c r="V333" s="387"/>
      <c r="W333" s="354">
        <f>COUNT(RawMaterials[[#This Row],[Lab Quantity 1]:[Lab Quantity 4]])</f>
        <v>0</v>
      </c>
      <c r="X33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3" s="392" t="e">
        <f>RawMaterials[[#This Row],[Lab Price 1]]/RawMaterials[[#This Row],[Lab Q Model Units 1]]</f>
        <v>#N/A</v>
      </c>
      <c r="AC333" s="392" t="e">
        <f>RawMaterials[[#This Row],[Lab Price 2]]/RawMaterials[[#This Row],[Lab Q Model Units 2]]</f>
        <v>#N/A</v>
      </c>
      <c r="AD333" s="392" t="e">
        <f>RawMaterials[[#This Row],[Lab Price 3]]/RawMaterials[[#This Row],[Lab Q Model Units 3]]</f>
        <v>#N/A</v>
      </c>
      <c r="AE333" s="392" t="e">
        <f>RawMaterials[[#This Row],[Lab Price 4]]/RawMaterials[[#This Row],[Lab Q Model Units 4]]</f>
        <v>#N/A</v>
      </c>
      <c r="AF333" s="392" t="str">
        <f ca="1">IF(RawMaterials[[#This Row],[Lab Quote Count]]&gt;1,SLOPE(LOG(INDIRECT("RawMaterials[@[Lab Unit P 1]:[Lab Unit P "&amp;RawMaterials[[#This Row],[Lab Quote Count]]&amp;"]]")),LOG(INDIRECT("RawMaterials[@[Lab Q Model Units 1]:[Lab Q Model Units "&amp;RawMaterials[[#This Row],[Lab Quote Count]]&amp;"]]"))),"")</f>
        <v/>
      </c>
      <c r="AG333" s="392" t="str">
        <f ca="1">IF(RawMaterials[[#This Row],[Lab Quote Count]]&gt;1,INTERCEPT(LOG(INDIRECT("RawMaterials[@[Lab Unit P 1]:[Lab Unit P "&amp;RawMaterials[[#This Row],[Lab Quote Count]]&amp;"]]")),LOG(INDIRECT("RawMaterials[@[Lab Q Model Units 1]:[Lab Q Model Units "&amp;RawMaterials[[#This Row],[Lab Quote Count]]&amp;"]]"))),"")</f>
        <v/>
      </c>
      <c r="AH333" s="393" t="str">
        <f>IF(RawMaterials[[#This Row],[Material Type]]="Metal Precursor","D13",IF(RawMaterials[[#This Row],[Material Type]]="Ligand","D13","D12"))</f>
        <v>D12</v>
      </c>
      <c r="AI333" s="394" t="str">
        <f ca="1">IF(RawMaterials[[#This Row],[Lab Quote Count]]&gt;1,10^RawMaterials[[#This Row],[Lab Log-Log Intercept]]*INDIRECT(RawMaterials[[#This Row],[Basis Cell]])^RawMaterials[[#This Row],[Lab Log-Log Slope]],"&gt;&gt;&gt; Enter 2 or more lab quotes &lt;&lt;&lt;")</f>
        <v>&gt;&gt;&gt; Enter 2 or more lab quotes &lt;&lt;&lt;</v>
      </c>
      <c r="AJ33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1.7085825319328012</v>
      </c>
      <c r="AL333" s="396">
        <f>IF(ISTEXT(RawMaterials[[#This Row],[Unit price in quote year]]),"Check calcs",RawMaterials[[#This Row],[Unit price in quote year]]/VLOOKUP(RawMaterials[[#This Row],[Quote Year]],ChemPPI[],14,FALSE)*VLOOKUP(BasisYear,ChemPPI[],14,FALSE))</f>
        <v>2.3189146050774965</v>
      </c>
      <c r="AM333" s="397" t="str">
        <f t="shared" si="4"/>
        <v>$/kg (2016)</v>
      </c>
    </row>
    <row r="334" spans="1:39">
      <c r="A334" s="259" t="s">
        <v>1424</v>
      </c>
      <c r="B334" s="260"/>
      <c r="C334" s="351"/>
      <c r="D334" s="351">
        <v>0.74</v>
      </c>
      <c r="E334" s="260">
        <v>100</v>
      </c>
      <c r="F334" s="260"/>
      <c r="G334" s="351"/>
      <c r="H334" s="351"/>
      <c r="I334" s="262"/>
      <c r="J334" s="351"/>
      <c r="K334" s="351"/>
      <c r="L334" s="351"/>
      <c r="M334" s="351"/>
      <c r="N334" s="351"/>
      <c r="O334" s="351"/>
      <c r="P334" s="261">
        <v>3.11</v>
      </c>
      <c r="Q334" s="260">
        <v>1</v>
      </c>
      <c r="R334" s="260" t="s">
        <v>85</v>
      </c>
      <c r="S334" s="260">
        <v>2008</v>
      </c>
      <c r="T334" s="260" t="s">
        <v>161</v>
      </c>
      <c r="U334" s="386">
        <v>42653</v>
      </c>
      <c r="V334" s="387"/>
      <c r="W334" s="354">
        <f>COUNT(RawMaterials[[#This Row],[Lab Quantity 1]:[Lab Quantity 4]])</f>
        <v>0</v>
      </c>
      <c r="X33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4" s="392" t="e">
        <f>RawMaterials[[#This Row],[Lab Price 1]]/RawMaterials[[#This Row],[Lab Q Model Units 1]]</f>
        <v>#N/A</v>
      </c>
      <c r="AC334" s="392" t="e">
        <f>RawMaterials[[#This Row],[Lab Price 2]]/RawMaterials[[#This Row],[Lab Q Model Units 2]]</f>
        <v>#N/A</v>
      </c>
      <c r="AD334" s="392" t="e">
        <f>RawMaterials[[#This Row],[Lab Price 3]]/RawMaterials[[#This Row],[Lab Q Model Units 3]]</f>
        <v>#N/A</v>
      </c>
      <c r="AE334" s="392" t="e">
        <f>RawMaterials[[#This Row],[Lab Price 4]]/RawMaterials[[#This Row],[Lab Q Model Units 4]]</f>
        <v>#N/A</v>
      </c>
      <c r="AF334" s="392" t="str">
        <f ca="1">IF(RawMaterials[[#This Row],[Lab Quote Count]]&gt;1,SLOPE(LOG(INDIRECT("RawMaterials[@[Lab Unit P 1]:[Lab Unit P "&amp;RawMaterials[[#This Row],[Lab Quote Count]]&amp;"]]")),LOG(INDIRECT("RawMaterials[@[Lab Q Model Units 1]:[Lab Q Model Units "&amp;RawMaterials[[#This Row],[Lab Quote Count]]&amp;"]]"))),"")</f>
        <v/>
      </c>
      <c r="AG334" s="392" t="str">
        <f ca="1">IF(RawMaterials[[#This Row],[Lab Quote Count]]&gt;1,INTERCEPT(LOG(INDIRECT("RawMaterials[@[Lab Unit P 1]:[Lab Unit P "&amp;RawMaterials[[#This Row],[Lab Quote Count]]&amp;"]]")),LOG(INDIRECT("RawMaterials[@[Lab Q Model Units 1]:[Lab Q Model Units "&amp;RawMaterials[[#This Row],[Lab Quote Count]]&amp;"]]"))),"")</f>
        <v/>
      </c>
      <c r="AH334" s="393" t="str">
        <f>IF(RawMaterials[[#This Row],[Material Type]]="Metal Precursor","D13",IF(RawMaterials[[#This Row],[Material Type]]="Ligand","D13","D12"))</f>
        <v>D12</v>
      </c>
      <c r="AI334" s="394" t="str">
        <f ca="1">IF(RawMaterials[[#This Row],[Lab Quote Count]]&gt;1,10^RawMaterials[[#This Row],[Lab Log-Log Intercept]]*INDIRECT(RawMaterials[[#This Row],[Basis Cell]])^RawMaterials[[#This Row],[Lab Log-Log Slope]],"&gt;&gt;&gt; Enter 2 or more lab quotes &lt;&lt;&lt;")</f>
        <v>&gt;&gt;&gt; Enter 2 or more lab quotes &lt;&lt;&lt;</v>
      </c>
      <c r="AJ33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2.8012047201599999</v>
      </c>
      <c r="AK33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1.1102365984241103</v>
      </c>
      <c r="AL334" s="396">
        <f>IF(ISTEXT(RawMaterials[[#This Row],[Unit price in quote year]]),"Check calcs",RawMaterials[[#This Row],[Unit price in quote year]]/VLOOKUP(RawMaterials[[#This Row],[Quote Year]],ChemPPI[],14,FALSE)*VLOOKUP(BasisYear,ChemPPI[],14,FALSE))</f>
        <v>1.2994450776954385</v>
      </c>
      <c r="AM334" s="397" t="str">
        <f t="shared" si="4"/>
        <v>$/kg (2016)</v>
      </c>
    </row>
    <row r="335" spans="1:39">
      <c r="A335" s="259" t="s">
        <v>1425</v>
      </c>
      <c r="B335" s="260"/>
      <c r="C335" s="351"/>
      <c r="D335" s="351"/>
      <c r="E335" s="260">
        <v>100</v>
      </c>
      <c r="F335" s="260"/>
      <c r="G335" s="351"/>
      <c r="H335" s="351"/>
      <c r="I335" s="262"/>
      <c r="J335" s="351"/>
      <c r="K335" s="351"/>
      <c r="L335" s="351"/>
      <c r="M335" s="351"/>
      <c r="N335" s="351"/>
      <c r="O335" s="351"/>
      <c r="P335" s="261">
        <v>0.48125000000000001</v>
      </c>
      <c r="Q335" s="260">
        <v>1</v>
      </c>
      <c r="R335" s="260" t="s">
        <v>20</v>
      </c>
      <c r="S335" s="260">
        <v>2007</v>
      </c>
      <c r="T335" s="260" t="s">
        <v>161</v>
      </c>
      <c r="U335" s="386">
        <v>42653</v>
      </c>
      <c r="V335" s="387"/>
      <c r="W335" s="354">
        <f>COUNT(RawMaterials[[#This Row],[Lab Quantity 1]:[Lab Quantity 4]])</f>
        <v>0</v>
      </c>
      <c r="X33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5" s="392" t="e">
        <f>RawMaterials[[#This Row],[Lab Price 1]]/RawMaterials[[#This Row],[Lab Q Model Units 1]]</f>
        <v>#N/A</v>
      </c>
      <c r="AC335" s="392" t="e">
        <f>RawMaterials[[#This Row],[Lab Price 2]]/RawMaterials[[#This Row],[Lab Q Model Units 2]]</f>
        <v>#N/A</v>
      </c>
      <c r="AD335" s="392" t="e">
        <f>RawMaterials[[#This Row],[Lab Price 3]]/RawMaterials[[#This Row],[Lab Q Model Units 3]]</f>
        <v>#N/A</v>
      </c>
      <c r="AE335" s="392" t="e">
        <f>RawMaterials[[#This Row],[Lab Price 4]]/RawMaterials[[#This Row],[Lab Q Model Units 4]]</f>
        <v>#N/A</v>
      </c>
      <c r="AF335" s="392" t="str">
        <f ca="1">IF(RawMaterials[[#This Row],[Lab Quote Count]]&gt;1,SLOPE(LOG(INDIRECT("RawMaterials[@[Lab Unit P 1]:[Lab Unit P "&amp;RawMaterials[[#This Row],[Lab Quote Count]]&amp;"]]")),LOG(INDIRECT("RawMaterials[@[Lab Q Model Units 1]:[Lab Q Model Units "&amp;RawMaterials[[#This Row],[Lab Quote Count]]&amp;"]]"))),"")</f>
        <v/>
      </c>
      <c r="AG335" s="392" t="str">
        <f ca="1">IF(RawMaterials[[#This Row],[Lab Quote Count]]&gt;1,INTERCEPT(LOG(INDIRECT("RawMaterials[@[Lab Unit P 1]:[Lab Unit P "&amp;RawMaterials[[#This Row],[Lab Quote Count]]&amp;"]]")),LOG(INDIRECT("RawMaterials[@[Lab Q Model Units 1]:[Lab Q Model Units "&amp;RawMaterials[[#This Row],[Lab Quote Count]]&amp;"]]"))),"")</f>
        <v/>
      </c>
      <c r="AH335" s="393" t="str">
        <f>IF(RawMaterials[[#This Row],[Material Type]]="Metal Precursor","D13",IF(RawMaterials[[#This Row],[Material Type]]="Ligand","D13","D12"))</f>
        <v>D12</v>
      </c>
      <c r="AI335" s="394" t="str">
        <f ca="1">IF(RawMaterials[[#This Row],[Lab Quote Count]]&gt;1,10^RawMaterials[[#This Row],[Lab Log-Log Intercept]]*INDIRECT(RawMaterials[[#This Row],[Basis Cell]])^RawMaterials[[#This Row],[Lab Log-Log Slope]],"&gt;&gt;&gt; Enter 2 or more lab quotes &lt;&lt;&lt;")</f>
        <v>&gt;&gt;&gt; Enter 2 or more lab quotes &lt;&lt;&lt;</v>
      </c>
      <c r="AJ33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1.0609746367647233</v>
      </c>
      <c r="AL335" s="396">
        <f>IF(ISTEXT(RawMaterials[[#This Row],[Unit price in quote year]]),"Check calcs",RawMaterials[[#This Row],[Unit price in quote year]]/VLOOKUP(RawMaterials[[#This Row],[Quote Year]],ChemPPI[],14,FALSE)*VLOOKUP(BasisYear,ChemPPI[],14,FALSE))</f>
        <v>1.3936461234204709</v>
      </c>
      <c r="AM335" s="397" t="str">
        <f t="shared" si="4"/>
        <v>$/kg (2016)</v>
      </c>
    </row>
    <row r="336" spans="1:39">
      <c r="A336" s="259" t="s">
        <v>1426</v>
      </c>
      <c r="B336" s="260"/>
      <c r="C336" s="351"/>
      <c r="D336" s="351"/>
      <c r="E336" s="260">
        <v>100</v>
      </c>
      <c r="F336" s="260"/>
      <c r="G336" s="351"/>
      <c r="H336" s="351"/>
      <c r="I336" s="262"/>
      <c r="J336" s="351"/>
      <c r="K336" s="351"/>
      <c r="L336" s="351"/>
      <c r="M336" s="351"/>
      <c r="N336" s="351"/>
      <c r="O336" s="351"/>
      <c r="P336" s="261">
        <v>0.67500000000000004</v>
      </c>
      <c r="Q336" s="260">
        <v>1</v>
      </c>
      <c r="R336" s="260" t="s">
        <v>20</v>
      </c>
      <c r="S336" s="260">
        <v>2006</v>
      </c>
      <c r="T336" s="260" t="s">
        <v>161</v>
      </c>
      <c r="U336" s="386">
        <v>42653</v>
      </c>
      <c r="V336" s="387"/>
      <c r="W336" s="354">
        <f>COUNT(RawMaterials[[#This Row],[Lab Quantity 1]:[Lab Quantity 4]])</f>
        <v>0</v>
      </c>
      <c r="X33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6" s="392" t="e">
        <f>RawMaterials[[#This Row],[Lab Price 1]]/RawMaterials[[#This Row],[Lab Q Model Units 1]]</f>
        <v>#N/A</v>
      </c>
      <c r="AC336" s="392" t="e">
        <f>RawMaterials[[#This Row],[Lab Price 2]]/RawMaterials[[#This Row],[Lab Q Model Units 2]]</f>
        <v>#N/A</v>
      </c>
      <c r="AD336" s="392" t="e">
        <f>RawMaterials[[#This Row],[Lab Price 3]]/RawMaterials[[#This Row],[Lab Q Model Units 3]]</f>
        <v>#N/A</v>
      </c>
      <c r="AE336" s="392" t="e">
        <f>RawMaterials[[#This Row],[Lab Price 4]]/RawMaterials[[#This Row],[Lab Q Model Units 4]]</f>
        <v>#N/A</v>
      </c>
      <c r="AF336" s="392" t="str">
        <f ca="1">IF(RawMaterials[[#This Row],[Lab Quote Count]]&gt;1,SLOPE(LOG(INDIRECT("RawMaterials[@[Lab Unit P 1]:[Lab Unit P "&amp;RawMaterials[[#This Row],[Lab Quote Count]]&amp;"]]")),LOG(INDIRECT("RawMaterials[@[Lab Q Model Units 1]:[Lab Q Model Units "&amp;RawMaterials[[#This Row],[Lab Quote Count]]&amp;"]]"))),"")</f>
        <v/>
      </c>
      <c r="AG336" s="392" t="str">
        <f ca="1">IF(RawMaterials[[#This Row],[Lab Quote Count]]&gt;1,INTERCEPT(LOG(INDIRECT("RawMaterials[@[Lab Unit P 1]:[Lab Unit P "&amp;RawMaterials[[#This Row],[Lab Quote Count]]&amp;"]]")),LOG(INDIRECT("RawMaterials[@[Lab Q Model Units 1]:[Lab Q Model Units "&amp;RawMaterials[[#This Row],[Lab Quote Count]]&amp;"]]"))),"")</f>
        <v/>
      </c>
      <c r="AH336" s="393" t="str">
        <f>IF(RawMaterials[[#This Row],[Material Type]]="Metal Precursor","D13",IF(RawMaterials[[#This Row],[Material Type]]="Ligand","D13","D12"))</f>
        <v>D12</v>
      </c>
      <c r="AI336" s="394" t="str">
        <f ca="1">IF(RawMaterials[[#This Row],[Lab Quote Count]]&gt;1,10^RawMaterials[[#This Row],[Lab Log-Log Intercept]]*INDIRECT(RawMaterials[[#This Row],[Basis Cell]])^RawMaterials[[#This Row],[Lab Log-Log Slope]],"&gt;&gt;&gt; Enter 2 or more lab quotes &lt;&lt;&lt;")</f>
        <v>&gt;&gt;&gt; Enter 2 or more lab quotes &lt;&lt;&lt;</v>
      </c>
      <c r="AJ33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1.4881202697479237</v>
      </c>
      <c r="AL336" s="396">
        <f>IF(ISTEXT(RawMaterials[[#This Row],[Unit price in quote year]]),"Check calcs",RawMaterials[[#This Row],[Unit price in quote year]]/VLOOKUP(RawMaterials[[#This Row],[Quote Year]],ChemPPI[],14,FALSE)*VLOOKUP(BasisYear,ChemPPI[],14,FALSE))</f>
        <v>2.0196998173255611</v>
      </c>
      <c r="AM336" s="397" t="str">
        <f t="shared" ref="AM336:AM399" si="5">CurrencySymbol&amp;"/"&amp;OutMassUnit&amp;" ("&amp;BasisYear&amp;")"</f>
        <v>$/kg (2016)</v>
      </c>
    </row>
    <row r="337" spans="1:39">
      <c r="A337" s="259" t="s">
        <v>1427</v>
      </c>
      <c r="B337" s="260"/>
      <c r="C337" s="351"/>
      <c r="D337" s="351"/>
      <c r="E337" s="260">
        <v>100</v>
      </c>
      <c r="F337" s="260"/>
      <c r="G337" s="351"/>
      <c r="H337" s="351"/>
      <c r="I337" s="262"/>
      <c r="J337" s="351"/>
      <c r="K337" s="351"/>
      <c r="L337" s="351"/>
      <c r="M337" s="351"/>
      <c r="N337" s="351"/>
      <c r="O337" s="351"/>
      <c r="P337" s="261">
        <v>0.875</v>
      </c>
      <c r="Q337" s="260">
        <v>1</v>
      </c>
      <c r="R337" s="260" t="s">
        <v>20</v>
      </c>
      <c r="S337" s="260">
        <v>2006</v>
      </c>
      <c r="T337" s="260" t="s">
        <v>161</v>
      </c>
      <c r="U337" s="386">
        <v>42653</v>
      </c>
      <c r="V337" s="387"/>
      <c r="W337" s="354">
        <f>COUNT(RawMaterials[[#This Row],[Lab Quantity 1]:[Lab Quantity 4]])</f>
        <v>0</v>
      </c>
      <c r="X33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7" s="392" t="e">
        <f>RawMaterials[[#This Row],[Lab Price 1]]/RawMaterials[[#This Row],[Lab Q Model Units 1]]</f>
        <v>#N/A</v>
      </c>
      <c r="AC337" s="392" t="e">
        <f>RawMaterials[[#This Row],[Lab Price 2]]/RawMaterials[[#This Row],[Lab Q Model Units 2]]</f>
        <v>#N/A</v>
      </c>
      <c r="AD337" s="392" t="e">
        <f>RawMaterials[[#This Row],[Lab Price 3]]/RawMaterials[[#This Row],[Lab Q Model Units 3]]</f>
        <v>#N/A</v>
      </c>
      <c r="AE337" s="392" t="e">
        <f>RawMaterials[[#This Row],[Lab Price 4]]/RawMaterials[[#This Row],[Lab Q Model Units 4]]</f>
        <v>#N/A</v>
      </c>
      <c r="AF337" s="392" t="str">
        <f ca="1">IF(RawMaterials[[#This Row],[Lab Quote Count]]&gt;1,SLOPE(LOG(INDIRECT("RawMaterials[@[Lab Unit P 1]:[Lab Unit P "&amp;RawMaterials[[#This Row],[Lab Quote Count]]&amp;"]]")),LOG(INDIRECT("RawMaterials[@[Lab Q Model Units 1]:[Lab Q Model Units "&amp;RawMaterials[[#This Row],[Lab Quote Count]]&amp;"]]"))),"")</f>
        <v/>
      </c>
      <c r="AG337" s="392" t="str">
        <f ca="1">IF(RawMaterials[[#This Row],[Lab Quote Count]]&gt;1,INTERCEPT(LOG(INDIRECT("RawMaterials[@[Lab Unit P 1]:[Lab Unit P "&amp;RawMaterials[[#This Row],[Lab Quote Count]]&amp;"]]")),LOG(INDIRECT("RawMaterials[@[Lab Q Model Units 1]:[Lab Q Model Units "&amp;RawMaterials[[#This Row],[Lab Quote Count]]&amp;"]]"))),"")</f>
        <v/>
      </c>
      <c r="AH337" s="393" t="str">
        <f>IF(RawMaterials[[#This Row],[Material Type]]="Metal Precursor","D13",IF(RawMaterials[[#This Row],[Material Type]]="Ligand","D13","D12"))</f>
        <v>D12</v>
      </c>
      <c r="AI337" s="394" t="str">
        <f ca="1">IF(RawMaterials[[#This Row],[Lab Quote Count]]&gt;1,10^RawMaterials[[#This Row],[Lab Log-Log Intercept]]*INDIRECT(RawMaterials[[#This Row],[Basis Cell]])^RawMaterials[[#This Row],[Lab Log-Log Slope]],"&gt;&gt;&gt; Enter 2 or more lab quotes &lt;&lt;&lt;")</f>
        <v>&gt;&gt;&gt; Enter 2 or more lab quotes &lt;&lt;&lt;</v>
      </c>
      <c r="AJ33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1.9290447941176787</v>
      </c>
      <c r="AL337" s="396">
        <f>IF(ISTEXT(RawMaterials[[#This Row],[Unit price in quote year]]),"Check calcs",RawMaterials[[#This Row],[Unit price in quote year]]/VLOOKUP(RawMaterials[[#This Row],[Quote Year]],ChemPPI[],14,FALSE)*VLOOKUP(BasisYear,ChemPPI[],14,FALSE))</f>
        <v>2.6181293928294314</v>
      </c>
      <c r="AM337" s="397" t="str">
        <f t="shared" si="5"/>
        <v>$/kg (2016)</v>
      </c>
    </row>
    <row r="338" spans="1:39">
      <c r="A338" s="259" t="s">
        <v>1428</v>
      </c>
      <c r="B338" s="260"/>
      <c r="C338" s="351"/>
      <c r="D338" s="351"/>
      <c r="E338" s="260">
        <v>100</v>
      </c>
      <c r="F338" s="260"/>
      <c r="G338" s="351"/>
      <c r="H338" s="351"/>
      <c r="I338" s="262"/>
      <c r="J338" s="351"/>
      <c r="K338" s="351"/>
      <c r="L338" s="351"/>
      <c r="M338" s="351"/>
      <c r="N338" s="351"/>
      <c r="O338" s="351"/>
      <c r="P338" s="261">
        <v>0.83499999999999996</v>
      </c>
      <c r="Q338" s="260">
        <v>1</v>
      </c>
      <c r="R338" s="260" t="s">
        <v>20</v>
      </c>
      <c r="S338" s="260">
        <v>2006</v>
      </c>
      <c r="T338" s="260" t="s">
        <v>161</v>
      </c>
      <c r="U338" s="386">
        <v>42653</v>
      </c>
      <c r="V338" s="387"/>
      <c r="W338" s="354">
        <f>COUNT(RawMaterials[[#This Row],[Lab Quantity 1]:[Lab Quantity 4]])</f>
        <v>0</v>
      </c>
      <c r="X33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8" s="392" t="e">
        <f>RawMaterials[[#This Row],[Lab Price 1]]/RawMaterials[[#This Row],[Lab Q Model Units 1]]</f>
        <v>#N/A</v>
      </c>
      <c r="AC338" s="392" t="e">
        <f>RawMaterials[[#This Row],[Lab Price 2]]/RawMaterials[[#This Row],[Lab Q Model Units 2]]</f>
        <v>#N/A</v>
      </c>
      <c r="AD338" s="392" t="e">
        <f>RawMaterials[[#This Row],[Lab Price 3]]/RawMaterials[[#This Row],[Lab Q Model Units 3]]</f>
        <v>#N/A</v>
      </c>
      <c r="AE338" s="392" t="e">
        <f>RawMaterials[[#This Row],[Lab Price 4]]/RawMaterials[[#This Row],[Lab Q Model Units 4]]</f>
        <v>#N/A</v>
      </c>
      <c r="AF338" s="392" t="str">
        <f ca="1">IF(RawMaterials[[#This Row],[Lab Quote Count]]&gt;1,SLOPE(LOG(INDIRECT("RawMaterials[@[Lab Unit P 1]:[Lab Unit P "&amp;RawMaterials[[#This Row],[Lab Quote Count]]&amp;"]]")),LOG(INDIRECT("RawMaterials[@[Lab Q Model Units 1]:[Lab Q Model Units "&amp;RawMaterials[[#This Row],[Lab Quote Count]]&amp;"]]"))),"")</f>
        <v/>
      </c>
      <c r="AG338" s="392" t="str">
        <f ca="1">IF(RawMaterials[[#This Row],[Lab Quote Count]]&gt;1,INTERCEPT(LOG(INDIRECT("RawMaterials[@[Lab Unit P 1]:[Lab Unit P "&amp;RawMaterials[[#This Row],[Lab Quote Count]]&amp;"]]")),LOG(INDIRECT("RawMaterials[@[Lab Q Model Units 1]:[Lab Q Model Units "&amp;RawMaterials[[#This Row],[Lab Quote Count]]&amp;"]]"))),"")</f>
        <v/>
      </c>
      <c r="AH338" s="393" t="str">
        <f>IF(RawMaterials[[#This Row],[Material Type]]="Metal Precursor","D13",IF(RawMaterials[[#This Row],[Material Type]]="Ligand","D13","D12"))</f>
        <v>D12</v>
      </c>
      <c r="AI338" s="394" t="str">
        <f ca="1">IF(RawMaterials[[#This Row],[Lab Quote Count]]&gt;1,10^RawMaterials[[#This Row],[Lab Log-Log Intercept]]*INDIRECT(RawMaterials[[#This Row],[Basis Cell]])^RawMaterials[[#This Row],[Lab Log-Log Slope]],"&gt;&gt;&gt; Enter 2 or more lab quotes &lt;&lt;&lt;")</f>
        <v>&gt;&gt;&gt; Enter 2 or more lab quotes &lt;&lt;&lt;</v>
      </c>
      <c r="AJ33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1.8408598892437276</v>
      </c>
      <c r="AL338" s="396">
        <f>IF(ISTEXT(RawMaterials[[#This Row],[Unit price in quote year]]),"Check calcs",RawMaterials[[#This Row],[Unit price in quote year]]/VLOOKUP(RawMaterials[[#This Row],[Quote Year]],ChemPPI[],14,FALSE)*VLOOKUP(BasisYear,ChemPPI[],14,FALSE))</f>
        <v>2.498443477728657</v>
      </c>
      <c r="AM338" s="397" t="str">
        <f t="shared" si="5"/>
        <v>$/kg (2016)</v>
      </c>
    </row>
    <row r="339" spans="1:39">
      <c r="A339" s="259" t="s">
        <v>1429</v>
      </c>
      <c r="B339" s="260"/>
      <c r="C339" s="351"/>
      <c r="D339" s="351"/>
      <c r="E339" s="260">
        <v>100</v>
      </c>
      <c r="F339" s="260"/>
      <c r="G339" s="351"/>
      <c r="H339" s="351"/>
      <c r="I339" s="262"/>
      <c r="J339" s="351"/>
      <c r="K339" s="351"/>
      <c r="L339" s="351"/>
      <c r="M339" s="351"/>
      <c r="N339" s="351"/>
      <c r="O339" s="351"/>
      <c r="P339" s="261">
        <v>0.56999999999999995</v>
      </c>
      <c r="Q339" s="260">
        <v>1</v>
      </c>
      <c r="R339" s="260" t="s">
        <v>20</v>
      </c>
      <c r="S339" s="260">
        <v>2006</v>
      </c>
      <c r="T339" s="260" t="s">
        <v>161</v>
      </c>
      <c r="U339" s="386">
        <v>42653</v>
      </c>
      <c r="V339" s="387"/>
      <c r="W339" s="354">
        <f>COUNT(RawMaterials[[#This Row],[Lab Quantity 1]:[Lab Quantity 4]])</f>
        <v>0</v>
      </c>
      <c r="X33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9" s="392" t="e">
        <f>RawMaterials[[#This Row],[Lab Price 1]]/RawMaterials[[#This Row],[Lab Q Model Units 1]]</f>
        <v>#N/A</v>
      </c>
      <c r="AC339" s="392" t="e">
        <f>RawMaterials[[#This Row],[Lab Price 2]]/RawMaterials[[#This Row],[Lab Q Model Units 2]]</f>
        <v>#N/A</v>
      </c>
      <c r="AD339" s="392" t="e">
        <f>RawMaterials[[#This Row],[Lab Price 3]]/RawMaterials[[#This Row],[Lab Q Model Units 3]]</f>
        <v>#N/A</v>
      </c>
      <c r="AE339" s="392" t="e">
        <f>RawMaterials[[#This Row],[Lab Price 4]]/RawMaterials[[#This Row],[Lab Q Model Units 4]]</f>
        <v>#N/A</v>
      </c>
      <c r="AF339" s="392" t="str">
        <f ca="1">IF(RawMaterials[[#This Row],[Lab Quote Count]]&gt;1,SLOPE(LOG(INDIRECT("RawMaterials[@[Lab Unit P 1]:[Lab Unit P "&amp;RawMaterials[[#This Row],[Lab Quote Count]]&amp;"]]")),LOG(INDIRECT("RawMaterials[@[Lab Q Model Units 1]:[Lab Q Model Units "&amp;RawMaterials[[#This Row],[Lab Quote Count]]&amp;"]]"))),"")</f>
        <v/>
      </c>
      <c r="AG339" s="392" t="str">
        <f ca="1">IF(RawMaterials[[#This Row],[Lab Quote Count]]&gt;1,INTERCEPT(LOG(INDIRECT("RawMaterials[@[Lab Unit P 1]:[Lab Unit P "&amp;RawMaterials[[#This Row],[Lab Quote Count]]&amp;"]]")),LOG(INDIRECT("RawMaterials[@[Lab Q Model Units 1]:[Lab Q Model Units "&amp;RawMaterials[[#This Row],[Lab Quote Count]]&amp;"]]"))),"")</f>
        <v/>
      </c>
      <c r="AH339" s="393" t="str">
        <f>IF(RawMaterials[[#This Row],[Material Type]]="Metal Precursor","D13",IF(RawMaterials[[#This Row],[Material Type]]="Ligand","D13","D12"))</f>
        <v>D12</v>
      </c>
      <c r="AI339" s="394" t="str">
        <f ca="1">IF(RawMaterials[[#This Row],[Lab Quote Count]]&gt;1,10^RawMaterials[[#This Row],[Lab Log-Log Intercept]]*INDIRECT(RawMaterials[[#This Row],[Basis Cell]])^RawMaterials[[#This Row],[Lab Log-Log Slope]],"&gt;&gt;&gt; Enter 2 or more lab quotes &lt;&lt;&lt;")</f>
        <v>&gt;&gt;&gt; Enter 2 or more lab quotes &lt;&lt;&lt;</v>
      </c>
      <c r="AJ33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1.2566348944538019</v>
      </c>
      <c r="AL339" s="396">
        <f>IF(ISTEXT(RawMaterials[[#This Row],[Unit price in quote year]]),"Check calcs",RawMaterials[[#This Row],[Unit price in quote year]]/VLOOKUP(RawMaterials[[#This Row],[Quote Year]],ChemPPI[],14,FALSE)*VLOOKUP(BasisYear,ChemPPI[],14,FALSE))</f>
        <v>1.7055242901860292</v>
      </c>
      <c r="AM339" s="397" t="str">
        <f t="shared" si="5"/>
        <v>$/kg (2016)</v>
      </c>
    </row>
    <row r="340" spans="1:39">
      <c r="A340" s="259" t="s">
        <v>1430</v>
      </c>
      <c r="B340" s="260"/>
      <c r="C340" s="351"/>
      <c r="D340" s="351"/>
      <c r="E340" s="260">
        <v>100</v>
      </c>
      <c r="F340" s="260"/>
      <c r="G340" s="351"/>
      <c r="H340" s="351"/>
      <c r="I340" s="262"/>
      <c r="J340" s="351"/>
      <c r="K340" s="351"/>
      <c r="L340" s="351"/>
      <c r="M340" s="351"/>
      <c r="N340" s="351"/>
      <c r="O340" s="351"/>
      <c r="P340" s="261">
        <v>1.9750000000000001</v>
      </c>
      <c r="Q340" s="260">
        <v>1</v>
      </c>
      <c r="R340" s="260" t="s">
        <v>20</v>
      </c>
      <c r="S340" s="260">
        <v>2006</v>
      </c>
      <c r="T340" s="260" t="s">
        <v>161</v>
      </c>
      <c r="U340" s="386">
        <v>42653</v>
      </c>
      <c r="V340" s="387"/>
      <c r="W340" s="354">
        <f>COUNT(RawMaterials[[#This Row],[Lab Quantity 1]:[Lab Quantity 4]])</f>
        <v>0</v>
      </c>
      <c r="X34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0" s="392" t="e">
        <f>RawMaterials[[#This Row],[Lab Price 1]]/RawMaterials[[#This Row],[Lab Q Model Units 1]]</f>
        <v>#N/A</v>
      </c>
      <c r="AC340" s="392" t="e">
        <f>RawMaterials[[#This Row],[Lab Price 2]]/RawMaterials[[#This Row],[Lab Q Model Units 2]]</f>
        <v>#N/A</v>
      </c>
      <c r="AD340" s="392" t="e">
        <f>RawMaterials[[#This Row],[Lab Price 3]]/RawMaterials[[#This Row],[Lab Q Model Units 3]]</f>
        <v>#N/A</v>
      </c>
      <c r="AE340" s="392" t="e">
        <f>RawMaterials[[#This Row],[Lab Price 4]]/RawMaterials[[#This Row],[Lab Q Model Units 4]]</f>
        <v>#N/A</v>
      </c>
      <c r="AF340" s="392" t="str">
        <f ca="1">IF(RawMaterials[[#This Row],[Lab Quote Count]]&gt;1,SLOPE(LOG(INDIRECT("RawMaterials[@[Lab Unit P 1]:[Lab Unit P "&amp;RawMaterials[[#This Row],[Lab Quote Count]]&amp;"]]")),LOG(INDIRECT("RawMaterials[@[Lab Q Model Units 1]:[Lab Q Model Units "&amp;RawMaterials[[#This Row],[Lab Quote Count]]&amp;"]]"))),"")</f>
        <v/>
      </c>
      <c r="AG340" s="392" t="str">
        <f ca="1">IF(RawMaterials[[#This Row],[Lab Quote Count]]&gt;1,INTERCEPT(LOG(INDIRECT("RawMaterials[@[Lab Unit P 1]:[Lab Unit P "&amp;RawMaterials[[#This Row],[Lab Quote Count]]&amp;"]]")),LOG(INDIRECT("RawMaterials[@[Lab Q Model Units 1]:[Lab Q Model Units "&amp;RawMaterials[[#This Row],[Lab Quote Count]]&amp;"]]"))),"")</f>
        <v/>
      </c>
      <c r="AH340" s="393" t="str">
        <f>IF(RawMaterials[[#This Row],[Material Type]]="Metal Precursor","D13",IF(RawMaterials[[#This Row],[Material Type]]="Ligand","D13","D12"))</f>
        <v>D12</v>
      </c>
      <c r="AI340" s="394" t="str">
        <f ca="1">IF(RawMaterials[[#This Row],[Lab Quote Count]]&gt;1,10^RawMaterials[[#This Row],[Lab Log-Log Intercept]]*INDIRECT(RawMaterials[[#This Row],[Basis Cell]])^RawMaterials[[#This Row],[Lab Log-Log Slope]],"&gt;&gt;&gt; Enter 2 or more lab quotes &lt;&lt;&lt;")</f>
        <v>&gt;&gt;&gt; Enter 2 or more lab quotes &lt;&lt;&lt;</v>
      </c>
      <c r="AJ34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4.3541296781513319</v>
      </c>
      <c r="AL340" s="396">
        <f>IF(ISTEXT(RawMaterials[[#This Row],[Unit price in quote year]]),"Check calcs",RawMaterials[[#This Row],[Unit price in quote year]]/VLOOKUP(RawMaterials[[#This Row],[Quote Year]],ChemPPI[],14,FALSE)*VLOOKUP(BasisYear,ChemPPI[],14,FALSE))</f>
        <v>5.9094920581007155</v>
      </c>
      <c r="AM340" s="397" t="str">
        <f t="shared" si="5"/>
        <v>$/kg (2016)</v>
      </c>
    </row>
    <row r="341" spans="1:39">
      <c r="A341" s="259" t="s">
        <v>1431</v>
      </c>
      <c r="B341" s="260"/>
      <c r="C341" s="351"/>
      <c r="D341" s="351"/>
      <c r="E341" s="260">
        <v>100</v>
      </c>
      <c r="F341" s="260"/>
      <c r="G341" s="351"/>
      <c r="H341" s="351"/>
      <c r="I341" s="262"/>
      <c r="J341" s="351"/>
      <c r="K341" s="351"/>
      <c r="L341" s="351"/>
      <c r="M341" s="351"/>
      <c r="N341" s="351"/>
      <c r="O341" s="351"/>
      <c r="P341" s="261">
        <v>1.875</v>
      </c>
      <c r="Q341" s="260">
        <v>1</v>
      </c>
      <c r="R341" s="260" t="s">
        <v>20</v>
      </c>
      <c r="S341" s="260">
        <v>2006</v>
      </c>
      <c r="T341" s="260" t="s">
        <v>161</v>
      </c>
      <c r="U341" s="386">
        <v>42653</v>
      </c>
      <c r="V341" s="387"/>
      <c r="W341" s="354">
        <f>COUNT(RawMaterials[[#This Row],[Lab Quantity 1]:[Lab Quantity 4]])</f>
        <v>0</v>
      </c>
      <c r="X34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1" s="392" t="e">
        <f>RawMaterials[[#This Row],[Lab Price 1]]/RawMaterials[[#This Row],[Lab Q Model Units 1]]</f>
        <v>#N/A</v>
      </c>
      <c r="AC341" s="392" t="e">
        <f>RawMaterials[[#This Row],[Lab Price 2]]/RawMaterials[[#This Row],[Lab Q Model Units 2]]</f>
        <v>#N/A</v>
      </c>
      <c r="AD341" s="392" t="e">
        <f>RawMaterials[[#This Row],[Lab Price 3]]/RawMaterials[[#This Row],[Lab Q Model Units 3]]</f>
        <v>#N/A</v>
      </c>
      <c r="AE341" s="392" t="e">
        <f>RawMaterials[[#This Row],[Lab Price 4]]/RawMaterials[[#This Row],[Lab Q Model Units 4]]</f>
        <v>#N/A</v>
      </c>
      <c r="AF341" s="392" t="str">
        <f ca="1">IF(RawMaterials[[#This Row],[Lab Quote Count]]&gt;1,SLOPE(LOG(INDIRECT("RawMaterials[@[Lab Unit P 1]:[Lab Unit P "&amp;RawMaterials[[#This Row],[Lab Quote Count]]&amp;"]]")),LOG(INDIRECT("RawMaterials[@[Lab Q Model Units 1]:[Lab Q Model Units "&amp;RawMaterials[[#This Row],[Lab Quote Count]]&amp;"]]"))),"")</f>
        <v/>
      </c>
      <c r="AG341" s="392" t="str">
        <f ca="1">IF(RawMaterials[[#This Row],[Lab Quote Count]]&gt;1,INTERCEPT(LOG(INDIRECT("RawMaterials[@[Lab Unit P 1]:[Lab Unit P "&amp;RawMaterials[[#This Row],[Lab Quote Count]]&amp;"]]")),LOG(INDIRECT("RawMaterials[@[Lab Q Model Units 1]:[Lab Q Model Units "&amp;RawMaterials[[#This Row],[Lab Quote Count]]&amp;"]]"))),"")</f>
        <v/>
      </c>
      <c r="AH341" s="393" t="str">
        <f>IF(RawMaterials[[#This Row],[Material Type]]="Metal Precursor","D13",IF(RawMaterials[[#This Row],[Material Type]]="Ligand","D13","D12"))</f>
        <v>D12</v>
      </c>
      <c r="AI341" s="394" t="str">
        <f ca="1">IF(RawMaterials[[#This Row],[Lab Quote Count]]&gt;1,10^RawMaterials[[#This Row],[Lab Log-Log Intercept]]*INDIRECT(RawMaterials[[#This Row],[Basis Cell]])^RawMaterials[[#This Row],[Lab Log-Log Slope]],"&gt;&gt;&gt; Enter 2 or more lab quotes &lt;&lt;&lt;")</f>
        <v>&gt;&gt;&gt; Enter 2 or more lab quotes &lt;&lt;&lt;</v>
      </c>
      <c r="AJ34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4.1336674159664542</v>
      </c>
      <c r="AL341" s="396">
        <f>IF(ISTEXT(RawMaterials[[#This Row],[Unit price in quote year]]),"Check calcs",RawMaterials[[#This Row],[Unit price in quote year]]/VLOOKUP(RawMaterials[[#This Row],[Quote Year]],ChemPPI[],14,FALSE)*VLOOKUP(BasisYear,ChemPPI[],14,FALSE))</f>
        <v>5.6102772703487807</v>
      </c>
      <c r="AM341" s="397" t="str">
        <f t="shared" si="5"/>
        <v>$/kg (2016)</v>
      </c>
    </row>
    <row r="342" spans="1:39">
      <c r="A342" s="259" t="s">
        <v>1432</v>
      </c>
      <c r="B342" s="260"/>
      <c r="C342" s="351"/>
      <c r="D342" s="351"/>
      <c r="E342" s="260">
        <v>100</v>
      </c>
      <c r="F342" s="260"/>
      <c r="G342" s="351"/>
      <c r="H342" s="351"/>
      <c r="I342" s="262"/>
      <c r="J342" s="351"/>
      <c r="K342" s="351"/>
      <c r="L342" s="351"/>
      <c r="M342" s="351"/>
      <c r="N342" s="351"/>
      <c r="O342" s="351"/>
      <c r="P342" s="261">
        <v>0.66999999999999904</v>
      </c>
      <c r="Q342" s="260">
        <v>1</v>
      </c>
      <c r="R342" s="260" t="s">
        <v>20</v>
      </c>
      <c r="S342" s="260">
        <v>2006</v>
      </c>
      <c r="T342" s="260" t="s">
        <v>161</v>
      </c>
      <c r="U342" s="386">
        <v>42653</v>
      </c>
      <c r="V342" s="387"/>
      <c r="W342" s="354">
        <f>COUNT(RawMaterials[[#This Row],[Lab Quantity 1]:[Lab Quantity 4]])</f>
        <v>0</v>
      </c>
      <c r="X34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2" s="392" t="e">
        <f>RawMaterials[[#This Row],[Lab Price 1]]/RawMaterials[[#This Row],[Lab Q Model Units 1]]</f>
        <v>#N/A</v>
      </c>
      <c r="AC342" s="392" t="e">
        <f>RawMaterials[[#This Row],[Lab Price 2]]/RawMaterials[[#This Row],[Lab Q Model Units 2]]</f>
        <v>#N/A</v>
      </c>
      <c r="AD342" s="392" t="e">
        <f>RawMaterials[[#This Row],[Lab Price 3]]/RawMaterials[[#This Row],[Lab Q Model Units 3]]</f>
        <v>#N/A</v>
      </c>
      <c r="AE342" s="392" t="e">
        <f>RawMaterials[[#This Row],[Lab Price 4]]/RawMaterials[[#This Row],[Lab Q Model Units 4]]</f>
        <v>#N/A</v>
      </c>
      <c r="AF342" s="392" t="str">
        <f ca="1">IF(RawMaterials[[#This Row],[Lab Quote Count]]&gt;1,SLOPE(LOG(INDIRECT("RawMaterials[@[Lab Unit P 1]:[Lab Unit P "&amp;RawMaterials[[#This Row],[Lab Quote Count]]&amp;"]]")),LOG(INDIRECT("RawMaterials[@[Lab Q Model Units 1]:[Lab Q Model Units "&amp;RawMaterials[[#This Row],[Lab Quote Count]]&amp;"]]"))),"")</f>
        <v/>
      </c>
      <c r="AG342" s="392" t="str">
        <f ca="1">IF(RawMaterials[[#This Row],[Lab Quote Count]]&gt;1,INTERCEPT(LOG(INDIRECT("RawMaterials[@[Lab Unit P 1]:[Lab Unit P "&amp;RawMaterials[[#This Row],[Lab Quote Count]]&amp;"]]")),LOG(INDIRECT("RawMaterials[@[Lab Q Model Units 1]:[Lab Q Model Units "&amp;RawMaterials[[#This Row],[Lab Quote Count]]&amp;"]]"))),"")</f>
        <v/>
      </c>
      <c r="AH342" s="393" t="str">
        <f>IF(RawMaterials[[#This Row],[Material Type]]="Metal Precursor","D13",IF(RawMaterials[[#This Row],[Material Type]]="Ligand","D13","D12"))</f>
        <v>D12</v>
      </c>
      <c r="AI342" s="394" t="str">
        <f ca="1">IF(RawMaterials[[#This Row],[Lab Quote Count]]&gt;1,10^RawMaterials[[#This Row],[Lab Log-Log Intercept]]*INDIRECT(RawMaterials[[#This Row],[Basis Cell]])^RawMaterials[[#This Row],[Lab Log-Log Slope]],"&gt;&gt;&gt; Enter 2 or more lab quotes &lt;&lt;&lt;")</f>
        <v>&gt;&gt;&gt; Enter 2 or more lab quotes &lt;&lt;&lt;</v>
      </c>
      <c r="AJ34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1.4770971566386777</v>
      </c>
      <c r="AL342" s="396">
        <f>IF(ISTEXT(RawMaterials[[#This Row],[Unit price in quote year]]),"Check calcs",RawMaterials[[#This Row],[Unit price in quote year]]/VLOOKUP(RawMaterials[[#This Row],[Quote Year]],ChemPPI[],14,FALSE)*VLOOKUP(BasisYear,ChemPPI[],14,FALSE))</f>
        <v>2.0047390779379617</v>
      </c>
      <c r="AM342" s="397" t="str">
        <f t="shared" si="5"/>
        <v>$/kg (2016)</v>
      </c>
    </row>
    <row r="343" spans="1:39">
      <c r="A343" s="259" t="s">
        <v>1433</v>
      </c>
      <c r="B343" s="260"/>
      <c r="C343" s="351"/>
      <c r="D343" s="351"/>
      <c r="E343" s="260">
        <v>100</v>
      </c>
      <c r="F343" s="260"/>
      <c r="G343" s="351"/>
      <c r="H343" s="351"/>
      <c r="I343" s="262"/>
      <c r="J343" s="351"/>
      <c r="K343" s="351"/>
      <c r="L343" s="351"/>
      <c r="M343" s="351"/>
      <c r="N343" s="351"/>
      <c r="O343" s="351"/>
      <c r="P343" s="261">
        <v>0.65</v>
      </c>
      <c r="Q343" s="260">
        <v>1</v>
      </c>
      <c r="R343" s="260" t="s">
        <v>20</v>
      </c>
      <c r="S343" s="260">
        <v>2006</v>
      </c>
      <c r="T343" s="260" t="s">
        <v>161</v>
      </c>
      <c r="U343" s="386">
        <v>42653</v>
      </c>
      <c r="V343" s="387"/>
      <c r="W343" s="354">
        <f>COUNT(RawMaterials[[#This Row],[Lab Quantity 1]:[Lab Quantity 4]])</f>
        <v>0</v>
      </c>
      <c r="X34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3" s="392" t="e">
        <f>RawMaterials[[#This Row],[Lab Price 1]]/RawMaterials[[#This Row],[Lab Q Model Units 1]]</f>
        <v>#N/A</v>
      </c>
      <c r="AC343" s="392" t="e">
        <f>RawMaterials[[#This Row],[Lab Price 2]]/RawMaterials[[#This Row],[Lab Q Model Units 2]]</f>
        <v>#N/A</v>
      </c>
      <c r="AD343" s="392" t="e">
        <f>RawMaterials[[#This Row],[Lab Price 3]]/RawMaterials[[#This Row],[Lab Q Model Units 3]]</f>
        <v>#N/A</v>
      </c>
      <c r="AE343" s="392" t="e">
        <f>RawMaterials[[#This Row],[Lab Price 4]]/RawMaterials[[#This Row],[Lab Q Model Units 4]]</f>
        <v>#N/A</v>
      </c>
      <c r="AF343" s="392" t="str">
        <f ca="1">IF(RawMaterials[[#This Row],[Lab Quote Count]]&gt;1,SLOPE(LOG(INDIRECT("RawMaterials[@[Lab Unit P 1]:[Lab Unit P "&amp;RawMaterials[[#This Row],[Lab Quote Count]]&amp;"]]")),LOG(INDIRECT("RawMaterials[@[Lab Q Model Units 1]:[Lab Q Model Units "&amp;RawMaterials[[#This Row],[Lab Quote Count]]&amp;"]]"))),"")</f>
        <v/>
      </c>
      <c r="AG343" s="392" t="str">
        <f ca="1">IF(RawMaterials[[#This Row],[Lab Quote Count]]&gt;1,INTERCEPT(LOG(INDIRECT("RawMaterials[@[Lab Unit P 1]:[Lab Unit P "&amp;RawMaterials[[#This Row],[Lab Quote Count]]&amp;"]]")),LOG(INDIRECT("RawMaterials[@[Lab Q Model Units 1]:[Lab Q Model Units "&amp;RawMaterials[[#This Row],[Lab Quote Count]]&amp;"]]"))),"")</f>
        <v/>
      </c>
      <c r="AH343" s="393" t="str">
        <f>IF(RawMaterials[[#This Row],[Material Type]]="Metal Precursor","D13",IF(RawMaterials[[#This Row],[Material Type]]="Ligand","D13","D12"))</f>
        <v>D12</v>
      </c>
      <c r="AI343" s="394" t="str">
        <f ca="1">IF(RawMaterials[[#This Row],[Lab Quote Count]]&gt;1,10^RawMaterials[[#This Row],[Lab Log-Log Intercept]]*INDIRECT(RawMaterials[[#This Row],[Basis Cell]])^RawMaterials[[#This Row],[Lab Log-Log Slope]],"&gt;&gt;&gt; Enter 2 or more lab quotes &lt;&lt;&lt;")</f>
        <v>&gt;&gt;&gt; Enter 2 or more lab quotes &lt;&lt;&lt;</v>
      </c>
      <c r="AJ34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1.4330047042017042</v>
      </c>
      <c r="AL343" s="396">
        <f>IF(ISTEXT(RawMaterials[[#This Row],[Unit price in quote year]]),"Check calcs",RawMaterials[[#This Row],[Unit price in quote year]]/VLOOKUP(RawMaterials[[#This Row],[Quote Year]],ChemPPI[],14,FALSE)*VLOOKUP(BasisYear,ChemPPI[],14,FALSE))</f>
        <v>1.9448961203875776</v>
      </c>
      <c r="AM343" s="397" t="str">
        <f t="shared" si="5"/>
        <v>$/kg (2016)</v>
      </c>
    </row>
    <row r="344" spans="1:39">
      <c r="A344" s="259" t="s">
        <v>1434</v>
      </c>
      <c r="B344" s="260"/>
      <c r="C344" s="351"/>
      <c r="D344" s="351"/>
      <c r="E344" s="260">
        <v>100</v>
      </c>
      <c r="F344" s="260"/>
      <c r="G344" s="351"/>
      <c r="H344" s="351"/>
      <c r="I344" s="262"/>
      <c r="J344" s="351"/>
      <c r="K344" s="351"/>
      <c r="L344" s="351"/>
      <c r="M344" s="351"/>
      <c r="N344" s="351"/>
      <c r="O344" s="351"/>
      <c r="P344" s="261">
        <v>0.89</v>
      </c>
      <c r="Q344" s="260">
        <v>1</v>
      </c>
      <c r="R344" s="260" t="s">
        <v>20</v>
      </c>
      <c r="S344" s="260">
        <v>2006</v>
      </c>
      <c r="T344" s="260" t="s">
        <v>161</v>
      </c>
      <c r="U344" s="386">
        <v>42653</v>
      </c>
      <c r="V344" s="387"/>
      <c r="W344" s="354">
        <f>COUNT(RawMaterials[[#This Row],[Lab Quantity 1]:[Lab Quantity 4]])</f>
        <v>0</v>
      </c>
      <c r="X34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4" s="392" t="e">
        <f>RawMaterials[[#This Row],[Lab Price 1]]/RawMaterials[[#This Row],[Lab Q Model Units 1]]</f>
        <v>#N/A</v>
      </c>
      <c r="AC344" s="392" t="e">
        <f>RawMaterials[[#This Row],[Lab Price 2]]/RawMaterials[[#This Row],[Lab Q Model Units 2]]</f>
        <v>#N/A</v>
      </c>
      <c r="AD344" s="392" t="e">
        <f>RawMaterials[[#This Row],[Lab Price 3]]/RawMaterials[[#This Row],[Lab Q Model Units 3]]</f>
        <v>#N/A</v>
      </c>
      <c r="AE344" s="392" t="e">
        <f>RawMaterials[[#This Row],[Lab Price 4]]/RawMaterials[[#This Row],[Lab Q Model Units 4]]</f>
        <v>#N/A</v>
      </c>
      <c r="AF344" s="392" t="str">
        <f ca="1">IF(RawMaterials[[#This Row],[Lab Quote Count]]&gt;1,SLOPE(LOG(INDIRECT("RawMaterials[@[Lab Unit P 1]:[Lab Unit P "&amp;RawMaterials[[#This Row],[Lab Quote Count]]&amp;"]]")),LOG(INDIRECT("RawMaterials[@[Lab Q Model Units 1]:[Lab Q Model Units "&amp;RawMaterials[[#This Row],[Lab Quote Count]]&amp;"]]"))),"")</f>
        <v/>
      </c>
      <c r="AG344" s="392" t="str">
        <f ca="1">IF(RawMaterials[[#This Row],[Lab Quote Count]]&gt;1,INTERCEPT(LOG(INDIRECT("RawMaterials[@[Lab Unit P 1]:[Lab Unit P "&amp;RawMaterials[[#This Row],[Lab Quote Count]]&amp;"]]")),LOG(INDIRECT("RawMaterials[@[Lab Q Model Units 1]:[Lab Q Model Units "&amp;RawMaterials[[#This Row],[Lab Quote Count]]&amp;"]]"))),"")</f>
        <v/>
      </c>
      <c r="AH344" s="393" t="str">
        <f>IF(RawMaterials[[#This Row],[Material Type]]="Metal Precursor","D13",IF(RawMaterials[[#This Row],[Material Type]]="Ligand","D13","D12"))</f>
        <v>D12</v>
      </c>
      <c r="AI344" s="394" t="str">
        <f ca="1">IF(RawMaterials[[#This Row],[Lab Quote Count]]&gt;1,10^RawMaterials[[#This Row],[Lab Log-Log Intercept]]*INDIRECT(RawMaterials[[#This Row],[Basis Cell]])^RawMaterials[[#This Row],[Lab Log-Log Slope]],"&gt;&gt;&gt; Enter 2 or more lab quotes &lt;&lt;&lt;")</f>
        <v>&gt;&gt;&gt; Enter 2 or more lab quotes &lt;&lt;&lt;</v>
      </c>
      <c r="AJ34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1.9621141334454104</v>
      </c>
      <c r="AL344" s="396">
        <f>IF(ISTEXT(RawMaterials[[#This Row],[Unit price in quote year]]),"Check calcs",RawMaterials[[#This Row],[Unit price in quote year]]/VLOOKUP(RawMaterials[[#This Row],[Quote Year]],ChemPPI[],14,FALSE)*VLOOKUP(BasisYear,ChemPPI[],14,FALSE))</f>
        <v>2.6630116109922217</v>
      </c>
      <c r="AM344" s="397" t="str">
        <f t="shared" si="5"/>
        <v>$/kg (2016)</v>
      </c>
    </row>
    <row r="345" spans="1:39">
      <c r="A345" s="259" t="s">
        <v>1435</v>
      </c>
      <c r="B345" s="260"/>
      <c r="C345" s="351"/>
      <c r="D345" s="351"/>
      <c r="E345" s="260">
        <v>100</v>
      </c>
      <c r="F345" s="260"/>
      <c r="G345" s="351"/>
      <c r="H345" s="351"/>
      <c r="I345" s="262"/>
      <c r="J345" s="351"/>
      <c r="K345" s="351"/>
      <c r="L345" s="351"/>
      <c r="M345" s="351"/>
      <c r="N345" s="351"/>
      <c r="O345" s="351"/>
      <c r="P345" s="261">
        <v>0.82</v>
      </c>
      <c r="Q345" s="260">
        <v>1</v>
      </c>
      <c r="R345" s="260" t="s">
        <v>20</v>
      </c>
      <c r="S345" s="260">
        <v>2006</v>
      </c>
      <c r="T345" s="260" t="s">
        <v>161</v>
      </c>
      <c r="U345" s="386">
        <v>42653</v>
      </c>
      <c r="V345" s="387"/>
      <c r="W345" s="354">
        <f>COUNT(RawMaterials[[#This Row],[Lab Quantity 1]:[Lab Quantity 4]])</f>
        <v>0</v>
      </c>
      <c r="X34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5" s="392" t="e">
        <f>RawMaterials[[#This Row],[Lab Price 1]]/RawMaterials[[#This Row],[Lab Q Model Units 1]]</f>
        <v>#N/A</v>
      </c>
      <c r="AC345" s="392" t="e">
        <f>RawMaterials[[#This Row],[Lab Price 2]]/RawMaterials[[#This Row],[Lab Q Model Units 2]]</f>
        <v>#N/A</v>
      </c>
      <c r="AD345" s="392" t="e">
        <f>RawMaterials[[#This Row],[Lab Price 3]]/RawMaterials[[#This Row],[Lab Q Model Units 3]]</f>
        <v>#N/A</v>
      </c>
      <c r="AE345" s="392" t="e">
        <f>RawMaterials[[#This Row],[Lab Price 4]]/RawMaterials[[#This Row],[Lab Q Model Units 4]]</f>
        <v>#N/A</v>
      </c>
      <c r="AF345" s="392" t="str">
        <f ca="1">IF(RawMaterials[[#This Row],[Lab Quote Count]]&gt;1,SLOPE(LOG(INDIRECT("RawMaterials[@[Lab Unit P 1]:[Lab Unit P "&amp;RawMaterials[[#This Row],[Lab Quote Count]]&amp;"]]")),LOG(INDIRECT("RawMaterials[@[Lab Q Model Units 1]:[Lab Q Model Units "&amp;RawMaterials[[#This Row],[Lab Quote Count]]&amp;"]]"))),"")</f>
        <v/>
      </c>
      <c r="AG345" s="392" t="str">
        <f ca="1">IF(RawMaterials[[#This Row],[Lab Quote Count]]&gt;1,INTERCEPT(LOG(INDIRECT("RawMaterials[@[Lab Unit P 1]:[Lab Unit P "&amp;RawMaterials[[#This Row],[Lab Quote Count]]&amp;"]]")),LOG(INDIRECT("RawMaterials[@[Lab Q Model Units 1]:[Lab Q Model Units "&amp;RawMaterials[[#This Row],[Lab Quote Count]]&amp;"]]"))),"")</f>
        <v/>
      </c>
      <c r="AH345" s="393" t="str">
        <f>IF(RawMaterials[[#This Row],[Material Type]]="Metal Precursor","D13",IF(RawMaterials[[#This Row],[Material Type]]="Ligand","D13","D12"))</f>
        <v>D12</v>
      </c>
      <c r="AI345" s="394" t="str">
        <f ca="1">IF(RawMaterials[[#This Row],[Lab Quote Count]]&gt;1,10^RawMaterials[[#This Row],[Lab Log-Log Intercept]]*INDIRECT(RawMaterials[[#This Row],[Basis Cell]])^RawMaterials[[#This Row],[Lab Log-Log Slope]],"&gt;&gt;&gt; Enter 2 or more lab quotes &lt;&lt;&lt;")</f>
        <v>&gt;&gt;&gt; Enter 2 or more lab quotes &lt;&lt;&lt;</v>
      </c>
      <c r="AJ34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1.8077905499159959</v>
      </c>
      <c r="AL345" s="396">
        <f>IF(ISTEXT(RawMaterials[[#This Row],[Unit price in quote year]]),"Check calcs",RawMaterials[[#This Row],[Unit price in quote year]]/VLOOKUP(RawMaterials[[#This Row],[Quote Year]],ChemPPI[],14,FALSE)*VLOOKUP(BasisYear,ChemPPI[],14,FALSE))</f>
        <v>2.4535612595658667</v>
      </c>
      <c r="AM345" s="397" t="str">
        <f t="shared" si="5"/>
        <v>$/kg (2016)</v>
      </c>
    </row>
    <row r="346" spans="1:39">
      <c r="A346" s="259" t="s">
        <v>1436</v>
      </c>
      <c r="B346" s="260"/>
      <c r="C346" s="351"/>
      <c r="D346" s="351"/>
      <c r="E346" s="260">
        <v>100</v>
      </c>
      <c r="F346" s="260"/>
      <c r="G346" s="351"/>
      <c r="H346" s="351"/>
      <c r="I346" s="262"/>
      <c r="J346" s="351"/>
      <c r="K346" s="351"/>
      <c r="L346" s="351"/>
      <c r="M346" s="351"/>
      <c r="N346" s="351"/>
      <c r="O346" s="351"/>
      <c r="P346" s="261">
        <v>9.75</v>
      </c>
      <c r="Q346" s="260">
        <v>1</v>
      </c>
      <c r="R346" s="260" t="s">
        <v>71</v>
      </c>
      <c r="S346" s="260">
        <v>2006</v>
      </c>
      <c r="T346" s="260" t="s">
        <v>161</v>
      </c>
      <c r="U346" s="386">
        <v>42653</v>
      </c>
      <c r="V346" s="387"/>
      <c r="W346" s="354">
        <f>COUNT(RawMaterials[[#This Row],[Lab Quantity 1]:[Lab Quantity 4]])</f>
        <v>0</v>
      </c>
      <c r="X34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6" s="392" t="e">
        <f>RawMaterials[[#This Row],[Lab Price 1]]/RawMaterials[[#This Row],[Lab Q Model Units 1]]</f>
        <v>#N/A</v>
      </c>
      <c r="AC346" s="392" t="e">
        <f>RawMaterials[[#This Row],[Lab Price 2]]/RawMaterials[[#This Row],[Lab Q Model Units 2]]</f>
        <v>#N/A</v>
      </c>
      <c r="AD346" s="392" t="e">
        <f>RawMaterials[[#This Row],[Lab Price 3]]/RawMaterials[[#This Row],[Lab Q Model Units 3]]</f>
        <v>#N/A</v>
      </c>
      <c r="AE346" s="392" t="e">
        <f>RawMaterials[[#This Row],[Lab Price 4]]/RawMaterials[[#This Row],[Lab Q Model Units 4]]</f>
        <v>#N/A</v>
      </c>
      <c r="AF346" s="392" t="str">
        <f ca="1">IF(RawMaterials[[#This Row],[Lab Quote Count]]&gt;1,SLOPE(LOG(INDIRECT("RawMaterials[@[Lab Unit P 1]:[Lab Unit P "&amp;RawMaterials[[#This Row],[Lab Quote Count]]&amp;"]]")),LOG(INDIRECT("RawMaterials[@[Lab Q Model Units 1]:[Lab Q Model Units "&amp;RawMaterials[[#This Row],[Lab Quote Count]]&amp;"]]"))),"")</f>
        <v/>
      </c>
      <c r="AG346" s="392" t="str">
        <f ca="1">IF(RawMaterials[[#This Row],[Lab Quote Count]]&gt;1,INTERCEPT(LOG(INDIRECT("RawMaterials[@[Lab Unit P 1]:[Lab Unit P "&amp;RawMaterials[[#This Row],[Lab Quote Count]]&amp;"]]")),LOG(INDIRECT("RawMaterials[@[Lab Q Model Units 1]:[Lab Q Model Units "&amp;RawMaterials[[#This Row],[Lab Quote Count]]&amp;"]]"))),"")</f>
        <v/>
      </c>
      <c r="AH346" s="393" t="str">
        <f>IF(RawMaterials[[#This Row],[Material Type]]="Metal Precursor","D13",IF(RawMaterials[[#This Row],[Material Type]]="Ligand","D13","D12"))</f>
        <v>D12</v>
      </c>
      <c r="AI346" s="394" t="str">
        <f ca="1">IF(RawMaterials[[#This Row],[Lab Quote Count]]&gt;1,10^RawMaterials[[#This Row],[Lab Log-Log Intercept]]*INDIRECT(RawMaterials[[#This Row],[Basis Cell]])^RawMaterials[[#This Row],[Lab Log-Log Slope]],"&gt;&gt;&gt; Enter 2 or more lab quotes &lt;&lt;&lt;")</f>
        <v>&gt;&gt;&gt; Enter 2 or more lab quotes &lt;&lt;&lt;</v>
      </c>
      <c r="AJ34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9.75</v>
      </c>
      <c r="AL346" s="396">
        <f>IF(ISTEXT(RawMaterials[[#This Row],[Unit price in quote year]]),"Check calcs",RawMaterials[[#This Row],[Unit price in quote year]]/VLOOKUP(RawMaterials[[#This Row],[Quote Year]],ChemPPI[],14,FALSE)*VLOOKUP(BasisYear,ChemPPI[],14,FALSE))</f>
        <v>13.232850609756099</v>
      </c>
      <c r="AM346" s="397" t="str">
        <f t="shared" si="5"/>
        <v>$/kg (2016)</v>
      </c>
    </row>
    <row r="347" spans="1:39">
      <c r="A347" s="259" t="s">
        <v>1437</v>
      </c>
      <c r="B347" s="260"/>
      <c r="C347" s="351"/>
      <c r="D347" s="351"/>
      <c r="E347" s="260">
        <v>100</v>
      </c>
      <c r="F347" s="260"/>
      <c r="G347" s="351"/>
      <c r="H347" s="351"/>
      <c r="I347" s="262"/>
      <c r="J347" s="351"/>
      <c r="K347" s="351"/>
      <c r="L347" s="351"/>
      <c r="M347" s="351"/>
      <c r="N347" s="351"/>
      <c r="O347" s="351"/>
      <c r="P347" s="261">
        <v>9.25</v>
      </c>
      <c r="Q347" s="260">
        <v>1</v>
      </c>
      <c r="R347" s="260" t="s">
        <v>71</v>
      </c>
      <c r="S347" s="260">
        <v>2006</v>
      </c>
      <c r="T347" s="260" t="s">
        <v>161</v>
      </c>
      <c r="U347" s="386">
        <v>42653</v>
      </c>
      <c r="V347" s="387"/>
      <c r="W347" s="354">
        <f>COUNT(RawMaterials[[#This Row],[Lab Quantity 1]:[Lab Quantity 4]])</f>
        <v>0</v>
      </c>
      <c r="X34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7" s="392" t="e">
        <f>RawMaterials[[#This Row],[Lab Price 1]]/RawMaterials[[#This Row],[Lab Q Model Units 1]]</f>
        <v>#N/A</v>
      </c>
      <c r="AC347" s="392" t="e">
        <f>RawMaterials[[#This Row],[Lab Price 2]]/RawMaterials[[#This Row],[Lab Q Model Units 2]]</f>
        <v>#N/A</v>
      </c>
      <c r="AD347" s="392" t="e">
        <f>RawMaterials[[#This Row],[Lab Price 3]]/RawMaterials[[#This Row],[Lab Q Model Units 3]]</f>
        <v>#N/A</v>
      </c>
      <c r="AE347" s="392" t="e">
        <f>RawMaterials[[#This Row],[Lab Price 4]]/RawMaterials[[#This Row],[Lab Q Model Units 4]]</f>
        <v>#N/A</v>
      </c>
      <c r="AF347" s="392" t="str">
        <f ca="1">IF(RawMaterials[[#This Row],[Lab Quote Count]]&gt;1,SLOPE(LOG(INDIRECT("RawMaterials[@[Lab Unit P 1]:[Lab Unit P "&amp;RawMaterials[[#This Row],[Lab Quote Count]]&amp;"]]")),LOG(INDIRECT("RawMaterials[@[Lab Q Model Units 1]:[Lab Q Model Units "&amp;RawMaterials[[#This Row],[Lab Quote Count]]&amp;"]]"))),"")</f>
        <v/>
      </c>
      <c r="AG347" s="392" t="str">
        <f ca="1">IF(RawMaterials[[#This Row],[Lab Quote Count]]&gt;1,INTERCEPT(LOG(INDIRECT("RawMaterials[@[Lab Unit P 1]:[Lab Unit P "&amp;RawMaterials[[#This Row],[Lab Quote Count]]&amp;"]]")),LOG(INDIRECT("RawMaterials[@[Lab Q Model Units 1]:[Lab Q Model Units "&amp;RawMaterials[[#This Row],[Lab Quote Count]]&amp;"]]"))),"")</f>
        <v/>
      </c>
      <c r="AH347" s="393" t="str">
        <f>IF(RawMaterials[[#This Row],[Material Type]]="Metal Precursor","D13",IF(RawMaterials[[#This Row],[Material Type]]="Ligand","D13","D12"))</f>
        <v>D12</v>
      </c>
      <c r="AI347" s="394" t="str">
        <f ca="1">IF(RawMaterials[[#This Row],[Lab Quote Count]]&gt;1,10^RawMaterials[[#This Row],[Lab Log-Log Intercept]]*INDIRECT(RawMaterials[[#This Row],[Basis Cell]])^RawMaterials[[#This Row],[Lab Log-Log Slope]],"&gt;&gt;&gt; Enter 2 or more lab quotes &lt;&lt;&lt;")</f>
        <v>&gt;&gt;&gt; Enter 2 or more lab quotes &lt;&lt;&lt;</v>
      </c>
      <c r="AJ34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9.25</v>
      </c>
      <c r="AL347" s="396">
        <f>IF(ISTEXT(RawMaterials[[#This Row],[Unit price in quote year]]),"Check calcs",RawMaterials[[#This Row],[Unit price in quote year]]/VLOOKUP(RawMaterials[[#This Row],[Quote Year]],ChemPPI[],14,FALSE)*VLOOKUP(BasisYear,ChemPPI[],14,FALSE))</f>
        <v>12.554242886178864</v>
      </c>
      <c r="AM347" s="397" t="str">
        <f t="shared" si="5"/>
        <v>$/kg (2016)</v>
      </c>
    </row>
    <row r="348" spans="1:39">
      <c r="A348" s="259" t="s">
        <v>1438</v>
      </c>
      <c r="B348" s="260"/>
      <c r="C348" s="351"/>
      <c r="D348" s="351"/>
      <c r="E348" s="260">
        <v>100</v>
      </c>
      <c r="F348" s="260"/>
      <c r="G348" s="351"/>
      <c r="H348" s="351"/>
      <c r="I348" s="262"/>
      <c r="J348" s="351"/>
      <c r="K348" s="351"/>
      <c r="L348" s="351"/>
      <c r="M348" s="351"/>
      <c r="N348" s="351"/>
      <c r="O348" s="351"/>
      <c r="P348" s="261">
        <v>9.625</v>
      </c>
      <c r="Q348" s="260">
        <v>1</v>
      </c>
      <c r="R348" s="260" t="s">
        <v>71</v>
      </c>
      <c r="S348" s="260">
        <v>2006</v>
      </c>
      <c r="T348" s="260" t="s">
        <v>161</v>
      </c>
      <c r="U348" s="386">
        <v>42653</v>
      </c>
      <c r="V348" s="387"/>
      <c r="W348" s="354">
        <f>COUNT(RawMaterials[[#This Row],[Lab Quantity 1]:[Lab Quantity 4]])</f>
        <v>0</v>
      </c>
      <c r="X34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8" s="392" t="e">
        <f>RawMaterials[[#This Row],[Lab Price 1]]/RawMaterials[[#This Row],[Lab Q Model Units 1]]</f>
        <v>#N/A</v>
      </c>
      <c r="AC348" s="392" t="e">
        <f>RawMaterials[[#This Row],[Lab Price 2]]/RawMaterials[[#This Row],[Lab Q Model Units 2]]</f>
        <v>#N/A</v>
      </c>
      <c r="AD348" s="392" t="e">
        <f>RawMaterials[[#This Row],[Lab Price 3]]/RawMaterials[[#This Row],[Lab Q Model Units 3]]</f>
        <v>#N/A</v>
      </c>
      <c r="AE348" s="392" t="e">
        <f>RawMaterials[[#This Row],[Lab Price 4]]/RawMaterials[[#This Row],[Lab Q Model Units 4]]</f>
        <v>#N/A</v>
      </c>
      <c r="AF348" s="392" t="str">
        <f ca="1">IF(RawMaterials[[#This Row],[Lab Quote Count]]&gt;1,SLOPE(LOG(INDIRECT("RawMaterials[@[Lab Unit P 1]:[Lab Unit P "&amp;RawMaterials[[#This Row],[Lab Quote Count]]&amp;"]]")),LOG(INDIRECT("RawMaterials[@[Lab Q Model Units 1]:[Lab Q Model Units "&amp;RawMaterials[[#This Row],[Lab Quote Count]]&amp;"]]"))),"")</f>
        <v/>
      </c>
      <c r="AG348" s="392" t="str">
        <f ca="1">IF(RawMaterials[[#This Row],[Lab Quote Count]]&gt;1,INTERCEPT(LOG(INDIRECT("RawMaterials[@[Lab Unit P 1]:[Lab Unit P "&amp;RawMaterials[[#This Row],[Lab Quote Count]]&amp;"]]")),LOG(INDIRECT("RawMaterials[@[Lab Q Model Units 1]:[Lab Q Model Units "&amp;RawMaterials[[#This Row],[Lab Quote Count]]&amp;"]]"))),"")</f>
        <v/>
      </c>
      <c r="AH348" s="393" t="str">
        <f>IF(RawMaterials[[#This Row],[Material Type]]="Metal Precursor","D13",IF(RawMaterials[[#This Row],[Material Type]]="Ligand","D13","D12"))</f>
        <v>D12</v>
      </c>
      <c r="AI348" s="394" t="str">
        <f ca="1">IF(RawMaterials[[#This Row],[Lab Quote Count]]&gt;1,10^RawMaterials[[#This Row],[Lab Log-Log Intercept]]*INDIRECT(RawMaterials[[#This Row],[Basis Cell]])^RawMaterials[[#This Row],[Lab Log-Log Slope]],"&gt;&gt;&gt; Enter 2 or more lab quotes &lt;&lt;&lt;")</f>
        <v>&gt;&gt;&gt; Enter 2 or more lab quotes &lt;&lt;&lt;</v>
      </c>
      <c r="AJ34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9.625</v>
      </c>
      <c r="AL348" s="396">
        <f>IF(ISTEXT(RawMaterials[[#This Row],[Unit price in quote year]]),"Check calcs",RawMaterials[[#This Row],[Unit price in quote year]]/VLOOKUP(RawMaterials[[#This Row],[Quote Year]],ChemPPI[],14,FALSE)*VLOOKUP(BasisYear,ChemPPI[],14,FALSE))</f>
        <v>13.063198678861792</v>
      </c>
      <c r="AM348" s="397" t="str">
        <f t="shared" si="5"/>
        <v>$/kg (2016)</v>
      </c>
    </row>
    <row r="349" spans="1:39">
      <c r="A349" s="352" t="s">
        <v>177</v>
      </c>
      <c r="B349" s="354"/>
      <c r="C349" s="353"/>
      <c r="D349" s="353"/>
      <c r="E349" s="354">
        <v>100</v>
      </c>
      <c r="F349" s="354"/>
      <c r="G349" s="353"/>
      <c r="H349" s="353"/>
      <c r="I349" s="355"/>
      <c r="J349" s="353"/>
      <c r="K349" s="353"/>
      <c r="L349" s="353"/>
      <c r="M349" s="353"/>
      <c r="N349" s="353"/>
      <c r="O349" s="353"/>
      <c r="P349" s="356">
        <v>6.08</v>
      </c>
      <c r="Q349" s="260">
        <v>1</v>
      </c>
      <c r="R349" s="354" t="s">
        <v>20</v>
      </c>
      <c r="S349" s="354">
        <v>2018</v>
      </c>
      <c r="T349" s="354" t="s">
        <v>1094</v>
      </c>
      <c r="U349" s="400">
        <v>43339</v>
      </c>
      <c r="V349" s="387" t="s">
        <v>1705</v>
      </c>
      <c r="W349" s="354">
        <f>COUNT(RawMaterials[[#This Row],[Lab Quantity 1]:[Lab Quantity 4]])</f>
        <v>0</v>
      </c>
      <c r="X34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9" s="392" t="e">
        <f>RawMaterials[[#This Row],[Lab Price 1]]/RawMaterials[[#This Row],[Lab Q Model Units 1]]</f>
        <v>#N/A</v>
      </c>
      <c r="AC349" s="392" t="e">
        <f>RawMaterials[[#This Row],[Lab Price 2]]/RawMaterials[[#This Row],[Lab Q Model Units 2]]</f>
        <v>#N/A</v>
      </c>
      <c r="AD349" s="392" t="e">
        <f>RawMaterials[[#This Row],[Lab Price 3]]/RawMaterials[[#This Row],[Lab Q Model Units 3]]</f>
        <v>#N/A</v>
      </c>
      <c r="AE349" s="392" t="e">
        <f>RawMaterials[[#This Row],[Lab Price 4]]/RawMaterials[[#This Row],[Lab Q Model Units 4]]</f>
        <v>#N/A</v>
      </c>
      <c r="AF349" s="392" t="str">
        <f ca="1">IF(RawMaterials[[#This Row],[Lab Quote Count]]&gt;1,SLOPE(LOG(INDIRECT("RawMaterials[@[Lab Unit P 1]:[Lab Unit P "&amp;RawMaterials[[#This Row],[Lab Quote Count]]&amp;"]]")),LOG(INDIRECT("RawMaterials[@[Lab Q Model Units 1]:[Lab Q Model Units "&amp;RawMaterials[[#This Row],[Lab Quote Count]]&amp;"]]"))),"")</f>
        <v/>
      </c>
      <c r="AG349" s="392" t="str">
        <f ca="1">IF(RawMaterials[[#This Row],[Lab Quote Count]]&gt;1,INTERCEPT(LOG(INDIRECT("RawMaterials[@[Lab Unit P 1]:[Lab Unit P "&amp;RawMaterials[[#This Row],[Lab Quote Count]]&amp;"]]")),LOG(INDIRECT("RawMaterials[@[Lab Q Model Units 1]:[Lab Q Model Units "&amp;RawMaterials[[#This Row],[Lab Quote Count]]&amp;"]]"))),"")</f>
        <v/>
      </c>
      <c r="AH349" s="393" t="str">
        <f>IF(RawMaterials[[#This Row],[Material Type]]="Metal Precursor","D13",IF(RawMaterials[[#This Row],[Material Type]]="Ligand","D13","D12"))</f>
        <v>D12</v>
      </c>
      <c r="AI349" s="394" t="str">
        <f ca="1">IF(RawMaterials[[#This Row],[Lab Quote Count]]&gt;1,10^RawMaterials[[#This Row],[Lab Log-Log Intercept]]*INDIRECT(RawMaterials[[#This Row],[Basis Cell]])^RawMaterials[[#This Row],[Lab Log-Log Slope]],"&gt;&gt;&gt; Enter 2 or more lab quotes &lt;&lt;&lt;")</f>
        <v>&gt;&gt;&gt; Enter 2 or more lab quotes &lt;&lt;&lt;</v>
      </c>
      <c r="AJ34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13.404105540840556</v>
      </c>
      <c r="AL349" s="396">
        <f>IF(ISTEXT(RawMaterials[[#This Row],[Unit price in quote year]]),"Check calcs",RawMaterials[[#This Row],[Unit price in quote year]]/VLOOKUP(RawMaterials[[#This Row],[Quote Year]],ChemPPI[],14,FALSE)*VLOOKUP(BasisYear,ChemPPI[],14,FALSE))</f>
        <v>12.33890665426984</v>
      </c>
      <c r="AM349" s="397" t="str">
        <f t="shared" si="5"/>
        <v>$/kg (2016)</v>
      </c>
    </row>
    <row r="350" spans="1:39">
      <c r="A350" s="259" t="s">
        <v>1439</v>
      </c>
      <c r="B350" s="260"/>
      <c r="C350" s="351"/>
      <c r="D350" s="351"/>
      <c r="E350" s="260">
        <v>100</v>
      </c>
      <c r="F350" s="260"/>
      <c r="G350" s="351"/>
      <c r="H350" s="351"/>
      <c r="I350" s="262"/>
      <c r="J350" s="351"/>
      <c r="K350" s="351"/>
      <c r="L350" s="351"/>
      <c r="M350" s="351"/>
      <c r="N350" s="351"/>
      <c r="O350" s="351"/>
      <c r="P350" s="261">
        <v>220</v>
      </c>
      <c r="Q350" s="260">
        <v>1</v>
      </c>
      <c r="R350" s="260" t="s">
        <v>401</v>
      </c>
      <c r="S350" s="260">
        <v>2006</v>
      </c>
      <c r="T350" s="260" t="s">
        <v>161</v>
      </c>
      <c r="U350" s="386">
        <v>42653</v>
      </c>
      <c r="V350" s="387"/>
      <c r="W350" s="354">
        <f>COUNT(RawMaterials[[#This Row],[Lab Quantity 1]:[Lab Quantity 4]])</f>
        <v>0</v>
      </c>
      <c r="X35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0" s="392" t="e">
        <f>RawMaterials[[#This Row],[Lab Price 1]]/RawMaterials[[#This Row],[Lab Q Model Units 1]]</f>
        <v>#N/A</v>
      </c>
      <c r="AC350" s="392" t="e">
        <f>RawMaterials[[#This Row],[Lab Price 2]]/RawMaterials[[#This Row],[Lab Q Model Units 2]]</f>
        <v>#N/A</v>
      </c>
      <c r="AD350" s="392" t="e">
        <f>RawMaterials[[#This Row],[Lab Price 3]]/RawMaterials[[#This Row],[Lab Q Model Units 3]]</f>
        <v>#N/A</v>
      </c>
      <c r="AE350" s="392" t="e">
        <f>RawMaterials[[#This Row],[Lab Price 4]]/RawMaterials[[#This Row],[Lab Q Model Units 4]]</f>
        <v>#N/A</v>
      </c>
      <c r="AF350" s="392" t="str">
        <f ca="1">IF(RawMaterials[[#This Row],[Lab Quote Count]]&gt;1,SLOPE(LOG(INDIRECT("RawMaterials[@[Lab Unit P 1]:[Lab Unit P "&amp;RawMaterials[[#This Row],[Lab Quote Count]]&amp;"]]")),LOG(INDIRECT("RawMaterials[@[Lab Q Model Units 1]:[Lab Q Model Units "&amp;RawMaterials[[#This Row],[Lab Quote Count]]&amp;"]]"))),"")</f>
        <v/>
      </c>
      <c r="AG350" s="392" t="str">
        <f ca="1">IF(RawMaterials[[#This Row],[Lab Quote Count]]&gt;1,INTERCEPT(LOG(INDIRECT("RawMaterials[@[Lab Unit P 1]:[Lab Unit P "&amp;RawMaterials[[#This Row],[Lab Quote Count]]&amp;"]]")),LOG(INDIRECT("RawMaterials[@[Lab Q Model Units 1]:[Lab Q Model Units "&amp;RawMaterials[[#This Row],[Lab Quote Count]]&amp;"]]"))),"")</f>
        <v/>
      </c>
      <c r="AH350" s="393" t="str">
        <f>IF(RawMaterials[[#This Row],[Material Type]]="Metal Precursor","D13",IF(RawMaterials[[#This Row],[Material Type]]="Ligand","D13","D12"))</f>
        <v>D12</v>
      </c>
      <c r="AI350" s="394" t="str">
        <f ca="1">IF(RawMaterials[[#This Row],[Lab Quote Count]]&gt;1,10^RawMaterials[[#This Row],[Lab Log-Log Intercept]]*INDIRECT(RawMaterials[[#This Row],[Basis Cell]])^RawMaterials[[#This Row],[Lab Log-Log Slope]],"&gt;&gt;&gt; Enter 2 or more lab quotes &lt;&lt;&lt;")</f>
        <v>&gt;&gt;&gt; Enter 2 or more lab quotes &lt;&lt;&lt;</v>
      </c>
      <c r="AJ35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5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0.24250848840336534</v>
      </c>
      <c r="AL350" s="396">
        <f>IF(ISTEXT(RawMaterials[[#This Row],[Unit price in quote year]]),"Check calcs",RawMaterials[[#This Row],[Unit price in quote year]]/VLOOKUP(RawMaterials[[#This Row],[Quote Year]],ChemPPI[],14,FALSE)*VLOOKUP(BasisYear,ChemPPI[],14,FALSE))</f>
        <v>0.32913626652712852</v>
      </c>
      <c r="AM350" s="397" t="str">
        <f t="shared" si="5"/>
        <v>$/kg (2016)</v>
      </c>
    </row>
    <row r="351" spans="1:39">
      <c r="A351" s="259" t="s">
        <v>1440</v>
      </c>
      <c r="B351" s="260"/>
      <c r="C351" s="351"/>
      <c r="D351" s="351"/>
      <c r="E351" s="260">
        <v>100</v>
      </c>
      <c r="F351" s="260"/>
      <c r="G351" s="351"/>
      <c r="H351" s="351"/>
      <c r="I351" s="262"/>
      <c r="J351" s="351"/>
      <c r="K351" s="351"/>
      <c r="L351" s="351"/>
      <c r="M351" s="351"/>
      <c r="N351" s="351"/>
      <c r="O351" s="351"/>
      <c r="P351" s="261">
        <v>0.33500000000000002</v>
      </c>
      <c r="Q351" s="260">
        <v>1</v>
      </c>
      <c r="R351" s="260" t="s">
        <v>20</v>
      </c>
      <c r="S351" s="260">
        <v>2006</v>
      </c>
      <c r="T351" s="260" t="s">
        <v>161</v>
      </c>
      <c r="U351" s="386">
        <v>42653</v>
      </c>
      <c r="V351" s="387"/>
      <c r="W351" s="354">
        <f>COUNT(RawMaterials[[#This Row],[Lab Quantity 1]:[Lab Quantity 4]])</f>
        <v>0</v>
      </c>
      <c r="X35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1" s="392" t="e">
        <f>RawMaterials[[#This Row],[Lab Price 1]]/RawMaterials[[#This Row],[Lab Q Model Units 1]]</f>
        <v>#N/A</v>
      </c>
      <c r="AC351" s="392" t="e">
        <f>RawMaterials[[#This Row],[Lab Price 2]]/RawMaterials[[#This Row],[Lab Q Model Units 2]]</f>
        <v>#N/A</v>
      </c>
      <c r="AD351" s="392" t="e">
        <f>RawMaterials[[#This Row],[Lab Price 3]]/RawMaterials[[#This Row],[Lab Q Model Units 3]]</f>
        <v>#N/A</v>
      </c>
      <c r="AE351" s="392" t="e">
        <f>RawMaterials[[#This Row],[Lab Price 4]]/RawMaterials[[#This Row],[Lab Q Model Units 4]]</f>
        <v>#N/A</v>
      </c>
      <c r="AF351" s="392" t="str">
        <f ca="1">IF(RawMaterials[[#This Row],[Lab Quote Count]]&gt;1,SLOPE(LOG(INDIRECT("RawMaterials[@[Lab Unit P 1]:[Lab Unit P "&amp;RawMaterials[[#This Row],[Lab Quote Count]]&amp;"]]")),LOG(INDIRECT("RawMaterials[@[Lab Q Model Units 1]:[Lab Q Model Units "&amp;RawMaterials[[#This Row],[Lab Quote Count]]&amp;"]]"))),"")</f>
        <v/>
      </c>
      <c r="AG351" s="392" t="str">
        <f ca="1">IF(RawMaterials[[#This Row],[Lab Quote Count]]&gt;1,INTERCEPT(LOG(INDIRECT("RawMaterials[@[Lab Unit P 1]:[Lab Unit P "&amp;RawMaterials[[#This Row],[Lab Quote Count]]&amp;"]]")),LOG(INDIRECT("RawMaterials[@[Lab Q Model Units 1]:[Lab Q Model Units "&amp;RawMaterials[[#This Row],[Lab Quote Count]]&amp;"]]"))),"")</f>
        <v/>
      </c>
      <c r="AH351" s="393" t="str">
        <f>IF(RawMaterials[[#This Row],[Material Type]]="Metal Precursor","D13",IF(RawMaterials[[#This Row],[Material Type]]="Ligand","D13","D12"))</f>
        <v>D12</v>
      </c>
      <c r="AI351" s="394" t="str">
        <f ca="1">IF(RawMaterials[[#This Row],[Lab Quote Count]]&gt;1,10^RawMaterials[[#This Row],[Lab Log-Log Intercept]]*INDIRECT(RawMaterials[[#This Row],[Basis Cell]])^RawMaterials[[#This Row],[Lab Log-Log Slope]],"&gt;&gt;&gt; Enter 2 or more lab quotes &lt;&lt;&lt;")</f>
        <v>&gt;&gt;&gt; Enter 2 or more lab quotes &lt;&lt;&lt;</v>
      </c>
      <c r="AJ35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0.73854857831933995</v>
      </c>
      <c r="AL351" s="396">
        <f>IF(ISTEXT(RawMaterials[[#This Row],[Unit price in quote year]]),"Check calcs",RawMaterials[[#This Row],[Unit price in quote year]]/VLOOKUP(RawMaterials[[#This Row],[Quote Year]],ChemPPI[],14,FALSE)*VLOOKUP(BasisYear,ChemPPI[],14,FALSE))</f>
        <v>1.0023695389689824</v>
      </c>
      <c r="AM351" s="397" t="str">
        <f t="shared" si="5"/>
        <v>$/kg (2016)</v>
      </c>
    </row>
    <row r="352" spans="1:39">
      <c r="A352" s="259" t="s">
        <v>1441</v>
      </c>
      <c r="B352" s="260"/>
      <c r="C352" s="351"/>
      <c r="D352" s="351"/>
      <c r="E352" s="260">
        <v>100</v>
      </c>
      <c r="F352" s="260"/>
      <c r="G352" s="351"/>
      <c r="H352" s="351"/>
      <c r="I352" s="262"/>
      <c r="J352" s="351"/>
      <c r="K352" s="351"/>
      <c r="L352" s="351"/>
      <c r="M352" s="351"/>
      <c r="N352" s="351"/>
      <c r="O352" s="351"/>
      <c r="P352" s="261">
        <v>0.56000000000000005</v>
      </c>
      <c r="Q352" s="260">
        <v>1</v>
      </c>
      <c r="R352" s="260" t="s">
        <v>20</v>
      </c>
      <c r="S352" s="260">
        <v>2008</v>
      </c>
      <c r="T352" s="260" t="s">
        <v>161</v>
      </c>
      <c r="U352" s="386">
        <v>42653</v>
      </c>
      <c r="V352" s="387"/>
      <c r="W352" s="354">
        <f>COUNT(RawMaterials[[#This Row],[Lab Quantity 1]:[Lab Quantity 4]])</f>
        <v>0</v>
      </c>
      <c r="X35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2" s="392" t="e">
        <f>RawMaterials[[#This Row],[Lab Price 1]]/RawMaterials[[#This Row],[Lab Q Model Units 1]]</f>
        <v>#N/A</v>
      </c>
      <c r="AC352" s="392" t="e">
        <f>RawMaterials[[#This Row],[Lab Price 2]]/RawMaterials[[#This Row],[Lab Q Model Units 2]]</f>
        <v>#N/A</v>
      </c>
      <c r="AD352" s="392" t="e">
        <f>RawMaterials[[#This Row],[Lab Price 3]]/RawMaterials[[#This Row],[Lab Q Model Units 3]]</f>
        <v>#N/A</v>
      </c>
      <c r="AE352" s="392" t="e">
        <f>RawMaterials[[#This Row],[Lab Price 4]]/RawMaterials[[#This Row],[Lab Q Model Units 4]]</f>
        <v>#N/A</v>
      </c>
      <c r="AF352" s="392" t="str">
        <f ca="1">IF(RawMaterials[[#This Row],[Lab Quote Count]]&gt;1,SLOPE(LOG(INDIRECT("RawMaterials[@[Lab Unit P 1]:[Lab Unit P "&amp;RawMaterials[[#This Row],[Lab Quote Count]]&amp;"]]")),LOG(INDIRECT("RawMaterials[@[Lab Q Model Units 1]:[Lab Q Model Units "&amp;RawMaterials[[#This Row],[Lab Quote Count]]&amp;"]]"))),"")</f>
        <v/>
      </c>
      <c r="AG352" s="392" t="str">
        <f ca="1">IF(RawMaterials[[#This Row],[Lab Quote Count]]&gt;1,INTERCEPT(LOG(INDIRECT("RawMaterials[@[Lab Unit P 1]:[Lab Unit P "&amp;RawMaterials[[#This Row],[Lab Quote Count]]&amp;"]]")),LOG(INDIRECT("RawMaterials[@[Lab Q Model Units 1]:[Lab Q Model Units "&amp;RawMaterials[[#This Row],[Lab Quote Count]]&amp;"]]"))),"")</f>
        <v/>
      </c>
      <c r="AH352" s="393" t="str">
        <f>IF(RawMaterials[[#This Row],[Material Type]]="Metal Precursor","D13",IF(RawMaterials[[#This Row],[Material Type]]="Ligand","D13","D12"))</f>
        <v>D12</v>
      </c>
      <c r="AI352" s="394" t="str">
        <f ca="1">IF(RawMaterials[[#This Row],[Lab Quote Count]]&gt;1,10^RawMaterials[[#This Row],[Lab Log-Log Intercept]]*INDIRECT(RawMaterials[[#This Row],[Basis Cell]])^RawMaterials[[#This Row],[Lab Log-Log Slope]],"&gt;&gt;&gt; Enter 2 or more lab quotes &lt;&lt;&lt;")</f>
        <v>&gt;&gt;&gt; Enter 2 or more lab quotes &lt;&lt;&lt;</v>
      </c>
      <c r="AJ35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1.2345886682353144</v>
      </c>
      <c r="AL352" s="396">
        <f>IF(ISTEXT(RawMaterials[[#This Row],[Unit price in quote year]]),"Check calcs",RawMaterials[[#This Row],[Unit price in quote year]]/VLOOKUP(RawMaterials[[#This Row],[Quote Year]],ChemPPI[],14,FALSE)*VLOOKUP(BasisYear,ChemPPI[],14,FALSE))</f>
        <v>1.4449894465684974</v>
      </c>
      <c r="AM352" s="397" t="str">
        <f t="shared" si="5"/>
        <v>$/kg (2016)</v>
      </c>
    </row>
    <row r="353" spans="1:39">
      <c r="A353" s="259" t="s">
        <v>1442</v>
      </c>
      <c r="B353" s="260"/>
      <c r="C353" s="351"/>
      <c r="D353" s="351"/>
      <c r="E353" s="260">
        <v>100</v>
      </c>
      <c r="F353" s="260"/>
      <c r="G353" s="351"/>
      <c r="H353" s="351"/>
      <c r="I353" s="262"/>
      <c r="J353" s="351"/>
      <c r="K353" s="351"/>
      <c r="L353" s="351"/>
      <c r="M353" s="351"/>
      <c r="N353" s="351"/>
      <c r="O353" s="351"/>
      <c r="P353" s="261">
        <v>0.55499999999999905</v>
      </c>
      <c r="Q353" s="260">
        <v>1</v>
      </c>
      <c r="R353" s="260" t="s">
        <v>20</v>
      </c>
      <c r="S353" s="260">
        <v>2008</v>
      </c>
      <c r="T353" s="260" t="s">
        <v>161</v>
      </c>
      <c r="U353" s="386">
        <v>42653</v>
      </c>
      <c r="V353" s="387"/>
      <c r="W353" s="354">
        <f>COUNT(RawMaterials[[#This Row],[Lab Quantity 1]:[Lab Quantity 4]])</f>
        <v>0</v>
      </c>
      <c r="X35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3" s="392" t="e">
        <f>RawMaterials[[#This Row],[Lab Price 1]]/RawMaterials[[#This Row],[Lab Q Model Units 1]]</f>
        <v>#N/A</v>
      </c>
      <c r="AC353" s="392" t="e">
        <f>RawMaterials[[#This Row],[Lab Price 2]]/RawMaterials[[#This Row],[Lab Q Model Units 2]]</f>
        <v>#N/A</v>
      </c>
      <c r="AD353" s="392" t="e">
        <f>RawMaterials[[#This Row],[Lab Price 3]]/RawMaterials[[#This Row],[Lab Q Model Units 3]]</f>
        <v>#N/A</v>
      </c>
      <c r="AE353" s="392" t="e">
        <f>RawMaterials[[#This Row],[Lab Price 4]]/RawMaterials[[#This Row],[Lab Q Model Units 4]]</f>
        <v>#N/A</v>
      </c>
      <c r="AF353" s="392" t="str">
        <f ca="1">IF(RawMaterials[[#This Row],[Lab Quote Count]]&gt;1,SLOPE(LOG(INDIRECT("RawMaterials[@[Lab Unit P 1]:[Lab Unit P "&amp;RawMaterials[[#This Row],[Lab Quote Count]]&amp;"]]")),LOG(INDIRECT("RawMaterials[@[Lab Q Model Units 1]:[Lab Q Model Units "&amp;RawMaterials[[#This Row],[Lab Quote Count]]&amp;"]]"))),"")</f>
        <v/>
      </c>
      <c r="AG353" s="392" t="str">
        <f ca="1">IF(RawMaterials[[#This Row],[Lab Quote Count]]&gt;1,INTERCEPT(LOG(INDIRECT("RawMaterials[@[Lab Unit P 1]:[Lab Unit P "&amp;RawMaterials[[#This Row],[Lab Quote Count]]&amp;"]]")),LOG(INDIRECT("RawMaterials[@[Lab Q Model Units 1]:[Lab Q Model Units "&amp;RawMaterials[[#This Row],[Lab Quote Count]]&amp;"]]"))),"")</f>
        <v/>
      </c>
      <c r="AH353" s="393" t="str">
        <f>IF(RawMaterials[[#This Row],[Material Type]]="Metal Precursor","D13",IF(RawMaterials[[#This Row],[Material Type]]="Ligand","D13","D12"))</f>
        <v>D12</v>
      </c>
      <c r="AI353" s="394" t="str">
        <f ca="1">IF(RawMaterials[[#This Row],[Lab Quote Count]]&gt;1,10^RawMaterials[[#This Row],[Lab Log-Log Intercept]]*INDIRECT(RawMaterials[[#This Row],[Basis Cell]])^RawMaterials[[#This Row],[Lab Log-Log Slope]],"&gt;&gt;&gt; Enter 2 or more lab quotes &lt;&lt;&lt;")</f>
        <v>&gt;&gt;&gt; Enter 2 or more lab quotes &lt;&lt;&lt;</v>
      </c>
      <c r="AJ35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1.2235655551260685</v>
      </c>
      <c r="AL353" s="396">
        <f>IF(ISTEXT(RawMaterials[[#This Row],[Unit price in quote year]]),"Check calcs",RawMaterials[[#This Row],[Unit price in quote year]]/VLOOKUP(RawMaterials[[#This Row],[Quote Year]],ChemPPI[],14,FALSE)*VLOOKUP(BasisYear,ChemPPI[],14,FALSE))</f>
        <v>1.4320877550812763</v>
      </c>
      <c r="AM353" s="397" t="str">
        <f t="shared" si="5"/>
        <v>$/kg (2016)</v>
      </c>
    </row>
    <row r="354" spans="1:39">
      <c r="A354" s="259" t="s">
        <v>1443</v>
      </c>
      <c r="B354" s="260"/>
      <c r="C354" s="351"/>
      <c r="D354" s="351"/>
      <c r="E354" s="260">
        <v>100</v>
      </c>
      <c r="F354" s="260"/>
      <c r="G354" s="351"/>
      <c r="H354" s="351"/>
      <c r="I354" s="262"/>
      <c r="J354" s="351"/>
      <c r="K354" s="351"/>
      <c r="L354" s="351"/>
      <c r="M354" s="351"/>
      <c r="N354" s="351"/>
      <c r="O354" s="351"/>
      <c r="P354" s="261">
        <v>1.5</v>
      </c>
      <c r="Q354" s="260">
        <v>1</v>
      </c>
      <c r="R354" s="260" t="s">
        <v>20</v>
      </c>
      <c r="S354" s="260">
        <v>2006</v>
      </c>
      <c r="T354" s="260" t="s">
        <v>161</v>
      </c>
      <c r="U354" s="386">
        <v>42653</v>
      </c>
      <c r="V354" s="387"/>
      <c r="W354" s="354">
        <f>COUNT(RawMaterials[[#This Row],[Lab Quantity 1]:[Lab Quantity 4]])</f>
        <v>0</v>
      </c>
      <c r="X35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4" s="392" t="e">
        <f>RawMaterials[[#This Row],[Lab Price 1]]/RawMaterials[[#This Row],[Lab Q Model Units 1]]</f>
        <v>#N/A</v>
      </c>
      <c r="AC354" s="392" t="e">
        <f>RawMaterials[[#This Row],[Lab Price 2]]/RawMaterials[[#This Row],[Lab Q Model Units 2]]</f>
        <v>#N/A</v>
      </c>
      <c r="AD354" s="392" t="e">
        <f>RawMaterials[[#This Row],[Lab Price 3]]/RawMaterials[[#This Row],[Lab Q Model Units 3]]</f>
        <v>#N/A</v>
      </c>
      <c r="AE354" s="392" t="e">
        <f>RawMaterials[[#This Row],[Lab Price 4]]/RawMaterials[[#This Row],[Lab Q Model Units 4]]</f>
        <v>#N/A</v>
      </c>
      <c r="AF354" s="392" t="str">
        <f ca="1">IF(RawMaterials[[#This Row],[Lab Quote Count]]&gt;1,SLOPE(LOG(INDIRECT("RawMaterials[@[Lab Unit P 1]:[Lab Unit P "&amp;RawMaterials[[#This Row],[Lab Quote Count]]&amp;"]]")),LOG(INDIRECT("RawMaterials[@[Lab Q Model Units 1]:[Lab Q Model Units "&amp;RawMaterials[[#This Row],[Lab Quote Count]]&amp;"]]"))),"")</f>
        <v/>
      </c>
      <c r="AG354" s="392" t="str">
        <f ca="1">IF(RawMaterials[[#This Row],[Lab Quote Count]]&gt;1,INTERCEPT(LOG(INDIRECT("RawMaterials[@[Lab Unit P 1]:[Lab Unit P "&amp;RawMaterials[[#This Row],[Lab Quote Count]]&amp;"]]")),LOG(INDIRECT("RawMaterials[@[Lab Q Model Units 1]:[Lab Q Model Units "&amp;RawMaterials[[#This Row],[Lab Quote Count]]&amp;"]]"))),"")</f>
        <v/>
      </c>
      <c r="AH354" s="393" t="str">
        <f>IF(RawMaterials[[#This Row],[Material Type]]="Metal Precursor","D13",IF(RawMaterials[[#This Row],[Material Type]]="Ligand","D13","D12"))</f>
        <v>D12</v>
      </c>
      <c r="AI354" s="394" t="str">
        <f ca="1">IF(RawMaterials[[#This Row],[Lab Quote Count]]&gt;1,10^RawMaterials[[#This Row],[Lab Log-Log Intercept]]*INDIRECT(RawMaterials[[#This Row],[Basis Cell]])^RawMaterials[[#This Row],[Lab Log-Log Slope]],"&gt;&gt;&gt; Enter 2 or more lab quotes &lt;&lt;&lt;")</f>
        <v>&gt;&gt;&gt; Enter 2 or more lab quotes &lt;&lt;&lt;</v>
      </c>
      <c r="AJ35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3.3069339327731635</v>
      </c>
      <c r="AL354" s="396">
        <f>IF(ISTEXT(RawMaterials[[#This Row],[Unit price in quote year]]),"Check calcs",RawMaterials[[#This Row],[Unit price in quote year]]/VLOOKUP(RawMaterials[[#This Row],[Quote Year]],ChemPPI[],14,FALSE)*VLOOKUP(BasisYear,ChemPPI[],14,FALSE))</f>
        <v>4.4882218162790251</v>
      </c>
      <c r="AM354" s="397" t="str">
        <f t="shared" si="5"/>
        <v>$/kg (2016)</v>
      </c>
    </row>
    <row r="355" spans="1:39">
      <c r="A355" s="259" t="s">
        <v>1444</v>
      </c>
      <c r="B355" s="260"/>
      <c r="C355" s="351"/>
      <c r="D355" s="351"/>
      <c r="E355" s="260">
        <v>100</v>
      </c>
      <c r="F355" s="260"/>
      <c r="G355" s="351"/>
      <c r="H355" s="351"/>
      <c r="I355" s="262"/>
      <c r="J355" s="351"/>
      <c r="K355" s="351"/>
      <c r="L355" s="351"/>
      <c r="M355" s="351"/>
      <c r="N355" s="351"/>
      <c r="O355" s="351"/>
      <c r="P355" s="261">
        <v>0.49149999999999999</v>
      </c>
      <c r="Q355" s="260">
        <v>1</v>
      </c>
      <c r="R355" s="260" t="s">
        <v>20</v>
      </c>
      <c r="S355" s="260">
        <v>2007</v>
      </c>
      <c r="T355" s="260" t="s">
        <v>161</v>
      </c>
      <c r="U355" s="386">
        <v>42653</v>
      </c>
      <c r="V355" s="387"/>
      <c r="W355" s="354">
        <f>COUNT(RawMaterials[[#This Row],[Lab Quantity 1]:[Lab Quantity 4]])</f>
        <v>0</v>
      </c>
      <c r="X35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5" s="392" t="e">
        <f>RawMaterials[[#This Row],[Lab Price 1]]/RawMaterials[[#This Row],[Lab Q Model Units 1]]</f>
        <v>#N/A</v>
      </c>
      <c r="AC355" s="392" t="e">
        <f>RawMaterials[[#This Row],[Lab Price 2]]/RawMaterials[[#This Row],[Lab Q Model Units 2]]</f>
        <v>#N/A</v>
      </c>
      <c r="AD355" s="392" t="e">
        <f>RawMaterials[[#This Row],[Lab Price 3]]/RawMaterials[[#This Row],[Lab Q Model Units 3]]</f>
        <v>#N/A</v>
      </c>
      <c r="AE355" s="392" t="e">
        <f>RawMaterials[[#This Row],[Lab Price 4]]/RawMaterials[[#This Row],[Lab Q Model Units 4]]</f>
        <v>#N/A</v>
      </c>
      <c r="AF355" s="392" t="str">
        <f ca="1">IF(RawMaterials[[#This Row],[Lab Quote Count]]&gt;1,SLOPE(LOG(INDIRECT("RawMaterials[@[Lab Unit P 1]:[Lab Unit P "&amp;RawMaterials[[#This Row],[Lab Quote Count]]&amp;"]]")),LOG(INDIRECT("RawMaterials[@[Lab Q Model Units 1]:[Lab Q Model Units "&amp;RawMaterials[[#This Row],[Lab Quote Count]]&amp;"]]"))),"")</f>
        <v/>
      </c>
      <c r="AG355" s="392" t="str">
        <f ca="1">IF(RawMaterials[[#This Row],[Lab Quote Count]]&gt;1,INTERCEPT(LOG(INDIRECT("RawMaterials[@[Lab Unit P 1]:[Lab Unit P "&amp;RawMaterials[[#This Row],[Lab Quote Count]]&amp;"]]")),LOG(INDIRECT("RawMaterials[@[Lab Q Model Units 1]:[Lab Q Model Units "&amp;RawMaterials[[#This Row],[Lab Quote Count]]&amp;"]]"))),"")</f>
        <v/>
      </c>
      <c r="AH355" s="393" t="str">
        <f>IF(RawMaterials[[#This Row],[Material Type]]="Metal Precursor","D13",IF(RawMaterials[[#This Row],[Material Type]]="Ligand","D13","D12"))</f>
        <v>D12</v>
      </c>
      <c r="AI355" s="394" t="str">
        <f ca="1">IF(RawMaterials[[#This Row],[Lab Quote Count]]&gt;1,10^RawMaterials[[#This Row],[Lab Log-Log Intercept]]*INDIRECT(RawMaterials[[#This Row],[Basis Cell]])^RawMaterials[[#This Row],[Lab Log-Log Slope]],"&gt;&gt;&gt; Enter 2 or more lab quotes &lt;&lt;&lt;")</f>
        <v>&gt;&gt;&gt; Enter 2 or more lab quotes &lt;&lt;&lt;</v>
      </c>
      <c r="AJ35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1.0835720186386733</v>
      </c>
      <c r="AL355" s="396">
        <f>IF(ISTEXT(RawMaterials[[#This Row],[Unit price in quote year]]),"Check calcs",RawMaterials[[#This Row],[Unit price in quote year]]/VLOOKUP(RawMaterials[[#This Row],[Quote Year]],ChemPPI[],14,FALSE)*VLOOKUP(BasisYear,ChemPPI[],14,FALSE))</f>
        <v>1.4233289759192966</v>
      </c>
      <c r="AM355" s="397" t="str">
        <f t="shared" si="5"/>
        <v>$/kg (2016)</v>
      </c>
    </row>
    <row r="356" spans="1:39">
      <c r="A356" s="259" t="s">
        <v>1445</v>
      </c>
      <c r="B356" s="260"/>
      <c r="C356" s="351"/>
      <c r="D356" s="351"/>
      <c r="E356" s="260">
        <v>100</v>
      </c>
      <c r="F356" s="260"/>
      <c r="G356" s="351"/>
      <c r="H356" s="351"/>
      <c r="I356" s="262"/>
      <c r="J356" s="351"/>
      <c r="K356" s="351"/>
      <c r="L356" s="351"/>
      <c r="M356" s="351"/>
      <c r="N356" s="351"/>
      <c r="O356" s="351"/>
      <c r="P356" s="261">
        <v>0.48499999999999999</v>
      </c>
      <c r="Q356" s="260">
        <v>1</v>
      </c>
      <c r="R356" s="260" t="s">
        <v>20</v>
      </c>
      <c r="S356" s="260">
        <v>2007</v>
      </c>
      <c r="T356" s="260" t="s">
        <v>161</v>
      </c>
      <c r="U356" s="386">
        <v>42653</v>
      </c>
      <c r="V356" s="387"/>
      <c r="W356" s="354">
        <f>COUNT(RawMaterials[[#This Row],[Lab Quantity 1]:[Lab Quantity 4]])</f>
        <v>0</v>
      </c>
      <c r="X35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6" s="392" t="e">
        <f>RawMaterials[[#This Row],[Lab Price 1]]/RawMaterials[[#This Row],[Lab Q Model Units 1]]</f>
        <v>#N/A</v>
      </c>
      <c r="AC356" s="392" t="e">
        <f>RawMaterials[[#This Row],[Lab Price 2]]/RawMaterials[[#This Row],[Lab Q Model Units 2]]</f>
        <v>#N/A</v>
      </c>
      <c r="AD356" s="392" t="e">
        <f>RawMaterials[[#This Row],[Lab Price 3]]/RawMaterials[[#This Row],[Lab Q Model Units 3]]</f>
        <v>#N/A</v>
      </c>
      <c r="AE356" s="392" t="e">
        <f>RawMaterials[[#This Row],[Lab Price 4]]/RawMaterials[[#This Row],[Lab Q Model Units 4]]</f>
        <v>#N/A</v>
      </c>
      <c r="AF356" s="392" t="str">
        <f ca="1">IF(RawMaterials[[#This Row],[Lab Quote Count]]&gt;1,SLOPE(LOG(INDIRECT("RawMaterials[@[Lab Unit P 1]:[Lab Unit P "&amp;RawMaterials[[#This Row],[Lab Quote Count]]&amp;"]]")),LOG(INDIRECT("RawMaterials[@[Lab Q Model Units 1]:[Lab Q Model Units "&amp;RawMaterials[[#This Row],[Lab Quote Count]]&amp;"]]"))),"")</f>
        <v/>
      </c>
      <c r="AG356" s="392" t="str">
        <f ca="1">IF(RawMaterials[[#This Row],[Lab Quote Count]]&gt;1,INTERCEPT(LOG(INDIRECT("RawMaterials[@[Lab Unit P 1]:[Lab Unit P "&amp;RawMaterials[[#This Row],[Lab Quote Count]]&amp;"]]")),LOG(INDIRECT("RawMaterials[@[Lab Q Model Units 1]:[Lab Q Model Units "&amp;RawMaterials[[#This Row],[Lab Quote Count]]&amp;"]]"))),"")</f>
        <v/>
      </c>
      <c r="AH356" s="393" t="str">
        <f>IF(RawMaterials[[#This Row],[Material Type]]="Metal Precursor","D13",IF(RawMaterials[[#This Row],[Material Type]]="Ligand","D13","D12"))</f>
        <v>D12</v>
      </c>
      <c r="AI356" s="394" t="str">
        <f ca="1">IF(RawMaterials[[#This Row],[Lab Quote Count]]&gt;1,10^RawMaterials[[#This Row],[Lab Log-Log Intercept]]*INDIRECT(RawMaterials[[#This Row],[Basis Cell]])^RawMaterials[[#This Row],[Lab Log-Log Slope]],"&gt;&gt;&gt; Enter 2 or more lab quotes &lt;&lt;&lt;")</f>
        <v>&gt;&gt;&gt; Enter 2 or more lab quotes &lt;&lt;&lt;</v>
      </c>
      <c r="AJ35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1.0692419715966561</v>
      </c>
      <c r="AL356" s="396">
        <f>IF(ISTEXT(RawMaterials[[#This Row],[Unit price in quote year]]),"Check calcs",RawMaterials[[#This Row],[Unit price in quote year]]/VLOOKUP(RawMaterials[[#This Row],[Quote Year]],ChemPPI[],14,FALSE)*VLOOKUP(BasisYear,ChemPPI[],14,FALSE))</f>
        <v>1.404505703602968</v>
      </c>
      <c r="AM356" s="397" t="str">
        <f t="shared" si="5"/>
        <v>$/kg (2016)</v>
      </c>
    </row>
    <row r="357" spans="1:39">
      <c r="A357" s="259" t="s">
        <v>1446</v>
      </c>
      <c r="B357" s="260"/>
      <c r="C357" s="351"/>
      <c r="D357" s="351"/>
      <c r="E357" s="260">
        <v>100</v>
      </c>
      <c r="F357" s="260"/>
      <c r="G357" s="351"/>
      <c r="H357" s="351"/>
      <c r="I357" s="262"/>
      <c r="J357" s="351"/>
      <c r="K357" s="351"/>
      <c r="L357" s="351"/>
      <c r="M357" s="351"/>
      <c r="N357" s="351"/>
      <c r="O357" s="351"/>
      <c r="P357" s="261">
        <v>0.67500000000000004</v>
      </c>
      <c r="Q357" s="260">
        <v>1</v>
      </c>
      <c r="R357" s="260" t="s">
        <v>20</v>
      </c>
      <c r="S357" s="260">
        <v>2008</v>
      </c>
      <c r="T357" s="260" t="s">
        <v>161</v>
      </c>
      <c r="U357" s="386">
        <v>42653</v>
      </c>
      <c r="V357" s="387"/>
      <c r="W357" s="354">
        <f>COUNT(RawMaterials[[#This Row],[Lab Quantity 1]:[Lab Quantity 4]])</f>
        <v>0</v>
      </c>
      <c r="X35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7" s="392" t="e">
        <f>RawMaterials[[#This Row],[Lab Price 1]]/RawMaterials[[#This Row],[Lab Q Model Units 1]]</f>
        <v>#N/A</v>
      </c>
      <c r="AC357" s="392" t="e">
        <f>RawMaterials[[#This Row],[Lab Price 2]]/RawMaterials[[#This Row],[Lab Q Model Units 2]]</f>
        <v>#N/A</v>
      </c>
      <c r="AD357" s="392" t="e">
        <f>RawMaterials[[#This Row],[Lab Price 3]]/RawMaterials[[#This Row],[Lab Q Model Units 3]]</f>
        <v>#N/A</v>
      </c>
      <c r="AE357" s="392" t="e">
        <f>RawMaterials[[#This Row],[Lab Price 4]]/RawMaterials[[#This Row],[Lab Q Model Units 4]]</f>
        <v>#N/A</v>
      </c>
      <c r="AF357" s="392" t="str">
        <f ca="1">IF(RawMaterials[[#This Row],[Lab Quote Count]]&gt;1,SLOPE(LOG(INDIRECT("RawMaterials[@[Lab Unit P 1]:[Lab Unit P "&amp;RawMaterials[[#This Row],[Lab Quote Count]]&amp;"]]")),LOG(INDIRECT("RawMaterials[@[Lab Q Model Units 1]:[Lab Q Model Units "&amp;RawMaterials[[#This Row],[Lab Quote Count]]&amp;"]]"))),"")</f>
        <v/>
      </c>
      <c r="AG357" s="392" t="str">
        <f ca="1">IF(RawMaterials[[#This Row],[Lab Quote Count]]&gt;1,INTERCEPT(LOG(INDIRECT("RawMaterials[@[Lab Unit P 1]:[Lab Unit P "&amp;RawMaterials[[#This Row],[Lab Quote Count]]&amp;"]]")),LOG(INDIRECT("RawMaterials[@[Lab Q Model Units 1]:[Lab Q Model Units "&amp;RawMaterials[[#This Row],[Lab Quote Count]]&amp;"]]"))),"")</f>
        <v/>
      </c>
      <c r="AH357" s="393" t="str">
        <f>IF(RawMaterials[[#This Row],[Material Type]]="Metal Precursor","D13",IF(RawMaterials[[#This Row],[Material Type]]="Ligand","D13","D12"))</f>
        <v>D12</v>
      </c>
      <c r="AI357" s="394" t="str">
        <f ca="1">IF(RawMaterials[[#This Row],[Lab Quote Count]]&gt;1,10^RawMaterials[[#This Row],[Lab Log-Log Intercept]]*INDIRECT(RawMaterials[[#This Row],[Basis Cell]])^RawMaterials[[#This Row],[Lab Log-Log Slope]],"&gt;&gt;&gt; Enter 2 or more lab quotes &lt;&lt;&lt;")</f>
        <v>&gt;&gt;&gt; Enter 2 or more lab quotes &lt;&lt;&lt;</v>
      </c>
      <c r="AJ35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1.4881202697479237</v>
      </c>
      <c r="AL357" s="396">
        <f>IF(ISTEXT(RawMaterials[[#This Row],[Unit price in quote year]]),"Check calcs",RawMaterials[[#This Row],[Unit price in quote year]]/VLOOKUP(RawMaterials[[#This Row],[Quote Year]],ChemPPI[],14,FALSE)*VLOOKUP(BasisYear,ChemPPI[],14,FALSE))</f>
        <v>1.741728350774528</v>
      </c>
      <c r="AM357" s="397" t="str">
        <f t="shared" si="5"/>
        <v>$/kg (2016)</v>
      </c>
    </row>
    <row r="358" spans="1:39">
      <c r="A358" s="259" t="s">
        <v>1447</v>
      </c>
      <c r="B358" s="260"/>
      <c r="C358" s="351"/>
      <c r="D358" s="351"/>
      <c r="E358" s="260">
        <v>100</v>
      </c>
      <c r="F358" s="260"/>
      <c r="G358" s="351"/>
      <c r="H358" s="351"/>
      <c r="I358" s="262"/>
      <c r="J358" s="351"/>
      <c r="K358" s="351"/>
      <c r="L358" s="351"/>
      <c r="M358" s="351"/>
      <c r="N358" s="351"/>
      <c r="O358" s="351"/>
      <c r="P358" s="261">
        <v>0.57999999999999996</v>
      </c>
      <c r="Q358" s="260">
        <v>1</v>
      </c>
      <c r="R358" s="260" t="s">
        <v>20</v>
      </c>
      <c r="S358" s="260">
        <v>2008</v>
      </c>
      <c r="T358" s="260" t="s">
        <v>161</v>
      </c>
      <c r="U358" s="386">
        <v>42653</v>
      </c>
      <c r="V358" s="387"/>
      <c r="W358" s="354">
        <f>COUNT(RawMaterials[[#This Row],[Lab Quantity 1]:[Lab Quantity 4]])</f>
        <v>0</v>
      </c>
      <c r="X35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8" s="392" t="e">
        <f>RawMaterials[[#This Row],[Lab Price 1]]/RawMaterials[[#This Row],[Lab Q Model Units 1]]</f>
        <v>#N/A</v>
      </c>
      <c r="AC358" s="392" t="e">
        <f>RawMaterials[[#This Row],[Lab Price 2]]/RawMaterials[[#This Row],[Lab Q Model Units 2]]</f>
        <v>#N/A</v>
      </c>
      <c r="AD358" s="392" t="e">
        <f>RawMaterials[[#This Row],[Lab Price 3]]/RawMaterials[[#This Row],[Lab Q Model Units 3]]</f>
        <v>#N/A</v>
      </c>
      <c r="AE358" s="392" t="e">
        <f>RawMaterials[[#This Row],[Lab Price 4]]/RawMaterials[[#This Row],[Lab Q Model Units 4]]</f>
        <v>#N/A</v>
      </c>
      <c r="AF358" s="392" t="str">
        <f ca="1">IF(RawMaterials[[#This Row],[Lab Quote Count]]&gt;1,SLOPE(LOG(INDIRECT("RawMaterials[@[Lab Unit P 1]:[Lab Unit P "&amp;RawMaterials[[#This Row],[Lab Quote Count]]&amp;"]]")),LOG(INDIRECT("RawMaterials[@[Lab Q Model Units 1]:[Lab Q Model Units "&amp;RawMaterials[[#This Row],[Lab Quote Count]]&amp;"]]"))),"")</f>
        <v/>
      </c>
      <c r="AG358" s="392" t="str">
        <f ca="1">IF(RawMaterials[[#This Row],[Lab Quote Count]]&gt;1,INTERCEPT(LOG(INDIRECT("RawMaterials[@[Lab Unit P 1]:[Lab Unit P "&amp;RawMaterials[[#This Row],[Lab Quote Count]]&amp;"]]")),LOG(INDIRECT("RawMaterials[@[Lab Q Model Units 1]:[Lab Q Model Units "&amp;RawMaterials[[#This Row],[Lab Quote Count]]&amp;"]]"))),"")</f>
        <v/>
      </c>
      <c r="AH358" s="393" t="str">
        <f>IF(RawMaterials[[#This Row],[Material Type]]="Metal Precursor","D13",IF(RawMaterials[[#This Row],[Material Type]]="Ligand","D13","D12"))</f>
        <v>D12</v>
      </c>
      <c r="AI358" s="394" t="str">
        <f ca="1">IF(RawMaterials[[#This Row],[Lab Quote Count]]&gt;1,10^RawMaterials[[#This Row],[Lab Log-Log Intercept]]*INDIRECT(RawMaterials[[#This Row],[Basis Cell]])^RawMaterials[[#This Row],[Lab Log-Log Slope]],"&gt;&gt;&gt; Enter 2 or more lab quotes &lt;&lt;&lt;")</f>
        <v>&gt;&gt;&gt; Enter 2 or more lab quotes &lt;&lt;&lt;</v>
      </c>
      <c r="AJ35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1.2786811206722899</v>
      </c>
      <c r="AL358" s="396">
        <f>IF(ISTEXT(RawMaterials[[#This Row],[Unit price in quote year]]),"Check calcs",RawMaterials[[#This Row],[Unit price in quote year]]/VLOOKUP(RawMaterials[[#This Row],[Quote Year]],ChemPPI[],14,FALSE)*VLOOKUP(BasisYear,ChemPPI[],14,FALSE))</f>
        <v>1.4965962125173722</v>
      </c>
      <c r="AM358" s="397" t="str">
        <f t="shared" si="5"/>
        <v>$/kg (2016)</v>
      </c>
    </row>
    <row r="359" spans="1:39">
      <c r="A359" s="352" t="s">
        <v>183</v>
      </c>
      <c r="B359" s="354"/>
      <c r="C359" s="353"/>
      <c r="D359" s="353"/>
      <c r="E359" s="354">
        <v>100</v>
      </c>
      <c r="F359" s="354"/>
      <c r="G359" s="353"/>
      <c r="H359" s="353"/>
      <c r="I359" s="355"/>
      <c r="J359" s="353"/>
      <c r="K359" s="353"/>
      <c r="L359" s="353"/>
      <c r="M359" s="353"/>
      <c r="N359" s="353"/>
      <c r="O359" s="353"/>
      <c r="P359" s="356">
        <v>975</v>
      </c>
      <c r="Q359" s="260">
        <v>1</v>
      </c>
      <c r="R359" s="354" t="s">
        <v>62</v>
      </c>
      <c r="S359" s="354">
        <v>2018</v>
      </c>
      <c r="T359" s="354" t="s">
        <v>1094</v>
      </c>
      <c r="U359" s="400">
        <v>43339</v>
      </c>
      <c r="V359" s="387" t="s">
        <v>1705</v>
      </c>
      <c r="W359" s="354">
        <f>COUNT(RawMaterials[[#This Row],[Lab Quantity 1]:[Lab Quantity 4]])</f>
        <v>0</v>
      </c>
      <c r="X35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9" s="392" t="e">
        <f>RawMaterials[[#This Row],[Lab Price 1]]/RawMaterials[[#This Row],[Lab Q Model Units 1]]</f>
        <v>#N/A</v>
      </c>
      <c r="AC359" s="392" t="e">
        <f>RawMaterials[[#This Row],[Lab Price 2]]/RawMaterials[[#This Row],[Lab Q Model Units 2]]</f>
        <v>#N/A</v>
      </c>
      <c r="AD359" s="392" t="e">
        <f>RawMaterials[[#This Row],[Lab Price 3]]/RawMaterials[[#This Row],[Lab Q Model Units 3]]</f>
        <v>#N/A</v>
      </c>
      <c r="AE359" s="392" t="e">
        <f>RawMaterials[[#This Row],[Lab Price 4]]/RawMaterials[[#This Row],[Lab Q Model Units 4]]</f>
        <v>#N/A</v>
      </c>
      <c r="AF359" s="392" t="str">
        <f ca="1">IF(RawMaterials[[#This Row],[Lab Quote Count]]&gt;1,SLOPE(LOG(INDIRECT("RawMaterials[@[Lab Unit P 1]:[Lab Unit P "&amp;RawMaterials[[#This Row],[Lab Quote Count]]&amp;"]]")),LOG(INDIRECT("RawMaterials[@[Lab Q Model Units 1]:[Lab Q Model Units "&amp;RawMaterials[[#This Row],[Lab Quote Count]]&amp;"]]"))),"")</f>
        <v/>
      </c>
      <c r="AG359" s="392" t="str">
        <f ca="1">IF(RawMaterials[[#This Row],[Lab Quote Count]]&gt;1,INTERCEPT(LOG(INDIRECT("RawMaterials[@[Lab Unit P 1]:[Lab Unit P "&amp;RawMaterials[[#This Row],[Lab Quote Count]]&amp;"]]")),LOG(INDIRECT("RawMaterials[@[Lab Q Model Units 1]:[Lab Q Model Units "&amp;RawMaterials[[#This Row],[Lab Quote Count]]&amp;"]]"))),"")</f>
        <v/>
      </c>
      <c r="AH359" s="393" t="str">
        <f>IF(RawMaterials[[#This Row],[Material Type]]="Metal Precursor","D13",IF(RawMaterials[[#This Row],[Material Type]]="Ligand","D13","D12"))</f>
        <v>D12</v>
      </c>
      <c r="AI359" s="394" t="str">
        <f ca="1">IF(RawMaterials[[#This Row],[Lab Quote Count]]&gt;1,10^RawMaterials[[#This Row],[Lab Log-Log Intercept]]*INDIRECT(RawMaterials[[#This Row],[Basis Cell]])^RawMaterials[[#This Row],[Lab Log-Log Slope]],"&gt;&gt;&gt; Enter 2 or more lab quotes &lt;&lt;&lt;")</f>
        <v>&gt;&gt;&gt; Enter 2 or more lab quotes &lt;&lt;&lt;</v>
      </c>
      <c r="AJ35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35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31346.977904412284</v>
      </c>
      <c r="AL359" s="396">
        <f>IF(ISTEXT(RawMaterials[[#This Row],[Unit price in quote year]]),"Check calcs",RawMaterials[[#This Row],[Unit price in quote year]]/VLOOKUP(RawMaterials[[#This Row],[Quote Year]],ChemPPI[],14,FALSE)*VLOOKUP(BasisYear,ChemPPI[],14,FALSE))</f>
        <v>28855.892926052522</v>
      </c>
      <c r="AM359" s="397" t="str">
        <f t="shared" si="5"/>
        <v>$/kg (2016)</v>
      </c>
    </row>
    <row r="360" spans="1:39">
      <c r="A360" s="259" t="s">
        <v>1448</v>
      </c>
      <c r="B360" s="260"/>
      <c r="C360" s="351"/>
      <c r="D360" s="351"/>
      <c r="E360" s="260">
        <v>100</v>
      </c>
      <c r="F360" s="260"/>
      <c r="G360" s="351"/>
      <c r="H360" s="351"/>
      <c r="I360" s="262"/>
      <c r="J360" s="351"/>
      <c r="K360" s="351"/>
      <c r="L360" s="351"/>
      <c r="M360" s="351"/>
      <c r="N360" s="351"/>
      <c r="O360" s="351"/>
      <c r="P360" s="261">
        <v>0.48499999999999999</v>
      </c>
      <c r="Q360" s="260">
        <v>1</v>
      </c>
      <c r="R360" s="260" t="s">
        <v>20</v>
      </c>
      <c r="S360" s="260">
        <v>2006</v>
      </c>
      <c r="T360" s="260" t="s">
        <v>161</v>
      </c>
      <c r="U360" s="386">
        <v>42653</v>
      </c>
      <c r="V360" s="387"/>
      <c r="W360" s="354">
        <f>COUNT(RawMaterials[[#This Row],[Lab Quantity 1]:[Lab Quantity 4]])</f>
        <v>0</v>
      </c>
      <c r="X36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0" s="392" t="e">
        <f>RawMaterials[[#This Row],[Lab Price 1]]/RawMaterials[[#This Row],[Lab Q Model Units 1]]</f>
        <v>#N/A</v>
      </c>
      <c r="AC360" s="392" t="e">
        <f>RawMaterials[[#This Row],[Lab Price 2]]/RawMaterials[[#This Row],[Lab Q Model Units 2]]</f>
        <v>#N/A</v>
      </c>
      <c r="AD360" s="392" t="e">
        <f>RawMaterials[[#This Row],[Lab Price 3]]/RawMaterials[[#This Row],[Lab Q Model Units 3]]</f>
        <v>#N/A</v>
      </c>
      <c r="AE360" s="392" t="e">
        <f>RawMaterials[[#This Row],[Lab Price 4]]/RawMaterials[[#This Row],[Lab Q Model Units 4]]</f>
        <v>#N/A</v>
      </c>
      <c r="AF360" s="392" t="str">
        <f ca="1">IF(RawMaterials[[#This Row],[Lab Quote Count]]&gt;1,SLOPE(LOG(INDIRECT("RawMaterials[@[Lab Unit P 1]:[Lab Unit P "&amp;RawMaterials[[#This Row],[Lab Quote Count]]&amp;"]]")),LOG(INDIRECT("RawMaterials[@[Lab Q Model Units 1]:[Lab Q Model Units "&amp;RawMaterials[[#This Row],[Lab Quote Count]]&amp;"]]"))),"")</f>
        <v/>
      </c>
      <c r="AG360" s="392" t="str">
        <f ca="1">IF(RawMaterials[[#This Row],[Lab Quote Count]]&gt;1,INTERCEPT(LOG(INDIRECT("RawMaterials[@[Lab Unit P 1]:[Lab Unit P "&amp;RawMaterials[[#This Row],[Lab Quote Count]]&amp;"]]")),LOG(INDIRECT("RawMaterials[@[Lab Q Model Units 1]:[Lab Q Model Units "&amp;RawMaterials[[#This Row],[Lab Quote Count]]&amp;"]]"))),"")</f>
        <v/>
      </c>
      <c r="AH360" s="393" t="str">
        <f>IF(RawMaterials[[#This Row],[Material Type]]="Metal Precursor","D13",IF(RawMaterials[[#This Row],[Material Type]]="Ligand","D13","D12"))</f>
        <v>D12</v>
      </c>
      <c r="AI360" s="394" t="str">
        <f ca="1">IF(RawMaterials[[#This Row],[Lab Quote Count]]&gt;1,10^RawMaterials[[#This Row],[Lab Log-Log Intercept]]*INDIRECT(RawMaterials[[#This Row],[Basis Cell]])^RawMaterials[[#This Row],[Lab Log-Log Slope]],"&gt;&gt;&gt; Enter 2 or more lab quotes &lt;&lt;&lt;")</f>
        <v>&gt;&gt;&gt; Enter 2 or more lab quotes &lt;&lt;&lt;</v>
      </c>
      <c r="AJ36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1.0692419715966561</v>
      </c>
      <c r="AL360" s="396">
        <f>IF(ISTEXT(RawMaterials[[#This Row],[Unit price in quote year]]),"Check calcs",RawMaterials[[#This Row],[Unit price in quote year]]/VLOOKUP(RawMaterials[[#This Row],[Quote Year]],ChemPPI[],14,FALSE)*VLOOKUP(BasisYear,ChemPPI[],14,FALSE))</f>
        <v>1.4511917205968847</v>
      </c>
      <c r="AM360" s="397" t="str">
        <f t="shared" si="5"/>
        <v>$/kg (2016)</v>
      </c>
    </row>
    <row r="361" spans="1:39">
      <c r="A361" s="259" t="s">
        <v>1449</v>
      </c>
      <c r="B361" s="260"/>
      <c r="C361" s="351"/>
      <c r="D361" s="351"/>
      <c r="E361" s="260">
        <v>100</v>
      </c>
      <c r="F361" s="260"/>
      <c r="G361" s="351"/>
      <c r="H361" s="351"/>
      <c r="I361" s="262"/>
      <c r="J361" s="351"/>
      <c r="K361" s="351"/>
      <c r="L361" s="351"/>
      <c r="M361" s="351"/>
      <c r="N361" s="351"/>
      <c r="O361" s="351"/>
      <c r="P361" s="261">
        <v>0.5</v>
      </c>
      <c r="Q361" s="260">
        <v>1</v>
      </c>
      <c r="R361" s="260" t="s">
        <v>20</v>
      </c>
      <c r="S361" s="260">
        <v>2006</v>
      </c>
      <c r="T361" s="260" t="s">
        <v>161</v>
      </c>
      <c r="U361" s="386">
        <v>42653</v>
      </c>
      <c r="V361" s="387"/>
      <c r="W361" s="354">
        <f>COUNT(RawMaterials[[#This Row],[Lab Quantity 1]:[Lab Quantity 4]])</f>
        <v>0</v>
      </c>
      <c r="X36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1" s="392" t="e">
        <f>RawMaterials[[#This Row],[Lab Price 1]]/RawMaterials[[#This Row],[Lab Q Model Units 1]]</f>
        <v>#N/A</v>
      </c>
      <c r="AC361" s="392" t="e">
        <f>RawMaterials[[#This Row],[Lab Price 2]]/RawMaterials[[#This Row],[Lab Q Model Units 2]]</f>
        <v>#N/A</v>
      </c>
      <c r="AD361" s="392" t="e">
        <f>RawMaterials[[#This Row],[Lab Price 3]]/RawMaterials[[#This Row],[Lab Q Model Units 3]]</f>
        <v>#N/A</v>
      </c>
      <c r="AE361" s="392" t="e">
        <f>RawMaterials[[#This Row],[Lab Price 4]]/RawMaterials[[#This Row],[Lab Q Model Units 4]]</f>
        <v>#N/A</v>
      </c>
      <c r="AF361" s="392" t="str">
        <f ca="1">IF(RawMaterials[[#This Row],[Lab Quote Count]]&gt;1,SLOPE(LOG(INDIRECT("RawMaterials[@[Lab Unit P 1]:[Lab Unit P "&amp;RawMaterials[[#This Row],[Lab Quote Count]]&amp;"]]")),LOG(INDIRECT("RawMaterials[@[Lab Q Model Units 1]:[Lab Q Model Units "&amp;RawMaterials[[#This Row],[Lab Quote Count]]&amp;"]]"))),"")</f>
        <v/>
      </c>
      <c r="AG361" s="392" t="str">
        <f ca="1">IF(RawMaterials[[#This Row],[Lab Quote Count]]&gt;1,INTERCEPT(LOG(INDIRECT("RawMaterials[@[Lab Unit P 1]:[Lab Unit P "&amp;RawMaterials[[#This Row],[Lab Quote Count]]&amp;"]]")),LOG(INDIRECT("RawMaterials[@[Lab Q Model Units 1]:[Lab Q Model Units "&amp;RawMaterials[[#This Row],[Lab Quote Count]]&amp;"]]"))),"")</f>
        <v/>
      </c>
      <c r="AH361" s="393" t="str">
        <f>IF(RawMaterials[[#This Row],[Material Type]]="Metal Precursor","D13",IF(RawMaterials[[#This Row],[Material Type]]="Ligand","D13","D12"))</f>
        <v>D12</v>
      </c>
      <c r="AI361" s="394" t="str">
        <f ca="1">IF(RawMaterials[[#This Row],[Lab Quote Count]]&gt;1,10^RawMaterials[[#This Row],[Lab Log-Log Intercept]]*INDIRECT(RawMaterials[[#This Row],[Basis Cell]])^RawMaterials[[#This Row],[Lab Log-Log Slope]],"&gt;&gt;&gt; Enter 2 or more lab quotes &lt;&lt;&lt;")</f>
        <v>&gt;&gt;&gt; Enter 2 or more lab quotes &lt;&lt;&lt;</v>
      </c>
      <c r="AJ36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1.1023113109243878</v>
      </c>
      <c r="AL361" s="396">
        <f>IF(ISTEXT(RawMaterials[[#This Row],[Unit price in quote year]]),"Check calcs",RawMaterials[[#This Row],[Unit price in quote year]]/VLOOKUP(RawMaterials[[#This Row],[Quote Year]],ChemPPI[],14,FALSE)*VLOOKUP(BasisYear,ChemPPI[],14,FALSE))</f>
        <v>1.4960739387596749</v>
      </c>
      <c r="AM361" s="397" t="str">
        <f t="shared" si="5"/>
        <v>$/kg (2016)</v>
      </c>
    </row>
    <row r="362" spans="1:39">
      <c r="A362" s="259" t="s">
        <v>1450</v>
      </c>
      <c r="B362" s="260"/>
      <c r="C362" s="351"/>
      <c r="D362" s="351"/>
      <c r="E362" s="260">
        <v>100</v>
      </c>
      <c r="F362" s="260"/>
      <c r="G362" s="351"/>
      <c r="H362" s="351"/>
      <c r="I362" s="262"/>
      <c r="J362" s="351"/>
      <c r="K362" s="351"/>
      <c r="L362" s="351"/>
      <c r="M362" s="351"/>
      <c r="N362" s="351"/>
      <c r="O362" s="351"/>
      <c r="P362" s="261">
        <v>0.66500000000000004</v>
      </c>
      <c r="Q362" s="260">
        <v>1</v>
      </c>
      <c r="R362" s="260" t="s">
        <v>20</v>
      </c>
      <c r="S362" s="260">
        <v>2008</v>
      </c>
      <c r="T362" s="260" t="s">
        <v>161</v>
      </c>
      <c r="U362" s="386">
        <v>42653</v>
      </c>
      <c r="V362" s="387"/>
      <c r="W362" s="354">
        <f>COUNT(RawMaterials[[#This Row],[Lab Quantity 1]:[Lab Quantity 4]])</f>
        <v>0</v>
      </c>
      <c r="X36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2" s="392" t="e">
        <f>RawMaterials[[#This Row],[Lab Price 1]]/RawMaterials[[#This Row],[Lab Q Model Units 1]]</f>
        <v>#N/A</v>
      </c>
      <c r="AC362" s="392" t="e">
        <f>RawMaterials[[#This Row],[Lab Price 2]]/RawMaterials[[#This Row],[Lab Q Model Units 2]]</f>
        <v>#N/A</v>
      </c>
      <c r="AD362" s="392" t="e">
        <f>RawMaterials[[#This Row],[Lab Price 3]]/RawMaterials[[#This Row],[Lab Q Model Units 3]]</f>
        <v>#N/A</v>
      </c>
      <c r="AE362" s="392" t="e">
        <f>RawMaterials[[#This Row],[Lab Price 4]]/RawMaterials[[#This Row],[Lab Q Model Units 4]]</f>
        <v>#N/A</v>
      </c>
      <c r="AF362" s="392" t="str">
        <f ca="1">IF(RawMaterials[[#This Row],[Lab Quote Count]]&gt;1,SLOPE(LOG(INDIRECT("RawMaterials[@[Lab Unit P 1]:[Lab Unit P "&amp;RawMaterials[[#This Row],[Lab Quote Count]]&amp;"]]")),LOG(INDIRECT("RawMaterials[@[Lab Q Model Units 1]:[Lab Q Model Units "&amp;RawMaterials[[#This Row],[Lab Quote Count]]&amp;"]]"))),"")</f>
        <v/>
      </c>
      <c r="AG362" s="392" t="str">
        <f ca="1">IF(RawMaterials[[#This Row],[Lab Quote Count]]&gt;1,INTERCEPT(LOG(INDIRECT("RawMaterials[@[Lab Unit P 1]:[Lab Unit P "&amp;RawMaterials[[#This Row],[Lab Quote Count]]&amp;"]]")),LOG(INDIRECT("RawMaterials[@[Lab Q Model Units 1]:[Lab Q Model Units "&amp;RawMaterials[[#This Row],[Lab Quote Count]]&amp;"]]"))),"")</f>
        <v/>
      </c>
      <c r="AH362" s="393" t="str">
        <f>IF(RawMaterials[[#This Row],[Material Type]]="Metal Precursor","D13",IF(RawMaterials[[#This Row],[Material Type]]="Ligand","D13","D12"))</f>
        <v>D12</v>
      </c>
      <c r="AI362" s="394" t="str">
        <f ca="1">IF(RawMaterials[[#This Row],[Lab Quote Count]]&gt;1,10^RawMaterials[[#This Row],[Lab Log-Log Intercept]]*INDIRECT(RawMaterials[[#This Row],[Basis Cell]])^RawMaterials[[#This Row],[Lab Log-Log Slope]],"&gt;&gt;&gt; Enter 2 or more lab quotes &lt;&lt;&lt;")</f>
        <v>&gt;&gt;&gt; Enter 2 or more lab quotes &lt;&lt;&lt;</v>
      </c>
      <c r="AJ36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1.4660740435294359</v>
      </c>
      <c r="AL362" s="396">
        <f>IF(ISTEXT(RawMaterials[[#This Row],[Unit price in quote year]]),"Check calcs",RawMaterials[[#This Row],[Unit price in quote year]]/VLOOKUP(RawMaterials[[#This Row],[Quote Year]],ChemPPI[],14,FALSE)*VLOOKUP(BasisYear,ChemPPI[],14,FALSE))</f>
        <v>1.7159249678000907</v>
      </c>
      <c r="AM362" s="397" t="str">
        <f t="shared" si="5"/>
        <v>$/kg (2016)</v>
      </c>
    </row>
    <row r="363" spans="1:39">
      <c r="A363" s="259" t="s">
        <v>1451</v>
      </c>
      <c r="B363" s="260"/>
      <c r="C363" s="351"/>
      <c r="D363" s="351"/>
      <c r="E363" s="260">
        <v>100</v>
      </c>
      <c r="F363" s="260"/>
      <c r="G363" s="351"/>
      <c r="H363" s="351"/>
      <c r="I363" s="262"/>
      <c r="J363" s="351"/>
      <c r="K363" s="351"/>
      <c r="L363" s="351"/>
      <c r="M363" s="351"/>
      <c r="N363" s="351"/>
      <c r="O363" s="351"/>
      <c r="P363" s="261">
        <v>0.51500000000000001</v>
      </c>
      <c r="Q363" s="260">
        <v>1</v>
      </c>
      <c r="R363" s="260" t="s">
        <v>20</v>
      </c>
      <c r="S363" s="260">
        <v>2008</v>
      </c>
      <c r="T363" s="260" t="s">
        <v>161</v>
      </c>
      <c r="U363" s="386">
        <v>42653</v>
      </c>
      <c r="V363" s="387"/>
      <c r="W363" s="354">
        <f>COUNT(RawMaterials[[#This Row],[Lab Quantity 1]:[Lab Quantity 4]])</f>
        <v>0</v>
      </c>
      <c r="X36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3" s="392" t="e">
        <f>RawMaterials[[#This Row],[Lab Price 1]]/RawMaterials[[#This Row],[Lab Q Model Units 1]]</f>
        <v>#N/A</v>
      </c>
      <c r="AC363" s="392" t="e">
        <f>RawMaterials[[#This Row],[Lab Price 2]]/RawMaterials[[#This Row],[Lab Q Model Units 2]]</f>
        <v>#N/A</v>
      </c>
      <c r="AD363" s="392" t="e">
        <f>RawMaterials[[#This Row],[Lab Price 3]]/RawMaterials[[#This Row],[Lab Q Model Units 3]]</f>
        <v>#N/A</v>
      </c>
      <c r="AE363" s="392" t="e">
        <f>RawMaterials[[#This Row],[Lab Price 4]]/RawMaterials[[#This Row],[Lab Q Model Units 4]]</f>
        <v>#N/A</v>
      </c>
      <c r="AF363" s="392" t="str">
        <f ca="1">IF(RawMaterials[[#This Row],[Lab Quote Count]]&gt;1,SLOPE(LOG(INDIRECT("RawMaterials[@[Lab Unit P 1]:[Lab Unit P "&amp;RawMaterials[[#This Row],[Lab Quote Count]]&amp;"]]")),LOG(INDIRECT("RawMaterials[@[Lab Q Model Units 1]:[Lab Q Model Units "&amp;RawMaterials[[#This Row],[Lab Quote Count]]&amp;"]]"))),"")</f>
        <v/>
      </c>
      <c r="AG363" s="392" t="str">
        <f ca="1">IF(RawMaterials[[#This Row],[Lab Quote Count]]&gt;1,INTERCEPT(LOG(INDIRECT("RawMaterials[@[Lab Unit P 1]:[Lab Unit P "&amp;RawMaterials[[#This Row],[Lab Quote Count]]&amp;"]]")),LOG(INDIRECT("RawMaterials[@[Lab Q Model Units 1]:[Lab Q Model Units "&amp;RawMaterials[[#This Row],[Lab Quote Count]]&amp;"]]"))),"")</f>
        <v/>
      </c>
      <c r="AH363" s="393" t="str">
        <f>IF(RawMaterials[[#This Row],[Material Type]]="Metal Precursor","D13",IF(RawMaterials[[#This Row],[Material Type]]="Ligand","D13","D12"))</f>
        <v>D12</v>
      </c>
      <c r="AI363" s="394" t="str">
        <f ca="1">IF(RawMaterials[[#This Row],[Lab Quote Count]]&gt;1,10^RawMaterials[[#This Row],[Lab Log-Log Intercept]]*INDIRECT(RawMaterials[[#This Row],[Basis Cell]])^RawMaterials[[#This Row],[Lab Log-Log Slope]],"&gt;&gt;&gt; Enter 2 or more lab quotes &lt;&lt;&lt;")</f>
        <v>&gt;&gt;&gt; Enter 2 or more lab quotes &lt;&lt;&lt;</v>
      </c>
      <c r="AJ36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1.1353806502521195</v>
      </c>
      <c r="AL363" s="396">
        <f>IF(ISTEXT(RawMaterials[[#This Row],[Unit price in quote year]]),"Check calcs",RawMaterials[[#This Row],[Unit price in quote year]]/VLOOKUP(RawMaterials[[#This Row],[Quote Year]],ChemPPI[],14,FALSE)*VLOOKUP(BasisYear,ChemPPI[],14,FALSE))</f>
        <v>1.3288742231835289</v>
      </c>
      <c r="AM363" s="397" t="str">
        <f t="shared" si="5"/>
        <v>$/kg (2016)</v>
      </c>
    </row>
    <row r="364" spans="1:39">
      <c r="A364" s="259" t="s">
        <v>1452</v>
      </c>
      <c r="B364" s="260"/>
      <c r="C364" s="351"/>
      <c r="D364" s="351"/>
      <c r="E364" s="260">
        <v>100</v>
      </c>
      <c r="F364" s="260"/>
      <c r="G364" s="351"/>
      <c r="H364" s="351"/>
      <c r="I364" s="262"/>
      <c r="J364" s="351"/>
      <c r="K364" s="351"/>
      <c r="L364" s="351"/>
      <c r="M364" s="351"/>
      <c r="N364" s="351"/>
      <c r="O364" s="351"/>
      <c r="P364" s="261">
        <v>0.67</v>
      </c>
      <c r="Q364" s="260">
        <v>1</v>
      </c>
      <c r="R364" s="260" t="s">
        <v>20</v>
      </c>
      <c r="S364" s="260">
        <v>2007</v>
      </c>
      <c r="T364" s="260" t="s">
        <v>161</v>
      </c>
      <c r="U364" s="386">
        <v>42653</v>
      </c>
      <c r="V364" s="387"/>
      <c r="W364" s="354">
        <f>COUNT(RawMaterials[[#This Row],[Lab Quantity 1]:[Lab Quantity 4]])</f>
        <v>0</v>
      </c>
      <c r="X36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4" s="392" t="e">
        <f>RawMaterials[[#This Row],[Lab Price 1]]/RawMaterials[[#This Row],[Lab Q Model Units 1]]</f>
        <v>#N/A</v>
      </c>
      <c r="AC364" s="392" t="e">
        <f>RawMaterials[[#This Row],[Lab Price 2]]/RawMaterials[[#This Row],[Lab Q Model Units 2]]</f>
        <v>#N/A</v>
      </c>
      <c r="AD364" s="392" t="e">
        <f>RawMaterials[[#This Row],[Lab Price 3]]/RawMaterials[[#This Row],[Lab Q Model Units 3]]</f>
        <v>#N/A</v>
      </c>
      <c r="AE364" s="392" t="e">
        <f>RawMaterials[[#This Row],[Lab Price 4]]/RawMaterials[[#This Row],[Lab Q Model Units 4]]</f>
        <v>#N/A</v>
      </c>
      <c r="AF364" s="392" t="str">
        <f ca="1">IF(RawMaterials[[#This Row],[Lab Quote Count]]&gt;1,SLOPE(LOG(INDIRECT("RawMaterials[@[Lab Unit P 1]:[Lab Unit P "&amp;RawMaterials[[#This Row],[Lab Quote Count]]&amp;"]]")),LOG(INDIRECT("RawMaterials[@[Lab Q Model Units 1]:[Lab Q Model Units "&amp;RawMaterials[[#This Row],[Lab Quote Count]]&amp;"]]"))),"")</f>
        <v/>
      </c>
      <c r="AG364" s="392" t="str">
        <f ca="1">IF(RawMaterials[[#This Row],[Lab Quote Count]]&gt;1,INTERCEPT(LOG(INDIRECT("RawMaterials[@[Lab Unit P 1]:[Lab Unit P "&amp;RawMaterials[[#This Row],[Lab Quote Count]]&amp;"]]")),LOG(INDIRECT("RawMaterials[@[Lab Q Model Units 1]:[Lab Q Model Units "&amp;RawMaterials[[#This Row],[Lab Quote Count]]&amp;"]]"))),"")</f>
        <v/>
      </c>
      <c r="AH364" s="393" t="str">
        <f>IF(RawMaterials[[#This Row],[Material Type]]="Metal Precursor","D13",IF(RawMaterials[[#This Row],[Material Type]]="Ligand","D13","D12"))</f>
        <v>D12</v>
      </c>
      <c r="AI364" s="394" t="str">
        <f ca="1">IF(RawMaterials[[#This Row],[Lab Quote Count]]&gt;1,10^RawMaterials[[#This Row],[Lab Log-Log Intercept]]*INDIRECT(RawMaterials[[#This Row],[Basis Cell]])^RawMaterials[[#This Row],[Lab Log-Log Slope]],"&gt;&gt;&gt; Enter 2 or more lab quotes &lt;&lt;&lt;")</f>
        <v>&gt;&gt;&gt; Enter 2 or more lab quotes &lt;&lt;&lt;</v>
      </c>
      <c r="AJ36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1.4770971566386799</v>
      </c>
      <c r="AL364" s="396">
        <f>IF(ISTEXT(RawMaterials[[#This Row],[Unit price in quote year]]),"Check calcs",RawMaterials[[#This Row],[Unit price in quote year]]/VLOOKUP(RawMaterials[[#This Row],[Quote Year]],ChemPPI[],14,FALSE)*VLOOKUP(BasisYear,ChemPPI[],14,FALSE))</f>
        <v>1.9402449926061625</v>
      </c>
      <c r="AM364" s="397" t="str">
        <f t="shared" si="5"/>
        <v>$/kg (2016)</v>
      </c>
    </row>
    <row r="365" spans="1:39">
      <c r="A365" s="259" t="s">
        <v>1453</v>
      </c>
      <c r="B365" s="260"/>
      <c r="C365" s="351"/>
      <c r="D365" s="351"/>
      <c r="E365" s="260">
        <v>100</v>
      </c>
      <c r="F365" s="260"/>
      <c r="G365" s="351"/>
      <c r="H365" s="351"/>
      <c r="I365" s="262"/>
      <c r="J365" s="351"/>
      <c r="K365" s="351"/>
      <c r="L365" s="351"/>
      <c r="M365" s="351"/>
      <c r="N365" s="351"/>
      <c r="O365" s="351"/>
      <c r="P365" s="261">
        <v>0.78600000000000003</v>
      </c>
      <c r="Q365" s="260">
        <v>1</v>
      </c>
      <c r="R365" s="260" t="s">
        <v>20</v>
      </c>
      <c r="S365" s="260">
        <v>2006</v>
      </c>
      <c r="T365" s="260" t="s">
        <v>161</v>
      </c>
      <c r="U365" s="386">
        <v>42653</v>
      </c>
      <c r="V365" s="387"/>
      <c r="W365" s="354">
        <f>COUNT(RawMaterials[[#This Row],[Lab Quantity 1]:[Lab Quantity 4]])</f>
        <v>0</v>
      </c>
      <c r="X36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5" s="392" t="e">
        <f>RawMaterials[[#This Row],[Lab Price 1]]/RawMaterials[[#This Row],[Lab Q Model Units 1]]</f>
        <v>#N/A</v>
      </c>
      <c r="AC365" s="392" t="e">
        <f>RawMaterials[[#This Row],[Lab Price 2]]/RawMaterials[[#This Row],[Lab Q Model Units 2]]</f>
        <v>#N/A</v>
      </c>
      <c r="AD365" s="392" t="e">
        <f>RawMaterials[[#This Row],[Lab Price 3]]/RawMaterials[[#This Row],[Lab Q Model Units 3]]</f>
        <v>#N/A</v>
      </c>
      <c r="AE365" s="392" t="e">
        <f>RawMaterials[[#This Row],[Lab Price 4]]/RawMaterials[[#This Row],[Lab Q Model Units 4]]</f>
        <v>#N/A</v>
      </c>
      <c r="AF365" s="392" t="str">
        <f ca="1">IF(RawMaterials[[#This Row],[Lab Quote Count]]&gt;1,SLOPE(LOG(INDIRECT("RawMaterials[@[Lab Unit P 1]:[Lab Unit P "&amp;RawMaterials[[#This Row],[Lab Quote Count]]&amp;"]]")),LOG(INDIRECT("RawMaterials[@[Lab Q Model Units 1]:[Lab Q Model Units "&amp;RawMaterials[[#This Row],[Lab Quote Count]]&amp;"]]"))),"")</f>
        <v/>
      </c>
      <c r="AG365" s="392" t="str">
        <f ca="1">IF(RawMaterials[[#This Row],[Lab Quote Count]]&gt;1,INTERCEPT(LOG(INDIRECT("RawMaterials[@[Lab Unit P 1]:[Lab Unit P "&amp;RawMaterials[[#This Row],[Lab Quote Count]]&amp;"]]")),LOG(INDIRECT("RawMaterials[@[Lab Q Model Units 1]:[Lab Q Model Units "&amp;RawMaterials[[#This Row],[Lab Quote Count]]&amp;"]]"))),"")</f>
        <v/>
      </c>
      <c r="AH365" s="393" t="str">
        <f>IF(RawMaterials[[#This Row],[Material Type]]="Metal Precursor","D13",IF(RawMaterials[[#This Row],[Material Type]]="Ligand","D13","D12"))</f>
        <v>D12</v>
      </c>
      <c r="AI365" s="394" t="str">
        <f ca="1">IF(RawMaterials[[#This Row],[Lab Quote Count]]&gt;1,10^RawMaterials[[#This Row],[Lab Log-Log Intercept]]*INDIRECT(RawMaterials[[#This Row],[Basis Cell]])^RawMaterials[[#This Row],[Lab Log-Log Slope]],"&gt;&gt;&gt; Enter 2 or more lab quotes &lt;&lt;&lt;")</f>
        <v>&gt;&gt;&gt; Enter 2 or more lab quotes &lt;&lt;&lt;</v>
      </c>
      <c r="AJ36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1.7328333807731378</v>
      </c>
      <c r="AL365" s="396">
        <f>IF(ISTEXT(RawMaterials[[#This Row],[Unit price in quote year]]),"Check calcs",RawMaterials[[#This Row],[Unit price in quote year]]/VLOOKUP(RawMaterials[[#This Row],[Quote Year]],ChemPPI[],14,FALSE)*VLOOKUP(BasisYear,ChemPPI[],14,FALSE))</f>
        <v>2.3518282317302095</v>
      </c>
      <c r="AM365" s="397" t="str">
        <f t="shared" si="5"/>
        <v>$/kg (2016)</v>
      </c>
    </row>
    <row r="366" spans="1:39">
      <c r="A366" s="259" t="s">
        <v>1454</v>
      </c>
      <c r="B366" s="260"/>
      <c r="C366" s="351"/>
      <c r="D366" s="351"/>
      <c r="E366" s="260">
        <v>100</v>
      </c>
      <c r="F366" s="260"/>
      <c r="G366" s="351"/>
      <c r="H366" s="351"/>
      <c r="I366" s="262"/>
      <c r="J366" s="351"/>
      <c r="K366" s="351"/>
      <c r="L366" s="351"/>
      <c r="M366" s="351"/>
      <c r="N366" s="351"/>
      <c r="O366" s="351"/>
      <c r="P366" s="261">
        <v>97.5</v>
      </c>
      <c r="Q366" s="260">
        <v>1</v>
      </c>
      <c r="R366" s="260" t="s">
        <v>401</v>
      </c>
      <c r="S366" s="260">
        <v>2006</v>
      </c>
      <c r="T366" s="260" t="s">
        <v>161</v>
      </c>
      <c r="U366" s="386">
        <v>42653</v>
      </c>
      <c r="V366" s="387"/>
      <c r="W366" s="354">
        <f>COUNT(RawMaterials[[#This Row],[Lab Quantity 1]:[Lab Quantity 4]])</f>
        <v>0</v>
      </c>
      <c r="X36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6" s="392" t="e">
        <f>RawMaterials[[#This Row],[Lab Price 1]]/RawMaterials[[#This Row],[Lab Q Model Units 1]]</f>
        <v>#N/A</v>
      </c>
      <c r="AC366" s="392" t="e">
        <f>RawMaterials[[#This Row],[Lab Price 2]]/RawMaterials[[#This Row],[Lab Q Model Units 2]]</f>
        <v>#N/A</v>
      </c>
      <c r="AD366" s="392" t="e">
        <f>RawMaterials[[#This Row],[Lab Price 3]]/RawMaterials[[#This Row],[Lab Q Model Units 3]]</f>
        <v>#N/A</v>
      </c>
      <c r="AE366" s="392" t="e">
        <f>RawMaterials[[#This Row],[Lab Price 4]]/RawMaterials[[#This Row],[Lab Q Model Units 4]]</f>
        <v>#N/A</v>
      </c>
      <c r="AF366" s="392" t="str">
        <f ca="1">IF(RawMaterials[[#This Row],[Lab Quote Count]]&gt;1,SLOPE(LOG(INDIRECT("RawMaterials[@[Lab Unit P 1]:[Lab Unit P "&amp;RawMaterials[[#This Row],[Lab Quote Count]]&amp;"]]")),LOG(INDIRECT("RawMaterials[@[Lab Q Model Units 1]:[Lab Q Model Units "&amp;RawMaterials[[#This Row],[Lab Quote Count]]&amp;"]]"))),"")</f>
        <v/>
      </c>
      <c r="AG366" s="392" t="str">
        <f ca="1">IF(RawMaterials[[#This Row],[Lab Quote Count]]&gt;1,INTERCEPT(LOG(INDIRECT("RawMaterials[@[Lab Unit P 1]:[Lab Unit P "&amp;RawMaterials[[#This Row],[Lab Quote Count]]&amp;"]]")),LOG(INDIRECT("RawMaterials[@[Lab Q Model Units 1]:[Lab Q Model Units "&amp;RawMaterials[[#This Row],[Lab Quote Count]]&amp;"]]"))),"")</f>
        <v/>
      </c>
      <c r="AH366" s="393" t="str">
        <f>IF(RawMaterials[[#This Row],[Material Type]]="Metal Precursor","D13",IF(RawMaterials[[#This Row],[Material Type]]="Ligand","D13","D12"))</f>
        <v>D12</v>
      </c>
      <c r="AI366" s="394" t="str">
        <f ca="1">IF(RawMaterials[[#This Row],[Lab Quote Count]]&gt;1,10^RawMaterials[[#This Row],[Lab Log-Log Intercept]]*INDIRECT(RawMaterials[[#This Row],[Basis Cell]])^RawMaterials[[#This Row],[Lab Log-Log Slope]],"&gt;&gt;&gt; Enter 2 or more lab quotes &lt;&lt;&lt;")</f>
        <v>&gt;&gt;&gt; Enter 2 or more lab quotes &lt;&lt;&lt;</v>
      </c>
      <c r="AJ36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6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0.10747535281512782</v>
      </c>
      <c r="AL366" s="396">
        <f>IF(ISTEXT(RawMaterials[[#This Row],[Unit price in quote year]]),"Check calcs",RawMaterials[[#This Row],[Unit price in quote year]]/VLOOKUP(RawMaterials[[#This Row],[Quote Year]],ChemPPI[],14,FALSE)*VLOOKUP(BasisYear,ChemPPI[],14,FALSE))</f>
        <v>0.14586720902906833</v>
      </c>
      <c r="AM366" s="397" t="str">
        <f t="shared" si="5"/>
        <v>$/kg (2016)</v>
      </c>
    </row>
    <row r="367" spans="1:39">
      <c r="A367" s="259" t="s">
        <v>1455</v>
      </c>
      <c r="B367" s="260"/>
      <c r="C367" s="351"/>
      <c r="D367" s="351"/>
      <c r="E367" s="260">
        <v>100</v>
      </c>
      <c r="F367" s="260"/>
      <c r="G367" s="351"/>
      <c r="H367" s="351"/>
      <c r="I367" s="262"/>
      <c r="J367" s="351"/>
      <c r="K367" s="351"/>
      <c r="L367" s="351"/>
      <c r="M367" s="351"/>
      <c r="N367" s="351"/>
      <c r="O367" s="351"/>
      <c r="P367" s="261">
        <v>5</v>
      </c>
      <c r="Q367" s="260">
        <v>1</v>
      </c>
      <c r="R367" s="260" t="s">
        <v>20</v>
      </c>
      <c r="S367" s="260">
        <v>2006</v>
      </c>
      <c r="T367" s="260" t="s">
        <v>161</v>
      </c>
      <c r="U367" s="386">
        <v>42653</v>
      </c>
      <c r="V367" s="387"/>
      <c r="W367" s="354">
        <f>COUNT(RawMaterials[[#This Row],[Lab Quantity 1]:[Lab Quantity 4]])</f>
        <v>0</v>
      </c>
      <c r="X36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7" s="392" t="e">
        <f>RawMaterials[[#This Row],[Lab Price 1]]/RawMaterials[[#This Row],[Lab Q Model Units 1]]</f>
        <v>#N/A</v>
      </c>
      <c r="AC367" s="392" t="e">
        <f>RawMaterials[[#This Row],[Lab Price 2]]/RawMaterials[[#This Row],[Lab Q Model Units 2]]</f>
        <v>#N/A</v>
      </c>
      <c r="AD367" s="392" t="e">
        <f>RawMaterials[[#This Row],[Lab Price 3]]/RawMaterials[[#This Row],[Lab Q Model Units 3]]</f>
        <v>#N/A</v>
      </c>
      <c r="AE367" s="392" t="e">
        <f>RawMaterials[[#This Row],[Lab Price 4]]/RawMaterials[[#This Row],[Lab Q Model Units 4]]</f>
        <v>#N/A</v>
      </c>
      <c r="AF367" s="392" t="str">
        <f ca="1">IF(RawMaterials[[#This Row],[Lab Quote Count]]&gt;1,SLOPE(LOG(INDIRECT("RawMaterials[@[Lab Unit P 1]:[Lab Unit P "&amp;RawMaterials[[#This Row],[Lab Quote Count]]&amp;"]]")),LOG(INDIRECT("RawMaterials[@[Lab Q Model Units 1]:[Lab Q Model Units "&amp;RawMaterials[[#This Row],[Lab Quote Count]]&amp;"]]"))),"")</f>
        <v/>
      </c>
      <c r="AG367" s="392" t="str">
        <f ca="1">IF(RawMaterials[[#This Row],[Lab Quote Count]]&gt;1,INTERCEPT(LOG(INDIRECT("RawMaterials[@[Lab Unit P 1]:[Lab Unit P "&amp;RawMaterials[[#This Row],[Lab Quote Count]]&amp;"]]")),LOG(INDIRECT("RawMaterials[@[Lab Q Model Units 1]:[Lab Q Model Units "&amp;RawMaterials[[#This Row],[Lab Quote Count]]&amp;"]]"))),"")</f>
        <v/>
      </c>
      <c r="AH367" s="393" t="str">
        <f>IF(RawMaterials[[#This Row],[Material Type]]="Metal Precursor","D13",IF(RawMaterials[[#This Row],[Material Type]]="Ligand","D13","D12"))</f>
        <v>D12</v>
      </c>
      <c r="AI367" s="394" t="str">
        <f ca="1">IF(RawMaterials[[#This Row],[Lab Quote Count]]&gt;1,10^RawMaterials[[#This Row],[Lab Log-Log Intercept]]*INDIRECT(RawMaterials[[#This Row],[Basis Cell]])^RawMaterials[[#This Row],[Lab Log-Log Slope]],"&gt;&gt;&gt; Enter 2 or more lab quotes &lt;&lt;&lt;")</f>
        <v>&gt;&gt;&gt; Enter 2 or more lab quotes &lt;&lt;&lt;</v>
      </c>
      <c r="AJ36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11.023113109243878</v>
      </c>
      <c r="AL367" s="396">
        <f>IF(ISTEXT(RawMaterials[[#This Row],[Unit price in quote year]]),"Check calcs",RawMaterials[[#This Row],[Unit price in quote year]]/VLOOKUP(RawMaterials[[#This Row],[Quote Year]],ChemPPI[],14,FALSE)*VLOOKUP(BasisYear,ChemPPI[],14,FALSE))</f>
        <v>14.96073938759675</v>
      </c>
      <c r="AM367" s="397" t="str">
        <f t="shared" si="5"/>
        <v>$/kg (2016)</v>
      </c>
    </row>
    <row r="368" spans="1:39">
      <c r="A368" s="259" t="s">
        <v>1456</v>
      </c>
      <c r="B368" s="260"/>
      <c r="C368" s="351"/>
      <c r="D368" s="351"/>
      <c r="E368" s="260">
        <v>100</v>
      </c>
      <c r="F368" s="260"/>
      <c r="G368" s="351"/>
      <c r="H368" s="351"/>
      <c r="I368" s="262"/>
      <c r="J368" s="351"/>
      <c r="K368" s="351"/>
      <c r="L368" s="351"/>
      <c r="M368" s="351"/>
      <c r="N368" s="351"/>
      <c r="O368" s="351"/>
      <c r="P368" s="261">
        <v>6</v>
      </c>
      <c r="Q368" s="260">
        <v>1</v>
      </c>
      <c r="R368" s="260" t="s">
        <v>20</v>
      </c>
      <c r="S368" s="260">
        <v>2006</v>
      </c>
      <c r="T368" s="260" t="s">
        <v>161</v>
      </c>
      <c r="U368" s="386">
        <v>42653</v>
      </c>
      <c r="V368" s="387"/>
      <c r="W368" s="354">
        <f>COUNT(RawMaterials[[#This Row],[Lab Quantity 1]:[Lab Quantity 4]])</f>
        <v>0</v>
      </c>
      <c r="X36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8" s="392" t="e">
        <f>RawMaterials[[#This Row],[Lab Price 1]]/RawMaterials[[#This Row],[Lab Q Model Units 1]]</f>
        <v>#N/A</v>
      </c>
      <c r="AC368" s="392" t="e">
        <f>RawMaterials[[#This Row],[Lab Price 2]]/RawMaterials[[#This Row],[Lab Q Model Units 2]]</f>
        <v>#N/A</v>
      </c>
      <c r="AD368" s="392" t="e">
        <f>RawMaterials[[#This Row],[Lab Price 3]]/RawMaterials[[#This Row],[Lab Q Model Units 3]]</f>
        <v>#N/A</v>
      </c>
      <c r="AE368" s="392" t="e">
        <f>RawMaterials[[#This Row],[Lab Price 4]]/RawMaterials[[#This Row],[Lab Q Model Units 4]]</f>
        <v>#N/A</v>
      </c>
      <c r="AF368" s="392" t="str">
        <f ca="1">IF(RawMaterials[[#This Row],[Lab Quote Count]]&gt;1,SLOPE(LOG(INDIRECT("RawMaterials[@[Lab Unit P 1]:[Lab Unit P "&amp;RawMaterials[[#This Row],[Lab Quote Count]]&amp;"]]")),LOG(INDIRECT("RawMaterials[@[Lab Q Model Units 1]:[Lab Q Model Units "&amp;RawMaterials[[#This Row],[Lab Quote Count]]&amp;"]]"))),"")</f>
        <v/>
      </c>
      <c r="AG368" s="392" t="str">
        <f ca="1">IF(RawMaterials[[#This Row],[Lab Quote Count]]&gt;1,INTERCEPT(LOG(INDIRECT("RawMaterials[@[Lab Unit P 1]:[Lab Unit P "&amp;RawMaterials[[#This Row],[Lab Quote Count]]&amp;"]]")),LOG(INDIRECT("RawMaterials[@[Lab Q Model Units 1]:[Lab Q Model Units "&amp;RawMaterials[[#This Row],[Lab Quote Count]]&amp;"]]"))),"")</f>
        <v/>
      </c>
      <c r="AH368" s="393" t="str">
        <f>IF(RawMaterials[[#This Row],[Material Type]]="Metal Precursor","D13",IF(RawMaterials[[#This Row],[Material Type]]="Ligand","D13","D12"))</f>
        <v>D12</v>
      </c>
      <c r="AI368" s="394" t="str">
        <f ca="1">IF(RawMaterials[[#This Row],[Lab Quote Count]]&gt;1,10^RawMaterials[[#This Row],[Lab Log-Log Intercept]]*INDIRECT(RawMaterials[[#This Row],[Basis Cell]])^RawMaterials[[#This Row],[Lab Log-Log Slope]],"&gt;&gt;&gt; Enter 2 or more lab quotes &lt;&lt;&lt;")</f>
        <v>&gt;&gt;&gt; Enter 2 or more lab quotes &lt;&lt;&lt;</v>
      </c>
      <c r="AJ36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13.227735731092654</v>
      </c>
      <c r="AL368" s="396">
        <f>IF(ISTEXT(RawMaterials[[#This Row],[Unit price in quote year]]),"Check calcs",RawMaterials[[#This Row],[Unit price in quote year]]/VLOOKUP(RawMaterials[[#This Row],[Quote Year]],ChemPPI[],14,FALSE)*VLOOKUP(BasisYear,ChemPPI[],14,FALSE))</f>
        <v>17.9528872651161</v>
      </c>
      <c r="AM368" s="397" t="str">
        <f t="shared" si="5"/>
        <v>$/kg (2016)</v>
      </c>
    </row>
    <row r="369" spans="1:39">
      <c r="A369" s="259" t="s">
        <v>1457</v>
      </c>
      <c r="B369" s="260"/>
      <c r="C369" s="351"/>
      <c r="D369" s="351"/>
      <c r="E369" s="260">
        <v>100</v>
      </c>
      <c r="F369" s="260"/>
      <c r="G369" s="351"/>
      <c r="H369" s="351"/>
      <c r="I369" s="262"/>
      <c r="J369" s="351"/>
      <c r="K369" s="351"/>
      <c r="L369" s="351"/>
      <c r="M369" s="351"/>
      <c r="N369" s="351"/>
      <c r="O369" s="351"/>
      <c r="P369" s="261">
        <v>1.5</v>
      </c>
      <c r="Q369" s="260">
        <v>1</v>
      </c>
      <c r="R369" s="260" t="s">
        <v>20</v>
      </c>
      <c r="S369" s="260">
        <v>2006</v>
      </c>
      <c r="T369" s="260" t="s">
        <v>161</v>
      </c>
      <c r="U369" s="386">
        <v>42653</v>
      </c>
      <c r="V369" s="387"/>
      <c r="W369" s="354">
        <f>COUNT(RawMaterials[[#This Row],[Lab Quantity 1]:[Lab Quantity 4]])</f>
        <v>0</v>
      </c>
      <c r="X36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9" s="392" t="e">
        <f>RawMaterials[[#This Row],[Lab Price 1]]/RawMaterials[[#This Row],[Lab Q Model Units 1]]</f>
        <v>#N/A</v>
      </c>
      <c r="AC369" s="392" t="e">
        <f>RawMaterials[[#This Row],[Lab Price 2]]/RawMaterials[[#This Row],[Lab Q Model Units 2]]</f>
        <v>#N/A</v>
      </c>
      <c r="AD369" s="392" t="e">
        <f>RawMaterials[[#This Row],[Lab Price 3]]/RawMaterials[[#This Row],[Lab Q Model Units 3]]</f>
        <v>#N/A</v>
      </c>
      <c r="AE369" s="392" t="e">
        <f>RawMaterials[[#This Row],[Lab Price 4]]/RawMaterials[[#This Row],[Lab Q Model Units 4]]</f>
        <v>#N/A</v>
      </c>
      <c r="AF369" s="392" t="str">
        <f ca="1">IF(RawMaterials[[#This Row],[Lab Quote Count]]&gt;1,SLOPE(LOG(INDIRECT("RawMaterials[@[Lab Unit P 1]:[Lab Unit P "&amp;RawMaterials[[#This Row],[Lab Quote Count]]&amp;"]]")),LOG(INDIRECT("RawMaterials[@[Lab Q Model Units 1]:[Lab Q Model Units "&amp;RawMaterials[[#This Row],[Lab Quote Count]]&amp;"]]"))),"")</f>
        <v/>
      </c>
      <c r="AG369" s="392" t="str">
        <f ca="1">IF(RawMaterials[[#This Row],[Lab Quote Count]]&gt;1,INTERCEPT(LOG(INDIRECT("RawMaterials[@[Lab Unit P 1]:[Lab Unit P "&amp;RawMaterials[[#This Row],[Lab Quote Count]]&amp;"]]")),LOG(INDIRECT("RawMaterials[@[Lab Q Model Units 1]:[Lab Q Model Units "&amp;RawMaterials[[#This Row],[Lab Quote Count]]&amp;"]]"))),"")</f>
        <v/>
      </c>
      <c r="AH369" s="393" t="str">
        <f>IF(RawMaterials[[#This Row],[Material Type]]="Metal Precursor","D13",IF(RawMaterials[[#This Row],[Material Type]]="Ligand","D13","D12"))</f>
        <v>D12</v>
      </c>
      <c r="AI369" s="394" t="str">
        <f ca="1">IF(RawMaterials[[#This Row],[Lab Quote Count]]&gt;1,10^RawMaterials[[#This Row],[Lab Log-Log Intercept]]*INDIRECT(RawMaterials[[#This Row],[Basis Cell]])^RawMaterials[[#This Row],[Lab Log-Log Slope]],"&gt;&gt;&gt; Enter 2 or more lab quotes &lt;&lt;&lt;")</f>
        <v>&gt;&gt;&gt; Enter 2 or more lab quotes &lt;&lt;&lt;</v>
      </c>
      <c r="AJ36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3.3069339327731635</v>
      </c>
      <c r="AL369" s="396">
        <f>IF(ISTEXT(RawMaterials[[#This Row],[Unit price in quote year]]),"Check calcs",RawMaterials[[#This Row],[Unit price in quote year]]/VLOOKUP(RawMaterials[[#This Row],[Quote Year]],ChemPPI[],14,FALSE)*VLOOKUP(BasisYear,ChemPPI[],14,FALSE))</f>
        <v>4.4882218162790251</v>
      </c>
      <c r="AM369" s="397" t="str">
        <f t="shared" si="5"/>
        <v>$/kg (2016)</v>
      </c>
    </row>
    <row r="370" spans="1:39">
      <c r="A370" s="259" t="s">
        <v>1458</v>
      </c>
      <c r="B370" s="260"/>
      <c r="C370" s="351"/>
      <c r="D370" s="351"/>
      <c r="E370" s="260">
        <v>100</v>
      </c>
      <c r="F370" s="260"/>
      <c r="G370" s="351"/>
      <c r="H370" s="351"/>
      <c r="I370" s="262"/>
      <c r="J370" s="351"/>
      <c r="K370" s="351"/>
      <c r="L370" s="351"/>
      <c r="M370" s="351"/>
      <c r="N370" s="351"/>
      <c r="O370" s="351"/>
      <c r="P370" s="261">
        <v>1.145</v>
      </c>
      <c r="Q370" s="260">
        <v>1</v>
      </c>
      <c r="R370" s="260" t="s">
        <v>20</v>
      </c>
      <c r="S370" s="260">
        <v>2006</v>
      </c>
      <c r="T370" s="260" t="s">
        <v>161</v>
      </c>
      <c r="U370" s="386">
        <v>42653</v>
      </c>
      <c r="V370" s="387"/>
      <c r="W370" s="354">
        <f>COUNT(RawMaterials[[#This Row],[Lab Quantity 1]:[Lab Quantity 4]])</f>
        <v>0</v>
      </c>
      <c r="X37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0" s="392" t="e">
        <f>RawMaterials[[#This Row],[Lab Price 1]]/RawMaterials[[#This Row],[Lab Q Model Units 1]]</f>
        <v>#N/A</v>
      </c>
      <c r="AC370" s="392" t="e">
        <f>RawMaterials[[#This Row],[Lab Price 2]]/RawMaterials[[#This Row],[Lab Q Model Units 2]]</f>
        <v>#N/A</v>
      </c>
      <c r="AD370" s="392" t="e">
        <f>RawMaterials[[#This Row],[Lab Price 3]]/RawMaterials[[#This Row],[Lab Q Model Units 3]]</f>
        <v>#N/A</v>
      </c>
      <c r="AE370" s="392" t="e">
        <f>RawMaterials[[#This Row],[Lab Price 4]]/RawMaterials[[#This Row],[Lab Q Model Units 4]]</f>
        <v>#N/A</v>
      </c>
      <c r="AF370" s="392" t="str">
        <f ca="1">IF(RawMaterials[[#This Row],[Lab Quote Count]]&gt;1,SLOPE(LOG(INDIRECT("RawMaterials[@[Lab Unit P 1]:[Lab Unit P "&amp;RawMaterials[[#This Row],[Lab Quote Count]]&amp;"]]")),LOG(INDIRECT("RawMaterials[@[Lab Q Model Units 1]:[Lab Q Model Units "&amp;RawMaterials[[#This Row],[Lab Quote Count]]&amp;"]]"))),"")</f>
        <v/>
      </c>
      <c r="AG370" s="392" t="str">
        <f ca="1">IF(RawMaterials[[#This Row],[Lab Quote Count]]&gt;1,INTERCEPT(LOG(INDIRECT("RawMaterials[@[Lab Unit P 1]:[Lab Unit P "&amp;RawMaterials[[#This Row],[Lab Quote Count]]&amp;"]]")),LOG(INDIRECT("RawMaterials[@[Lab Q Model Units 1]:[Lab Q Model Units "&amp;RawMaterials[[#This Row],[Lab Quote Count]]&amp;"]]"))),"")</f>
        <v/>
      </c>
      <c r="AH370" s="393" t="str">
        <f>IF(RawMaterials[[#This Row],[Material Type]]="Metal Precursor","D13",IF(RawMaterials[[#This Row],[Material Type]]="Ligand","D13","D12"))</f>
        <v>D12</v>
      </c>
      <c r="AI370" s="394" t="str">
        <f ca="1">IF(RawMaterials[[#This Row],[Lab Quote Count]]&gt;1,10^RawMaterials[[#This Row],[Lab Log-Log Intercept]]*INDIRECT(RawMaterials[[#This Row],[Basis Cell]])^RawMaterials[[#This Row],[Lab Log-Log Slope]],"&gt;&gt;&gt; Enter 2 or more lab quotes &lt;&lt;&lt;")</f>
        <v>&gt;&gt;&gt; Enter 2 or more lab quotes &lt;&lt;&lt;</v>
      </c>
      <c r="AJ37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2.5242929020168483</v>
      </c>
      <c r="AL370" s="396">
        <f>IF(ISTEXT(RawMaterials[[#This Row],[Unit price in quote year]]),"Check calcs",RawMaterials[[#This Row],[Unit price in quote year]]/VLOOKUP(RawMaterials[[#This Row],[Quote Year]],ChemPPI[],14,FALSE)*VLOOKUP(BasisYear,ChemPPI[],14,FALSE))</f>
        <v>3.4260093197596562</v>
      </c>
      <c r="AM370" s="397" t="str">
        <f t="shared" si="5"/>
        <v>$/kg (2016)</v>
      </c>
    </row>
    <row r="371" spans="1:39">
      <c r="A371" s="259" t="s">
        <v>1459</v>
      </c>
      <c r="B371" s="260"/>
      <c r="C371" s="351"/>
      <c r="D371" s="351"/>
      <c r="E371" s="260">
        <v>100</v>
      </c>
      <c r="F371" s="260"/>
      <c r="G371" s="351"/>
      <c r="H371" s="351"/>
      <c r="I371" s="262"/>
      <c r="J371" s="351"/>
      <c r="K371" s="351"/>
      <c r="L371" s="351"/>
      <c r="M371" s="351"/>
      <c r="N371" s="351"/>
      <c r="O371" s="351"/>
      <c r="P371" s="261">
        <v>0.47499999999999998</v>
      </c>
      <c r="Q371" s="260">
        <v>1</v>
      </c>
      <c r="R371" s="260" t="s">
        <v>20</v>
      </c>
      <c r="S371" s="260">
        <v>2006</v>
      </c>
      <c r="T371" s="260" t="s">
        <v>161</v>
      </c>
      <c r="U371" s="386">
        <v>42653</v>
      </c>
      <c r="V371" s="387"/>
      <c r="W371" s="354">
        <f>COUNT(RawMaterials[[#This Row],[Lab Quantity 1]:[Lab Quantity 4]])</f>
        <v>0</v>
      </c>
      <c r="X37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1" s="392" t="e">
        <f>RawMaterials[[#This Row],[Lab Price 1]]/RawMaterials[[#This Row],[Lab Q Model Units 1]]</f>
        <v>#N/A</v>
      </c>
      <c r="AC371" s="392" t="e">
        <f>RawMaterials[[#This Row],[Lab Price 2]]/RawMaterials[[#This Row],[Lab Q Model Units 2]]</f>
        <v>#N/A</v>
      </c>
      <c r="AD371" s="392" t="e">
        <f>RawMaterials[[#This Row],[Lab Price 3]]/RawMaterials[[#This Row],[Lab Q Model Units 3]]</f>
        <v>#N/A</v>
      </c>
      <c r="AE371" s="392" t="e">
        <f>RawMaterials[[#This Row],[Lab Price 4]]/RawMaterials[[#This Row],[Lab Q Model Units 4]]</f>
        <v>#N/A</v>
      </c>
      <c r="AF371" s="392" t="str">
        <f ca="1">IF(RawMaterials[[#This Row],[Lab Quote Count]]&gt;1,SLOPE(LOG(INDIRECT("RawMaterials[@[Lab Unit P 1]:[Lab Unit P "&amp;RawMaterials[[#This Row],[Lab Quote Count]]&amp;"]]")),LOG(INDIRECT("RawMaterials[@[Lab Q Model Units 1]:[Lab Q Model Units "&amp;RawMaterials[[#This Row],[Lab Quote Count]]&amp;"]]"))),"")</f>
        <v/>
      </c>
      <c r="AG371" s="392" t="str">
        <f ca="1">IF(RawMaterials[[#This Row],[Lab Quote Count]]&gt;1,INTERCEPT(LOG(INDIRECT("RawMaterials[@[Lab Unit P 1]:[Lab Unit P "&amp;RawMaterials[[#This Row],[Lab Quote Count]]&amp;"]]")),LOG(INDIRECT("RawMaterials[@[Lab Q Model Units 1]:[Lab Q Model Units "&amp;RawMaterials[[#This Row],[Lab Quote Count]]&amp;"]]"))),"")</f>
        <v/>
      </c>
      <c r="AH371" s="393" t="str">
        <f>IF(RawMaterials[[#This Row],[Material Type]]="Metal Precursor","D13",IF(RawMaterials[[#This Row],[Material Type]]="Ligand","D13","D12"))</f>
        <v>D12</v>
      </c>
      <c r="AI371" s="394" t="str">
        <f ca="1">IF(RawMaterials[[#This Row],[Lab Quote Count]]&gt;1,10^RawMaterials[[#This Row],[Lab Log-Log Intercept]]*INDIRECT(RawMaterials[[#This Row],[Basis Cell]])^RawMaterials[[#This Row],[Lab Log-Log Slope]],"&gt;&gt;&gt; Enter 2 or more lab quotes &lt;&lt;&lt;")</f>
        <v>&gt;&gt;&gt; Enter 2 or more lab quotes &lt;&lt;&lt;</v>
      </c>
      <c r="AJ37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1.0471957453781684</v>
      </c>
      <c r="AL371" s="396">
        <f>IF(ISTEXT(RawMaterials[[#This Row],[Unit price in quote year]]),"Check calcs",RawMaterials[[#This Row],[Unit price in quote year]]/VLOOKUP(RawMaterials[[#This Row],[Quote Year]],ChemPPI[],14,FALSE)*VLOOKUP(BasisYear,ChemPPI[],14,FALSE))</f>
        <v>1.4212702418216911</v>
      </c>
      <c r="AM371" s="397" t="str">
        <f t="shared" si="5"/>
        <v>$/kg (2016)</v>
      </c>
    </row>
    <row r="372" spans="1:39">
      <c r="A372" s="259" t="s">
        <v>1460</v>
      </c>
      <c r="B372" s="260"/>
      <c r="C372" s="351"/>
      <c r="D372" s="351"/>
      <c r="E372" s="260">
        <v>100</v>
      </c>
      <c r="F372" s="260"/>
      <c r="G372" s="351"/>
      <c r="H372" s="351"/>
      <c r="I372" s="262"/>
      <c r="J372" s="351"/>
      <c r="K372" s="351"/>
      <c r="L372" s="351"/>
      <c r="M372" s="351"/>
      <c r="N372" s="351"/>
      <c r="O372" s="351"/>
      <c r="P372" s="261">
        <v>0.39</v>
      </c>
      <c r="Q372" s="260">
        <v>1</v>
      </c>
      <c r="R372" s="260" t="s">
        <v>20</v>
      </c>
      <c r="S372" s="260">
        <v>2008</v>
      </c>
      <c r="T372" s="260" t="s">
        <v>161</v>
      </c>
      <c r="U372" s="386">
        <v>42653</v>
      </c>
      <c r="V372" s="387"/>
      <c r="W372" s="354">
        <f>COUNT(RawMaterials[[#This Row],[Lab Quantity 1]:[Lab Quantity 4]])</f>
        <v>0</v>
      </c>
      <c r="X37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2" s="392" t="e">
        <f>RawMaterials[[#This Row],[Lab Price 1]]/RawMaterials[[#This Row],[Lab Q Model Units 1]]</f>
        <v>#N/A</v>
      </c>
      <c r="AC372" s="392" t="e">
        <f>RawMaterials[[#This Row],[Lab Price 2]]/RawMaterials[[#This Row],[Lab Q Model Units 2]]</f>
        <v>#N/A</v>
      </c>
      <c r="AD372" s="392" t="e">
        <f>RawMaterials[[#This Row],[Lab Price 3]]/RawMaterials[[#This Row],[Lab Q Model Units 3]]</f>
        <v>#N/A</v>
      </c>
      <c r="AE372" s="392" t="e">
        <f>RawMaterials[[#This Row],[Lab Price 4]]/RawMaterials[[#This Row],[Lab Q Model Units 4]]</f>
        <v>#N/A</v>
      </c>
      <c r="AF372" s="392" t="str">
        <f ca="1">IF(RawMaterials[[#This Row],[Lab Quote Count]]&gt;1,SLOPE(LOG(INDIRECT("RawMaterials[@[Lab Unit P 1]:[Lab Unit P "&amp;RawMaterials[[#This Row],[Lab Quote Count]]&amp;"]]")),LOG(INDIRECT("RawMaterials[@[Lab Q Model Units 1]:[Lab Q Model Units "&amp;RawMaterials[[#This Row],[Lab Quote Count]]&amp;"]]"))),"")</f>
        <v/>
      </c>
      <c r="AG372" s="392" t="str">
        <f ca="1">IF(RawMaterials[[#This Row],[Lab Quote Count]]&gt;1,INTERCEPT(LOG(INDIRECT("RawMaterials[@[Lab Unit P 1]:[Lab Unit P "&amp;RawMaterials[[#This Row],[Lab Quote Count]]&amp;"]]")),LOG(INDIRECT("RawMaterials[@[Lab Q Model Units 1]:[Lab Q Model Units "&amp;RawMaterials[[#This Row],[Lab Quote Count]]&amp;"]]"))),"")</f>
        <v/>
      </c>
      <c r="AH372" s="393" t="str">
        <f>IF(RawMaterials[[#This Row],[Material Type]]="Metal Precursor","D13",IF(RawMaterials[[#This Row],[Material Type]]="Ligand","D13","D12"))</f>
        <v>D12</v>
      </c>
      <c r="AI372" s="394" t="str">
        <f ca="1">IF(RawMaterials[[#This Row],[Lab Quote Count]]&gt;1,10^RawMaterials[[#This Row],[Lab Log-Log Intercept]]*INDIRECT(RawMaterials[[#This Row],[Basis Cell]])^RawMaterials[[#This Row],[Lab Log-Log Slope]],"&gt;&gt;&gt; Enter 2 or more lab quotes &lt;&lt;&lt;")</f>
        <v>&gt;&gt;&gt; Enter 2 or more lab quotes &lt;&lt;&lt;</v>
      </c>
      <c r="AJ37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0.85980282252102258</v>
      </c>
      <c r="AL372" s="396">
        <f>IF(ISTEXT(RawMaterials[[#This Row],[Unit price in quote year]]),"Check calcs",RawMaterials[[#This Row],[Unit price in quote year]]/VLOOKUP(RawMaterials[[#This Row],[Quote Year]],ChemPPI[],14,FALSE)*VLOOKUP(BasisYear,ChemPPI[],14,FALSE))</f>
        <v>1.0063319360030607</v>
      </c>
      <c r="AM372" s="397" t="str">
        <f t="shared" si="5"/>
        <v>$/kg (2016)</v>
      </c>
    </row>
    <row r="373" spans="1:39">
      <c r="A373" s="259" t="s">
        <v>1461</v>
      </c>
      <c r="B373" s="260"/>
      <c r="C373" s="351"/>
      <c r="D373" s="351"/>
      <c r="E373" s="260">
        <v>100</v>
      </c>
      <c r="F373" s="260"/>
      <c r="G373" s="351"/>
      <c r="H373" s="351"/>
      <c r="I373" s="262"/>
      <c r="J373" s="351"/>
      <c r="K373" s="351"/>
      <c r="L373" s="351"/>
      <c r="M373" s="351"/>
      <c r="N373" s="351"/>
      <c r="O373" s="351"/>
      <c r="P373" s="261">
        <v>0.90500000000000003</v>
      </c>
      <c r="Q373" s="260">
        <v>1</v>
      </c>
      <c r="R373" s="260" t="s">
        <v>20</v>
      </c>
      <c r="S373" s="260">
        <v>2006</v>
      </c>
      <c r="T373" s="260" t="s">
        <v>161</v>
      </c>
      <c r="U373" s="386">
        <v>42653</v>
      </c>
      <c r="V373" s="387"/>
      <c r="W373" s="354">
        <f>COUNT(RawMaterials[[#This Row],[Lab Quantity 1]:[Lab Quantity 4]])</f>
        <v>0</v>
      </c>
      <c r="X37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3" s="392" t="e">
        <f>RawMaterials[[#This Row],[Lab Price 1]]/RawMaterials[[#This Row],[Lab Q Model Units 1]]</f>
        <v>#N/A</v>
      </c>
      <c r="AC373" s="392" t="e">
        <f>RawMaterials[[#This Row],[Lab Price 2]]/RawMaterials[[#This Row],[Lab Q Model Units 2]]</f>
        <v>#N/A</v>
      </c>
      <c r="AD373" s="392" t="e">
        <f>RawMaterials[[#This Row],[Lab Price 3]]/RawMaterials[[#This Row],[Lab Q Model Units 3]]</f>
        <v>#N/A</v>
      </c>
      <c r="AE373" s="392" t="e">
        <f>RawMaterials[[#This Row],[Lab Price 4]]/RawMaterials[[#This Row],[Lab Q Model Units 4]]</f>
        <v>#N/A</v>
      </c>
      <c r="AF373" s="392" t="str">
        <f ca="1">IF(RawMaterials[[#This Row],[Lab Quote Count]]&gt;1,SLOPE(LOG(INDIRECT("RawMaterials[@[Lab Unit P 1]:[Lab Unit P "&amp;RawMaterials[[#This Row],[Lab Quote Count]]&amp;"]]")),LOG(INDIRECT("RawMaterials[@[Lab Q Model Units 1]:[Lab Q Model Units "&amp;RawMaterials[[#This Row],[Lab Quote Count]]&amp;"]]"))),"")</f>
        <v/>
      </c>
      <c r="AG373" s="392" t="str">
        <f ca="1">IF(RawMaterials[[#This Row],[Lab Quote Count]]&gt;1,INTERCEPT(LOG(INDIRECT("RawMaterials[@[Lab Unit P 1]:[Lab Unit P "&amp;RawMaterials[[#This Row],[Lab Quote Count]]&amp;"]]")),LOG(INDIRECT("RawMaterials[@[Lab Q Model Units 1]:[Lab Q Model Units "&amp;RawMaterials[[#This Row],[Lab Quote Count]]&amp;"]]"))),"")</f>
        <v/>
      </c>
      <c r="AH373" s="393" t="str">
        <f>IF(RawMaterials[[#This Row],[Material Type]]="Metal Precursor","D13",IF(RawMaterials[[#This Row],[Material Type]]="Ligand","D13","D12"))</f>
        <v>D12</v>
      </c>
      <c r="AI373" s="394" t="str">
        <f ca="1">IF(RawMaterials[[#This Row],[Lab Quote Count]]&gt;1,10^RawMaterials[[#This Row],[Lab Log-Log Intercept]]*INDIRECT(RawMaterials[[#This Row],[Basis Cell]])^RawMaterials[[#This Row],[Lab Log-Log Slope]],"&gt;&gt;&gt; Enter 2 or more lab quotes &lt;&lt;&lt;")</f>
        <v>&gt;&gt;&gt; Enter 2 or more lab quotes &lt;&lt;&lt;</v>
      </c>
      <c r="AJ37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1.9951834727731421</v>
      </c>
      <c r="AL373" s="396">
        <f>IF(ISTEXT(RawMaterials[[#This Row],[Unit price in quote year]]),"Check calcs",RawMaterials[[#This Row],[Unit price in quote year]]/VLOOKUP(RawMaterials[[#This Row],[Quote Year]],ChemPPI[],14,FALSE)*VLOOKUP(BasisYear,ChemPPI[],14,FALSE))</f>
        <v>2.7078938291550121</v>
      </c>
      <c r="AM373" s="397" t="str">
        <f t="shared" si="5"/>
        <v>$/kg (2016)</v>
      </c>
    </row>
    <row r="374" spans="1:39">
      <c r="A374" s="259" t="s">
        <v>1462</v>
      </c>
      <c r="B374" s="260"/>
      <c r="C374" s="351"/>
      <c r="D374" s="351"/>
      <c r="E374" s="260">
        <v>100</v>
      </c>
      <c r="F374" s="260"/>
      <c r="G374" s="351"/>
      <c r="H374" s="351"/>
      <c r="I374" s="262"/>
      <c r="J374" s="351"/>
      <c r="K374" s="351"/>
      <c r="L374" s="351"/>
      <c r="M374" s="351"/>
      <c r="N374" s="351"/>
      <c r="O374" s="351"/>
      <c r="P374" s="261">
        <v>0.8</v>
      </c>
      <c r="Q374" s="260">
        <v>1</v>
      </c>
      <c r="R374" s="260" t="s">
        <v>20</v>
      </c>
      <c r="S374" s="260">
        <v>2006</v>
      </c>
      <c r="T374" s="260" t="s">
        <v>161</v>
      </c>
      <c r="U374" s="386">
        <v>42653</v>
      </c>
      <c r="V374" s="387"/>
      <c r="W374" s="354">
        <f>COUNT(RawMaterials[[#This Row],[Lab Quantity 1]:[Lab Quantity 4]])</f>
        <v>0</v>
      </c>
      <c r="X37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4" s="392" t="e">
        <f>RawMaterials[[#This Row],[Lab Price 1]]/RawMaterials[[#This Row],[Lab Q Model Units 1]]</f>
        <v>#N/A</v>
      </c>
      <c r="AC374" s="392" t="e">
        <f>RawMaterials[[#This Row],[Lab Price 2]]/RawMaterials[[#This Row],[Lab Q Model Units 2]]</f>
        <v>#N/A</v>
      </c>
      <c r="AD374" s="392" t="e">
        <f>RawMaterials[[#This Row],[Lab Price 3]]/RawMaterials[[#This Row],[Lab Q Model Units 3]]</f>
        <v>#N/A</v>
      </c>
      <c r="AE374" s="392" t="e">
        <f>RawMaterials[[#This Row],[Lab Price 4]]/RawMaterials[[#This Row],[Lab Q Model Units 4]]</f>
        <v>#N/A</v>
      </c>
      <c r="AF374" s="392" t="str">
        <f ca="1">IF(RawMaterials[[#This Row],[Lab Quote Count]]&gt;1,SLOPE(LOG(INDIRECT("RawMaterials[@[Lab Unit P 1]:[Lab Unit P "&amp;RawMaterials[[#This Row],[Lab Quote Count]]&amp;"]]")),LOG(INDIRECT("RawMaterials[@[Lab Q Model Units 1]:[Lab Q Model Units "&amp;RawMaterials[[#This Row],[Lab Quote Count]]&amp;"]]"))),"")</f>
        <v/>
      </c>
      <c r="AG374" s="392" t="str">
        <f ca="1">IF(RawMaterials[[#This Row],[Lab Quote Count]]&gt;1,INTERCEPT(LOG(INDIRECT("RawMaterials[@[Lab Unit P 1]:[Lab Unit P "&amp;RawMaterials[[#This Row],[Lab Quote Count]]&amp;"]]")),LOG(INDIRECT("RawMaterials[@[Lab Q Model Units 1]:[Lab Q Model Units "&amp;RawMaterials[[#This Row],[Lab Quote Count]]&amp;"]]"))),"")</f>
        <v/>
      </c>
      <c r="AH374" s="393" t="str">
        <f>IF(RawMaterials[[#This Row],[Material Type]]="Metal Precursor","D13",IF(RawMaterials[[#This Row],[Material Type]]="Ligand","D13","D12"))</f>
        <v>D12</v>
      </c>
      <c r="AI374" s="394" t="str">
        <f ca="1">IF(RawMaterials[[#This Row],[Lab Quote Count]]&gt;1,10^RawMaterials[[#This Row],[Lab Log-Log Intercept]]*INDIRECT(RawMaterials[[#This Row],[Basis Cell]])^RawMaterials[[#This Row],[Lab Log-Log Slope]],"&gt;&gt;&gt; Enter 2 or more lab quotes &lt;&lt;&lt;")</f>
        <v>&gt;&gt;&gt; Enter 2 or more lab quotes &lt;&lt;&lt;</v>
      </c>
      <c r="AJ37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1.7636980974790206</v>
      </c>
      <c r="AL374" s="396">
        <f>IF(ISTEXT(RawMaterials[[#This Row],[Unit price in quote year]]),"Check calcs",RawMaterials[[#This Row],[Unit price in quote year]]/VLOOKUP(RawMaterials[[#This Row],[Quote Year]],ChemPPI[],14,FALSE)*VLOOKUP(BasisYear,ChemPPI[],14,FALSE))</f>
        <v>2.3937183020154804</v>
      </c>
      <c r="AM374" s="397" t="str">
        <f t="shared" si="5"/>
        <v>$/kg (2016)</v>
      </c>
    </row>
    <row r="375" spans="1:39">
      <c r="A375" s="259" t="s">
        <v>1463</v>
      </c>
      <c r="B375" s="260"/>
      <c r="C375" s="351"/>
      <c r="D375" s="351"/>
      <c r="E375" s="260">
        <v>100</v>
      </c>
      <c r="F375" s="260"/>
      <c r="G375" s="351"/>
      <c r="H375" s="351"/>
      <c r="I375" s="262"/>
      <c r="J375" s="351"/>
      <c r="K375" s="351"/>
      <c r="L375" s="351"/>
      <c r="M375" s="351"/>
      <c r="N375" s="351"/>
      <c r="O375" s="351"/>
      <c r="P375" s="261">
        <v>0.92500000000000004</v>
      </c>
      <c r="Q375" s="260">
        <v>1</v>
      </c>
      <c r="R375" s="260" t="s">
        <v>20</v>
      </c>
      <c r="S375" s="260">
        <v>2006</v>
      </c>
      <c r="T375" s="260" t="s">
        <v>161</v>
      </c>
      <c r="U375" s="386">
        <v>42653</v>
      </c>
      <c r="V375" s="387"/>
      <c r="W375" s="354">
        <f>COUNT(RawMaterials[[#This Row],[Lab Quantity 1]:[Lab Quantity 4]])</f>
        <v>0</v>
      </c>
      <c r="X37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5" s="392" t="e">
        <f>RawMaterials[[#This Row],[Lab Price 1]]/RawMaterials[[#This Row],[Lab Q Model Units 1]]</f>
        <v>#N/A</v>
      </c>
      <c r="AC375" s="392" t="e">
        <f>RawMaterials[[#This Row],[Lab Price 2]]/RawMaterials[[#This Row],[Lab Q Model Units 2]]</f>
        <v>#N/A</v>
      </c>
      <c r="AD375" s="392" t="e">
        <f>RawMaterials[[#This Row],[Lab Price 3]]/RawMaterials[[#This Row],[Lab Q Model Units 3]]</f>
        <v>#N/A</v>
      </c>
      <c r="AE375" s="392" t="e">
        <f>RawMaterials[[#This Row],[Lab Price 4]]/RawMaterials[[#This Row],[Lab Q Model Units 4]]</f>
        <v>#N/A</v>
      </c>
      <c r="AF375" s="392" t="str">
        <f ca="1">IF(RawMaterials[[#This Row],[Lab Quote Count]]&gt;1,SLOPE(LOG(INDIRECT("RawMaterials[@[Lab Unit P 1]:[Lab Unit P "&amp;RawMaterials[[#This Row],[Lab Quote Count]]&amp;"]]")),LOG(INDIRECT("RawMaterials[@[Lab Q Model Units 1]:[Lab Q Model Units "&amp;RawMaterials[[#This Row],[Lab Quote Count]]&amp;"]]"))),"")</f>
        <v/>
      </c>
      <c r="AG375" s="392" t="str">
        <f ca="1">IF(RawMaterials[[#This Row],[Lab Quote Count]]&gt;1,INTERCEPT(LOG(INDIRECT("RawMaterials[@[Lab Unit P 1]:[Lab Unit P "&amp;RawMaterials[[#This Row],[Lab Quote Count]]&amp;"]]")),LOG(INDIRECT("RawMaterials[@[Lab Q Model Units 1]:[Lab Q Model Units "&amp;RawMaterials[[#This Row],[Lab Quote Count]]&amp;"]]"))),"")</f>
        <v/>
      </c>
      <c r="AH375" s="393" t="str">
        <f>IF(RawMaterials[[#This Row],[Material Type]]="Metal Precursor","D13",IF(RawMaterials[[#This Row],[Material Type]]="Ligand","D13","D12"))</f>
        <v>D12</v>
      </c>
      <c r="AI375" s="394" t="str">
        <f ca="1">IF(RawMaterials[[#This Row],[Lab Quote Count]]&gt;1,10^RawMaterials[[#This Row],[Lab Log-Log Intercept]]*INDIRECT(RawMaterials[[#This Row],[Basis Cell]])^RawMaterials[[#This Row],[Lab Log-Log Slope]],"&gt;&gt;&gt; Enter 2 or more lab quotes &lt;&lt;&lt;")</f>
        <v>&gt;&gt;&gt; Enter 2 or more lab quotes &lt;&lt;&lt;</v>
      </c>
      <c r="AJ37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2.0392759252101178</v>
      </c>
      <c r="AL375" s="396">
        <f>IF(ISTEXT(RawMaterials[[#This Row],[Unit price in quote year]]),"Check calcs",RawMaterials[[#This Row],[Unit price in quote year]]/VLOOKUP(RawMaterials[[#This Row],[Quote Year]],ChemPPI[],14,FALSE)*VLOOKUP(BasisYear,ChemPPI[],14,FALSE))</f>
        <v>2.7677367867053988</v>
      </c>
      <c r="AM375" s="397" t="str">
        <f t="shared" si="5"/>
        <v>$/kg (2016)</v>
      </c>
    </row>
    <row r="376" spans="1:39">
      <c r="A376" s="259" t="s">
        <v>1464</v>
      </c>
      <c r="B376" s="260"/>
      <c r="C376" s="351"/>
      <c r="D376" s="351"/>
      <c r="E376" s="260">
        <v>100</v>
      </c>
      <c r="F376" s="260"/>
      <c r="G376" s="351"/>
      <c r="H376" s="351"/>
      <c r="I376" s="262"/>
      <c r="J376" s="351"/>
      <c r="K376" s="351"/>
      <c r="L376" s="351"/>
      <c r="M376" s="351"/>
      <c r="N376" s="351"/>
      <c r="O376" s="351"/>
      <c r="P376" s="261">
        <v>0.82</v>
      </c>
      <c r="Q376" s="260">
        <v>1</v>
      </c>
      <c r="R376" s="260" t="s">
        <v>20</v>
      </c>
      <c r="S376" s="260">
        <v>2006</v>
      </c>
      <c r="T376" s="260" t="s">
        <v>161</v>
      </c>
      <c r="U376" s="386">
        <v>42653</v>
      </c>
      <c r="V376" s="387"/>
      <c r="W376" s="354">
        <f>COUNT(RawMaterials[[#This Row],[Lab Quantity 1]:[Lab Quantity 4]])</f>
        <v>0</v>
      </c>
      <c r="X37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6" s="392" t="e">
        <f>RawMaterials[[#This Row],[Lab Price 1]]/RawMaterials[[#This Row],[Lab Q Model Units 1]]</f>
        <v>#N/A</v>
      </c>
      <c r="AC376" s="392" t="e">
        <f>RawMaterials[[#This Row],[Lab Price 2]]/RawMaterials[[#This Row],[Lab Q Model Units 2]]</f>
        <v>#N/A</v>
      </c>
      <c r="AD376" s="392" t="e">
        <f>RawMaterials[[#This Row],[Lab Price 3]]/RawMaterials[[#This Row],[Lab Q Model Units 3]]</f>
        <v>#N/A</v>
      </c>
      <c r="AE376" s="392" t="e">
        <f>RawMaterials[[#This Row],[Lab Price 4]]/RawMaterials[[#This Row],[Lab Q Model Units 4]]</f>
        <v>#N/A</v>
      </c>
      <c r="AF376" s="392" t="str">
        <f ca="1">IF(RawMaterials[[#This Row],[Lab Quote Count]]&gt;1,SLOPE(LOG(INDIRECT("RawMaterials[@[Lab Unit P 1]:[Lab Unit P "&amp;RawMaterials[[#This Row],[Lab Quote Count]]&amp;"]]")),LOG(INDIRECT("RawMaterials[@[Lab Q Model Units 1]:[Lab Q Model Units "&amp;RawMaterials[[#This Row],[Lab Quote Count]]&amp;"]]"))),"")</f>
        <v/>
      </c>
      <c r="AG376" s="392" t="str">
        <f ca="1">IF(RawMaterials[[#This Row],[Lab Quote Count]]&gt;1,INTERCEPT(LOG(INDIRECT("RawMaterials[@[Lab Unit P 1]:[Lab Unit P "&amp;RawMaterials[[#This Row],[Lab Quote Count]]&amp;"]]")),LOG(INDIRECT("RawMaterials[@[Lab Q Model Units 1]:[Lab Q Model Units "&amp;RawMaterials[[#This Row],[Lab Quote Count]]&amp;"]]"))),"")</f>
        <v/>
      </c>
      <c r="AH376" s="393" t="str">
        <f>IF(RawMaterials[[#This Row],[Material Type]]="Metal Precursor","D13",IF(RawMaterials[[#This Row],[Material Type]]="Ligand","D13","D12"))</f>
        <v>D12</v>
      </c>
      <c r="AI376" s="394" t="str">
        <f ca="1">IF(RawMaterials[[#This Row],[Lab Quote Count]]&gt;1,10^RawMaterials[[#This Row],[Lab Log-Log Intercept]]*INDIRECT(RawMaterials[[#This Row],[Basis Cell]])^RawMaterials[[#This Row],[Lab Log-Log Slope]],"&gt;&gt;&gt; Enter 2 or more lab quotes &lt;&lt;&lt;")</f>
        <v>&gt;&gt;&gt; Enter 2 or more lab quotes &lt;&lt;&lt;</v>
      </c>
      <c r="AJ37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1.8077905499159959</v>
      </c>
      <c r="AL376" s="396">
        <f>IF(ISTEXT(RawMaterials[[#This Row],[Unit price in quote year]]),"Check calcs",RawMaterials[[#This Row],[Unit price in quote year]]/VLOOKUP(RawMaterials[[#This Row],[Quote Year]],ChemPPI[],14,FALSE)*VLOOKUP(BasisYear,ChemPPI[],14,FALSE))</f>
        <v>2.4535612595658667</v>
      </c>
      <c r="AM376" s="397" t="str">
        <f t="shared" si="5"/>
        <v>$/kg (2016)</v>
      </c>
    </row>
    <row r="377" spans="1:39">
      <c r="A377" s="259" t="s">
        <v>1465</v>
      </c>
      <c r="B377" s="260"/>
      <c r="C377" s="351"/>
      <c r="D377" s="351"/>
      <c r="E377" s="260">
        <v>100</v>
      </c>
      <c r="F377" s="260"/>
      <c r="G377" s="351"/>
      <c r="H377" s="351"/>
      <c r="I377" s="262"/>
      <c r="J377" s="351"/>
      <c r="K377" s="351"/>
      <c r="L377" s="351"/>
      <c r="M377" s="351"/>
      <c r="N377" s="351"/>
      <c r="O377" s="351"/>
      <c r="P377" s="261">
        <v>0.93</v>
      </c>
      <c r="Q377" s="260">
        <v>1</v>
      </c>
      <c r="R377" s="260" t="s">
        <v>20</v>
      </c>
      <c r="S377" s="260">
        <v>2006</v>
      </c>
      <c r="T377" s="260" t="s">
        <v>161</v>
      </c>
      <c r="U377" s="386">
        <v>42653</v>
      </c>
      <c r="V377" s="387"/>
      <c r="W377" s="354">
        <f>COUNT(RawMaterials[[#This Row],[Lab Quantity 1]:[Lab Quantity 4]])</f>
        <v>0</v>
      </c>
      <c r="X37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7" s="392" t="e">
        <f>RawMaterials[[#This Row],[Lab Price 1]]/RawMaterials[[#This Row],[Lab Q Model Units 1]]</f>
        <v>#N/A</v>
      </c>
      <c r="AC377" s="392" t="e">
        <f>RawMaterials[[#This Row],[Lab Price 2]]/RawMaterials[[#This Row],[Lab Q Model Units 2]]</f>
        <v>#N/A</v>
      </c>
      <c r="AD377" s="392" t="e">
        <f>RawMaterials[[#This Row],[Lab Price 3]]/RawMaterials[[#This Row],[Lab Q Model Units 3]]</f>
        <v>#N/A</v>
      </c>
      <c r="AE377" s="392" t="e">
        <f>RawMaterials[[#This Row],[Lab Price 4]]/RawMaterials[[#This Row],[Lab Q Model Units 4]]</f>
        <v>#N/A</v>
      </c>
      <c r="AF377" s="392" t="str">
        <f ca="1">IF(RawMaterials[[#This Row],[Lab Quote Count]]&gt;1,SLOPE(LOG(INDIRECT("RawMaterials[@[Lab Unit P 1]:[Lab Unit P "&amp;RawMaterials[[#This Row],[Lab Quote Count]]&amp;"]]")),LOG(INDIRECT("RawMaterials[@[Lab Q Model Units 1]:[Lab Q Model Units "&amp;RawMaterials[[#This Row],[Lab Quote Count]]&amp;"]]"))),"")</f>
        <v/>
      </c>
      <c r="AG377" s="392" t="str">
        <f ca="1">IF(RawMaterials[[#This Row],[Lab Quote Count]]&gt;1,INTERCEPT(LOG(INDIRECT("RawMaterials[@[Lab Unit P 1]:[Lab Unit P "&amp;RawMaterials[[#This Row],[Lab Quote Count]]&amp;"]]")),LOG(INDIRECT("RawMaterials[@[Lab Q Model Units 1]:[Lab Q Model Units "&amp;RawMaterials[[#This Row],[Lab Quote Count]]&amp;"]]"))),"")</f>
        <v/>
      </c>
      <c r="AH377" s="393" t="str">
        <f>IF(RawMaterials[[#This Row],[Material Type]]="Metal Precursor","D13",IF(RawMaterials[[#This Row],[Material Type]]="Ligand","D13","D12"))</f>
        <v>D12</v>
      </c>
      <c r="AI377" s="394" t="str">
        <f ca="1">IF(RawMaterials[[#This Row],[Lab Quote Count]]&gt;1,10^RawMaterials[[#This Row],[Lab Log-Log Intercept]]*INDIRECT(RawMaterials[[#This Row],[Basis Cell]])^RawMaterials[[#This Row],[Lab Log-Log Slope]],"&gt;&gt;&gt; Enter 2 or more lab quotes &lt;&lt;&lt;")</f>
        <v>&gt;&gt;&gt; Enter 2 or more lab quotes &lt;&lt;&lt;</v>
      </c>
      <c r="AJ37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2.0502990383193613</v>
      </c>
      <c r="AL377" s="396">
        <f>IF(ISTEXT(RawMaterials[[#This Row],[Unit price in quote year]]),"Check calcs",RawMaterials[[#This Row],[Unit price in quote year]]/VLOOKUP(RawMaterials[[#This Row],[Quote Year]],ChemPPI[],14,FALSE)*VLOOKUP(BasisYear,ChemPPI[],14,FALSE))</f>
        <v>2.7826975260929956</v>
      </c>
      <c r="AM377" s="397" t="str">
        <f t="shared" si="5"/>
        <v>$/kg (2016)</v>
      </c>
    </row>
    <row r="378" spans="1:39">
      <c r="A378" s="259" t="s">
        <v>1466</v>
      </c>
      <c r="B378" s="260"/>
      <c r="C378" s="351"/>
      <c r="D378" s="351"/>
      <c r="E378" s="260">
        <v>100</v>
      </c>
      <c r="F378" s="260"/>
      <c r="G378" s="351"/>
      <c r="H378" s="351"/>
      <c r="I378" s="262"/>
      <c r="J378" s="351"/>
      <c r="K378" s="351"/>
      <c r="L378" s="351"/>
      <c r="M378" s="351"/>
      <c r="N378" s="351"/>
      <c r="O378" s="351"/>
      <c r="P378" s="261">
        <v>0.82499999999999996</v>
      </c>
      <c r="Q378" s="260">
        <v>1</v>
      </c>
      <c r="R378" s="260" t="s">
        <v>20</v>
      </c>
      <c r="S378" s="260">
        <v>2006</v>
      </c>
      <c r="T378" s="260" t="s">
        <v>161</v>
      </c>
      <c r="U378" s="386">
        <v>42653</v>
      </c>
      <c r="V378" s="387"/>
      <c r="W378" s="354">
        <f>COUNT(RawMaterials[[#This Row],[Lab Quantity 1]:[Lab Quantity 4]])</f>
        <v>0</v>
      </c>
      <c r="X37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8" s="392" t="e">
        <f>RawMaterials[[#This Row],[Lab Price 1]]/RawMaterials[[#This Row],[Lab Q Model Units 1]]</f>
        <v>#N/A</v>
      </c>
      <c r="AC378" s="392" t="e">
        <f>RawMaterials[[#This Row],[Lab Price 2]]/RawMaterials[[#This Row],[Lab Q Model Units 2]]</f>
        <v>#N/A</v>
      </c>
      <c r="AD378" s="392" t="e">
        <f>RawMaterials[[#This Row],[Lab Price 3]]/RawMaterials[[#This Row],[Lab Q Model Units 3]]</f>
        <v>#N/A</v>
      </c>
      <c r="AE378" s="392" t="e">
        <f>RawMaterials[[#This Row],[Lab Price 4]]/RawMaterials[[#This Row],[Lab Q Model Units 4]]</f>
        <v>#N/A</v>
      </c>
      <c r="AF378" s="392" t="str">
        <f ca="1">IF(RawMaterials[[#This Row],[Lab Quote Count]]&gt;1,SLOPE(LOG(INDIRECT("RawMaterials[@[Lab Unit P 1]:[Lab Unit P "&amp;RawMaterials[[#This Row],[Lab Quote Count]]&amp;"]]")),LOG(INDIRECT("RawMaterials[@[Lab Q Model Units 1]:[Lab Q Model Units "&amp;RawMaterials[[#This Row],[Lab Quote Count]]&amp;"]]"))),"")</f>
        <v/>
      </c>
      <c r="AG378" s="392" t="str">
        <f ca="1">IF(RawMaterials[[#This Row],[Lab Quote Count]]&gt;1,INTERCEPT(LOG(INDIRECT("RawMaterials[@[Lab Unit P 1]:[Lab Unit P "&amp;RawMaterials[[#This Row],[Lab Quote Count]]&amp;"]]")),LOG(INDIRECT("RawMaterials[@[Lab Q Model Units 1]:[Lab Q Model Units "&amp;RawMaterials[[#This Row],[Lab Quote Count]]&amp;"]]"))),"")</f>
        <v/>
      </c>
      <c r="AH378" s="393" t="str">
        <f>IF(RawMaterials[[#This Row],[Material Type]]="Metal Precursor","D13",IF(RawMaterials[[#This Row],[Material Type]]="Ligand","D13","D12"))</f>
        <v>D12</v>
      </c>
      <c r="AI378" s="394" t="str">
        <f ca="1">IF(RawMaterials[[#This Row],[Lab Quote Count]]&gt;1,10^RawMaterials[[#This Row],[Lab Log-Log Intercept]]*INDIRECT(RawMaterials[[#This Row],[Basis Cell]])^RawMaterials[[#This Row],[Lab Log-Log Slope]],"&gt;&gt;&gt; Enter 2 or more lab quotes &lt;&lt;&lt;")</f>
        <v>&gt;&gt;&gt; Enter 2 or more lab quotes &lt;&lt;&lt;</v>
      </c>
      <c r="AJ37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1.8188136630252398</v>
      </c>
      <c r="AL378" s="396">
        <f>IF(ISTEXT(RawMaterials[[#This Row],[Unit price in quote year]]),"Check calcs",RawMaterials[[#This Row],[Unit price in quote year]]/VLOOKUP(RawMaterials[[#This Row],[Quote Year]],ChemPPI[],14,FALSE)*VLOOKUP(BasisYear,ChemPPI[],14,FALSE))</f>
        <v>2.4685219989534639</v>
      </c>
      <c r="AM378" s="397" t="str">
        <f t="shared" si="5"/>
        <v>$/kg (2016)</v>
      </c>
    </row>
    <row r="379" spans="1:39">
      <c r="A379" s="259" t="s">
        <v>1467</v>
      </c>
      <c r="B379" s="260"/>
      <c r="C379" s="351"/>
      <c r="D379" s="351"/>
      <c r="E379" s="260">
        <v>100</v>
      </c>
      <c r="F379" s="260"/>
      <c r="G379" s="351"/>
      <c r="H379" s="351"/>
      <c r="I379" s="262"/>
      <c r="J379" s="351"/>
      <c r="K379" s="351"/>
      <c r="L379" s="351"/>
      <c r="M379" s="351"/>
      <c r="N379" s="351"/>
      <c r="O379" s="351"/>
      <c r="P379" s="261">
        <v>0.93500000000000005</v>
      </c>
      <c r="Q379" s="260">
        <v>1</v>
      </c>
      <c r="R379" s="260" t="s">
        <v>20</v>
      </c>
      <c r="S379" s="260">
        <v>2006</v>
      </c>
      <c r="T379" s="260" t="s">
        <v>161</v>
      </c>
      <c r="U379" s="386">
        <v>42653</v>
      </c>
      <c r="V379" s="387"/>
      <c r="W379" s="354">
        <f>COUNT(RawMaterials[[#This Row],[Lab Quantity 1]:[Lab Quantity 4]])</f>
        <v>0</v>
      </c>
      <c r="X37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9" s="392" t="e">
        <f>RawMaterials[[#This Row],[Lab Price 1]]/RawMaterials[[#This Row],[Lab Q Model Units 1]]</f>
        <v>#N/A</v>
      </c>
      <c r="AC379" s="392" t="e">
        <f>RawMaterials[[#This Row],[Lab Price 2]]/RawMaterials[[#This Row],[Lab Q Model Units 2]]</f>
        <v>#N/A</v>
      </c>
      <c r="AD379" s="392" t="e">
        <f>RawMaterials[[#This Row],[Lab Price 3]]/RawMaterials[[#This Row],[Lab Q Model Units 3]]</f>
        <v>#N/A</v>
      </c>
      <c r="AE379" s="392" t="e">
        <f>RawMaterials[[#This Row],[Lab Price 4]]/RawMaterials[[#This Row],[Lab Q Model Units 4]]</f>
        <v>#N/A</v>
      </c>
      <c r="AF379" s="392" t="str">
        <f ca="1">IF(RawMaterials[[#This Row],[Lab Quote Count]]&gt;1,SLOPE(LOG(INDIRECT("RawMaterials[@[Lab Unit P 1]:[Lab Unit P "&amp;RawMaterials[[#This Row],[Lab Quote Count]]&amp;"]]")),LOG(INDIRECT("RawMaterials[@[Lab Q Model Units 1]:[Lab Q Model Units "&amp;RawMaterials[[#This Row],[Lab Quote Count]]&amp;"]]"))),"")</f>
        <v/>
      </c>
      <c r="AG379" s="392" t="str">
        <f ca="1">IF(RawMaterials[[#This Row],[Lab Quote Count]]&gt;1,INTERCEPT(LOG(INDIRECT("RawMaterials[@[Lab Unit P 1]:[Lab Unit P "&amp;RawMaterials[[#This Row],[Lab Quote Count]]&amp;"]]")),LOG(INDIRECT("RawMaterials[@[Lab Q Model Units 1]:[Lab Q Model Units "&amp;RawMaterials[[#This Row],[Lab Quote Count]]&amp;"]]"))),"")</f>
        <v/>
      </c>
      <c r="AH379" s="393" t="str">
        <f>IF(RawMaterials[[#This Row],[Material Type]]="Metal Precursor","D13",IF(RawMaterials[[#This Row],[Material Type]]="Ligand","D13","D12"))</f>
        <v>D12</v>
      </c>
      <c r="AI379" s="394" t="str">
        <f ca="1">IF(RawMaterials[[#This Row],[Lab Quote Count]]&gt;1,10^RawMaterials[[#This Row],[Lab Log-Log Intercept]]*INDIRECT(RawMaterials[[#This Row],[Basis Cell]])^RawMaterials[[#This Row],[Lab Log-Log Slope]],"&gt;&gt;&gt; Enter 2 or more lab quotes &lt;&lt;&lt;")</f>
        <v>&gt;&gt;&gt; Enter 2 or more lab quotes &lt;&lt;&lt;</v>
      </c>
      <c r="AJ37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2.0613221514286053</v>
      </c>
      <c r="AL379" s="396">
        <f>IF(ISTEXT(RawMaterials[[#This Row],[Unit price in quote year]]),"Check calcs",RawMaterials[[#This Row],[Unit price in quote year]]/VLOOKUP(RawMaterials[[#This Row],[Quote Year]],ChemPPI[],14,FALSE)*VLOOKUP(BasisYear,ChemPPI[],14,FALSE))</f>
        <v>2.7976582654805924</v>
      </c>
      <c r="AM379" s="397" t="str">
        <f t="shared" si="5"/>
        <v>$/kg (2016)</v>
      </c>
    </row>
    <row r="380" spans="1:39">
      <c r="A380" s="259" t="s">
        <v>1468</v>
      </c>
      <c r="B380" s="260"/>
      <c r="C380" s="351"/>
      <c r="D380" s="351"/>
      <c r="E380" s="260">
        <v>100</v>
      </c>
      <c r="F380" s="260"/>
      <c r="G380" s="351"/>
      <c r="H380" s="351"/>
      <c r="I380" s="262"/>
      <c r="J380" s="351"/>
      <c r="K380" s="351"/>
      <c r="L380" s="351"/>
      <c r="M380" s="351"/>
      <c r="N380" s="351"/>
      <c r="O380" s="351"/>
      <c r="P380" s="261">
        <v>0.83</v>
      </c>
      <c r="Q380" s="260">
        <v>1</v>
      </c>
      <c r="R380" s="260" t="s">
        <v>20</v>
      </c>
      <c r="S380" s="260">
        <v>2006</v>
      </c>
      <c r="T380" s="260" t="s">
        <v>161</v>
      </c>
      <c r="U380" s="386">
        <v>42653</v>
      </c>
      <c r="V380" s="387"/>
      <c r="W380" s="354">
        <f>COUNT(RawMaterials[[#This Row],[Lab Quantity 1]:[Lab Quantity 4]])</f>
        <v>0</v>
      </c>
      <c r="X38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0" s="392" t="e">
        <f>RawMaterials[[#This Row],[Lab Price 1]]/RawMaterials[[#This Row],[Lab Q Model Units 1]]</f>
        <v>#N/A</v>
      </c>
      <c r="AC380" s="392" t="e">
        <f>RawMaterials[[#This Row],[Lab Price 2]]/RawMaterials[[#This Row],[Lab Q Model Units 2]]</f>
        <v>#N/A</v>
      </c>
      <c r="AD380" s="392" t="e">
        <f>RawMaterials[[#This Row],[Lab Price 3]]/RawMaterials[[#This Row],[Lab Q Model Units 3]]</f>
        <v>#N/A</v>
      </c>
      <c r="AE380" s="392" t="e">
        <f>RawMaterials[[#This Row],[Lab Price 4]]/RawMaterials[[#This Row],[Lab Q Model Units 4]]</f>
        <v>#N/A</v>
      </c>
      <c r="AF380" s="392" t="str">
        <f ca="1">IF(RawMaterials[[#This Row],[Lab Quote Count]]&gt;1,SLOPE(LOG(INDIRECT("RawMaterials[@[Lab Unit P 1]:[Lab Unit P "&amp;RawMaterials[[#This Row],[Lab Quote Count]]&amp;"]]")),LOG(INDIRECT("RawMaterials[@[Lab Q Model Units 1]:[Lab Q Model Units "&amp;RawMaterials[[#This Row],[Lab Quote Count]]&amp;"]]"))),"")</f>
        <v/>
      </c>
      <c r="AG380" s="392" t="str">
        <f ca="1">IF(RawMaterials[[#This Row],[Lab Quote Count]]&gt;1,INTERCEPT(LOG(INDIRECT("RawMaterials[@[Lab Unit P 1]:[Lab Unit P "&amp;RawMaterials[[#This Row],[Lab Quote Count]]&amp;"]]")),LOG(INDIRECT("RawMaterials[@[Lab Q Model Units 1]:[Lab Q Model Units "&amp;RawMaterials[[#This Row],[Lab Quote Count]]&amp;"]]"))),"")</f>
        <v/>
      </c>
      <c r="AH380" s="393" t="str">
        <f>IF(RawMaterials[[#This Row],[Material Type]]="Metal Precursor","D13",IF(RawMaterials[[#This Row],[Material Type]]="Ligand","D13","D12"))</f>
        <v>D12</v>
      </c>
      <c r="AI380" s="394" t="str">
        <f ca="1">IF(RawMaterials[[#This Row],[Lab Quote Count]]&gt;1,10^RawMaterials[[#This Row],[Lab Log-Log Intercept]]*INDIRECT(RawMaterials[[#This Row],[Basis Cell]])^RawMaterials[[#This Row],[Lab Log-Log Slope]],"&gt;&gt;&gt; Enter 2 or more lab quotes &lt;&lt;&lt;")</f>
        <v>&gt;&gt;&gt; Enter 2 or more lab quotes &lt;&lt;&lt;</v>
      </c>
      <c r="AJ38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1.8298367761344838</v>
      </c>
      <c r="AL380" s="396">
        <f>IF(ISTEXT(RawMaterials[[#This Row],[Unit price in quote year]]),"Check calcs",RawMaterials[[#This Row],[Unit price in quote year]]/VLOOKUP(RawMaterials[[#This Row],[Quote Year]],ChemPPI[],14,FALSE)*VLOOKUP(BasisYear,ChemPPI[],14,FALSE))</f>
        <v>2.4834827383410607</v>
      </c>
      <c r="AM380" s="397" t="str">
        <f t="shared" si="5"/>
        <v>$/kg (2016)</v>
      </c>
    </row>
    <row r="381" spans="1:39">
      <c r="A381" s="259" t="s">
        <v>1469</v>
      </c>
      <c r="B381" s="260"/>
      <c r="C381" s="351"/>
      <c r="D381" s="351"/>
      <c r="E381" s="260">
        <v>100</v>
      </c>
      <c r="F381" s="260"/>
      <c r="G381" s="351"/>
      <c r="H381" s="351"/>
      <c r="I381" s="262"/>
      <c r="J381" s="351"/>
      <c r="K381" s="351"/>
      <c r="L381" s="351"/>
      <c r="M381" s="351"/>
      <c r="N381" s="351"/>
      <c r="O381" s="351"/>
      <c r="P381" s="261">
        <v>0.91</v>
      </c>
      <c r="Q381" s="260">
        <v>1</v>
      </c>
      <c r="R381" s="260" t="s">
        <v>20</v>
      </c>
      <c r="S381" s="260">
        <v>2006</v>
      </c>
      <c r="T381" s="260" t="s">
        <v>161</v>
      </c>
      <c r="U381" s="386">
        <v>42653</v>
      </c>
      <c r="V381" s="387"/>
      <c r="W381" s="354">
        <f>COUNT(RawMaterials[[#This Row],[Lab Quantity 1]:[Lab Quantity 4]])</f>
        <v>0</v>
      </c>
      <c r="X38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1" s="392" t="e">
        <f>RawMaterials[[#This Row],[Lab Price 1]]/RawMaterials[[#This Row],[Lab Q Model Units 1]]</f>
        <v>#N/A</v>
      </c>
      <c r="AC381" s="392" t="e">
        <f>RawMaterials[[#This Row],[Lab Price 2]]/RawMaterials[[#This Row],[Lab Q Model Units 2]]</f>
        <v>#N/A</v>
      </c>
      <c r="AD381" s="392" t="e">
        <f>RawMaterials[[#This Row],[Lab Price 3]]/RawMaterials[[#This Row],[Lab Q Model Units 3]]</f>
        <v>#N/A</v>
      </c>
      <c r="AE381" s="392" t="e">
        <f>RawMaterials[[#This Row],[Lab Price 4]]/RawMaterials[[#This Row],[Lab Q Model Units 4]]</f>
        <v>#N/A</v>
      </c>
      <c r="AF381" s="392" t="str">
        <f ca="1">IF(RawMaterials[[#This Row],[Lab Quote Count]]&gt;1,SLOPE(LOG(INDIRECT("RawMaterials[@[Lab Unit P 1]:[Lab Unit P "&amp;RawMaterials[[#This Row],[Lab Quote Count]]&amp;"]]")),LOG(INDIRECT("RawMaterials[@[Lab Q Model Units 1]:[Lab Q Model Units "&amp;RawMaterials[[#This Row],[Lab Quote Count]]&amp;"]]"))),"")</f>
        <v/>
      </c>
      <c r="AG381" s="392" t="str">
        <f ca="1">IF(RawMaterials[[#This Row],[Lab Quote Count]]&gt;1,INTERCEPT(LOG(INDIRECT("RawMaterials[@[Lab Unit P 1]:[Lab Unit P "&amp;RawMaterials[[#This Row],[Lab Quote Count]]&amp;"]]")),LOG(INDIRECT("RawMaterials[@[Lab Q Model Units 1]:[Lab Q Model Units "&amp;RawMaterials[[#This Row],[Lab Quote Count]]&amp;"]]"))),"")</f>
        <v/>
      </c>
      <c r="AH381" s="393" t="str">
        <f>IF(RawMaterials[[#This Row],[Material Type]]="Metal Precursor","D13",IF(RawMaterials[[#This Row],[Material Type]]="Ligand","D13","D12"))</f>
        <v>D12</v>
      </c>
      <c r="AI381" s="394" t="str">
        <f ca="1">IF(RawMaterials[[#This Row],[Lab Quote Count]]&gt;1,10^RawMaterials[[#This Row],[Lab Log-Log Intercept]]*INDIRECT(RawMaterials[[#This Row],[Basis Cell]])^RawMaterials[[#This Row],[Lab Log-Log Slope]],"&gt;&gt;&gt; Enter 2 or more lab quotes &lt;&lt;&lt;")</f>
        <v>&gt;&gt;&gt; Enter 2 or more lab quotes &lt;&lt;&lt;</v>
      </c>
      <c r="AJ38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2.0062065858823859</v>
      </c>
      <c r="AL381" s="396">
        <f>IF(ISTEXT(RawMaterials[[#This Row],[Unit price in quote year]]),"Check calcs",RawMaterials[[#This Row],[Unit price in quote year]]/VLOOKUP(RawMaterials[[#This Row],[Quote Year]],ChemPPI[],14,FALSE)*VLOOKUP(BasisYear,ChemPPI[],14,FALSE))</f>
        <v>2.7228545685426084</v>
      </c>
      <c r="AM381" s="397" t="str">
        <f t="shared" si="5"/>
        <v>$/kg (2016)</v>
      </c>
    </row>
    <row r="382" spans="1:39">
      <c r="A382" s="259" t="s">
        <v>1470</v>
      </c>
      <c r="B382" s="260"/>
      <c r="C382" s="351"/>
      <c r="D382" s="351"/>
      <c r="E382" s="260">
        <v>100</v>
      </c>
      <c r="F382" s="260"/>
      <c r="G382" s="351"/>
      <c r="H382" s="351"/>
      <c r="I382" s="262"/>
      <c r="J382" s="351"/>
      <c r="K382" s="351"/>
      <c r="L382" s="351"/>
      <c r="M382" s="351"/>
      <c r="N382" s="351"/>
      <c r="O382" s="351"/>
      <c r="P382" s="261">
        <v>0.80500000000000005</v>
      </c>
      <c r="Q382" s="260">
        <v>1</v>
      </c>
      <c r="R382" s="260" t="s">
        <v>20</v>
      </c>
      <c r="S382" s="260">
        <v>2006</v>
      </c>
      <c r="T382" s="260" t="s">
        <v>161</v>
      </c>
      <c r="U382" s="386">
        <v>42653</v>
      </c>
      <c r="V382" s="387"/>
      <c r="W382" s="354">
        <f>COUNT(RawMaterials[[#This Row],[Lab Quantity 1]:[Lab Quantity 4]])</f>
        <v>0</v>
      </c>
      <c r="X38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2" s="392" t="e">
        <f>RawMaterials[[#This Row],[Lab Price 1]]/RawMaterials[[#This Row],[Lab Q Model Units 1]]</f>
        <v>#N/A</v>
      </c>
      <c r="AC382" s="392" t="e">
        <f>RawMaterials[[#This Row],[Lab Price 2]]/RawMaterials[[#This Row],[Lab Q Model Units 2]]</f>
        <v>#N/A</v>
      </c>
      <c r="AD382" s="392" t="e">
        <f>RawMaterials[[#This Row],[Lab Price 3]]/RawMaterials[[#This Row],[Lab Q Model Units 3]]</f>
        <v>#N/A</v>
      </c>
      <c r="AE382" s="392" t="e">
        <f>RawMaterials[[#This Row],[Lab Price 4]]/RawMaterials[[#This Row],[Lab Q Model Units 4]]</f>
        <v>#N/A</v>
      </c>
      <c r="AF382" s="392" t="str">
        <f ca="1">IF(RawMaterials[[#This Row],[Lab Quote Count]]&gt;1,SLOPE(LOG(INDIRECT("RawMaterials[@[Lab Unit P 1]:[Lab Unit P "&amp;RawMaterials[[#This Row],[Lab Quote Count]]&amp;"]]")),LOG(INDIRECT("RawMaterials[@[Lab Q Model Units 1]:[Lab Q Model Units "&amp;RawMaterials[[#This Row],[Lab Quote Count]]&amp;"]]"))),"")</f>
        <v/>
      </c>
      <c r="AG382" s="392" t="str">
        <f ca="1">IF(RawMaterials[[#This Row],[Lab Quote Count]]&gt;1,INTERCEPT(LOG(INDIRECT("RawMaterials[@[Lab Unit P 1]:[Lab Unit P "&amp;RawMaterials[[#This Row],[Lab Quote Count]]&amp;"]]")),LOG(INDIRECT("RawMaterials[@[Lab Q Model Units 1]:[Lab Q Model Units "&amp;RawMaterials[[#This Row],[Lab Quote Count]]&amp;"]]"))),"")</f>
        <v/>
      </c>
      <c r="AH382" s="393" t="str">
        <f>IF(RawMaterials[[#This Row],[Material Type]]="Metal Precursor","D13",IF(RawMaterials[[#This Row],[Material Type]]="Ligand","D13","D12"))</f>
        <v>D12</v>
      </c>
      <c r="AI382" s="394" t="str">
        <f ca="1">IF(RawMaterials[[#This Row],[Lab Quote Count]]&gt;1,10^RawMaterials[[#This Row],[Lab Log-Log Intercept]]*INDIRECT(RawMaterials[[#This Row],[Basis Cell]])^RawMaterials[[#This Row],[Lab Log-Log Slope]],"&gt;&gt;&gt; Enter 2 or more lab quotes &lt;&lt;&lt;")</f>
        <v>&gt;&gt;&gt; Enter 2 or more lab quotes &lt;&lt;&lt;</v>
      </c>
      <c r="AJ38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1.7747212105882646</v>
      </c>
      <c r="AL382" s="396">
        <f>IF(ISTEXT(RawMaterials[[#This Row],[Unit price in quote year]]),"Check calcs",RawMaterials[[#This Row],[Unit price in quote year]]/VLOOKUP(RawMaterials[[#This Row],[Quote Year]],ChemPPI[],14,FALSE)*VLOOKUP(BasisYear,ChemPPI[],14,FALSE))</f>
        <v>2.4086790414030772</v>
      </c>
      <c r="AM382" s="397" t="str">
        <f t="shared" si="5"/>
        <v>$/kg (2016)</v>
      </c>
    </row>
    <row r="383" spans="1:39">
      <c r="A383" s="259" t="s">
        <v>1471</v>
      </c>
      <c r="B383" s="260"/>
      <c r="C383" s="351"/>
      <c r="D383" s="351"/>
      <c r="E383" s="260">
        <v>100</v>
      </c>
      <c r="F383" s="260"/>
      <c r="G383" s="351"/>
      <c r="H383" s="351"/>
      <c r="I383" s="262"/>
      <c r="J383" s="351"/>
      <c r="K383" s="351"/>
      <c r="L383" s="351"/>
      <c r="M383" s="351"/>
      <c r="N383" s="351"/>
      <c r="O383" s="351"/>
      <c r="P383" s="261">
        <v>0.83</v>
      </c>
      <c r="Q383" s="260">
        <v>1</v>
      </c>
      <c r="R383" s="260" t="s">
        <v>20</v>
      </c>
      <c r="S383" s="260">
        <v>2006</v>
      </c>
      <c r="T383" s="260" t="s">
        <v>161</v>
      </c>
      <c r="U383" s="386">
        <v>42653</v>
      </c>
      <c r="V383" s="387"/>
      <c r="W383" s="354">
        <f>COUNT(RawMaterials[[#This Row],[Lab Quantity 1]:[Lab Quantity 4]])</f>
        <v>0</v>
      </c>
      <c r="X38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3" s="392" t="e">
        <f>RawMaterials[[#This Row],[Lab Price 1]]/RawMaterials[[#This Row],[Lab Q Model Units 1]]</f>
        <v>#N/A</v>
      </c>
      <c r="AC383" s="392" t="e">
        <f>RawMaterials[[#This Row],[Lab Price 2]]/RawMaterials[[#This Row],[Lab Q Model Units 2]]</f>
        <v>#N/A</v>
      </c>
      <c r="AD383" s="392" t="e">
        <f>RawMaterials[[#This Row],[Lab Price 3]]/RawMaterials[[#This Row],[Lab Q Model Units 3]]</f>
        <v>#N/A</v>
      </c>
      <c r="AE383" s="392" t="e">
        <f>RawMaterials[[#This Row],[Lab Price 4]]/RawMaterials[[#This Row],[Lab Q Model Units 4]]</f>
        <v>#N/A</v>
      </c>
      <c r="AF383" s="392" t="str">
        <f ca="1">IF(RawMaterials[[#This Row],[Lab Quote Count]]&gt;1,SLOPE(LOG(INDIRECT("RawMaterials[@[Lab Unit P 1]:[Lab Unit P "&amp;RawMaterials[[#This Row],[Lab Quote Count]]&amp;"]]")),LOG(INDIRECT("RawMaterials[@[Lab Q Model Units 1]:[Lab Q Model Units "&amp;RawMaterials[[#This Row],[Lab Quote Count]]&amp;"]]"))),"")</f>
        <v/>
      </c>
      <c r="AG383" s="392" t="str">
        <f ca="1">IF(RawMaterials[[#This Row],[Lab Quote Count]]&gt;1,INTERCEPT(LOG(INDIRECT("RawMaterials[@[Lab Unit P 1]:[Lab Unit P "&amp;RawMaterials[[#This Row],[Lab Quote Count]]&amp;"]]")),LOG(INDIRECT("RawMaterials[@[Lab Q Model Units 1]:[Lab Q Model Units "&amp;RawMaterials[[#This Row],[Lab Quote Count]]&amp;"]]"))),"")</f>
        <v/>
      </c>
      <c r="AH383" s="393" t="str">
        <f>IF(RawMaterials[[#This Row],[Material Type]]="Metal Precursor","D13",IF(RawMaterials[[#This Row],[Material Type]]="Ligand","D13","D12"))</f>
        <v>D12</v>
      </c>
      <c r="AI383" s="394" t="str">
        <f ca="1">IF(RawMaterials[[#This Row],[Lab Quote Count]]&gt;1,10^RawMaterials[[#This Row],[Lab Log-Log Intercept]]*INDIRECT(RawMaterials[[#This Row],[Basis Cell]])^RawMaterials[[#This Row],[Lab Log-Log Slope]],"&gt;&gt;&gt; Enter 2 or more lab quotes &lt;&lt;&lt;")</f>
        <v>&gt;&gt;&gt; Enter 2 or more lab quotes &lt;&lt;&lt;</v>
      </c>
      <c r="AJ38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1.8298367761344838</v>
      </c>
      <c r="AL383" s="396">
        <f>IF(ISTEXT(RawMaterials[[#This Row],[Unit price in quote year]]),"Check calcs",RawMaterials[[#This Row],[Unit price in quote year]]/VLOOKUP(RawMaterials[[#This Row],[Quote Year]],ChemPPI[],14,FALSE)*VLOOKUP(BasisYear,ChemPPI[],14,FALSE))</f>
        <v>2.4834827383410607</v>
      </c>
      <c r="AM383" s="397" t="str">
        <f t="shared" si="5"/>
        <v>$/kg (2016)</v>
      </c>
    </row>
    <row r="384" spans="1:39">
      <c r="A384" s="259" t="s">
        <v>1472</v>
      </c>
      <c r="B384" s="260"/>
      <c r="C384" s="351"/>
      <c r="D384" s="351"/>
      <c r="E384" s="260">
        <v>100</v>
      </c>
      <c r="F384" s="260"/>
      <c r="G384" s="351"/>
      <c r="H384" s="351"/>
      <c r="I384" s="262"/>
      <c r="J384" s="351"/>
      <c r="K384" s="351"/>
      <c r="L384" s="351"/>
      <c r="M384" s="351"/>
      <c r="N384" s="351"/>
      <c r="O384" s="351"/>
      <c r="P384" s="261">
        <v>0.93500000000000005</v>
      </c>
      <c r="Q384" s="260">
        <v>1</v>
      </c>
      <c r="R384" s="260" t="s">
        <v>20</v>
      </c>
      <c r="S384" s="260">
        <v>2006</v>
      </c>
      <c r="T384" s="260" t="s">
        <v>161</v>
      </c>
      <c r="U384" s="386">
        <v>42653</v>
      </c>
      <c r="V384" s="387"/>
      <c r="W384" s="354">
        <f>COUNT(RawMaterials[[#This Row],[Lab Quantity 1]:[Lab Quantity 4]])</f>
        <v>0</v>
      </c>
      <c r="X38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4" s="392" t="e">
        <f>RawMaterials[[#This Row],[Lab Price 1]]/RawMaterials[[#This Row],[Lab Q Model Units 1]]</f>
        <v>#N/A</v>
      </c>
      <c r="AC384" s="392" t="e">
        <f>RawMaterials[[#This Row],[Lab Price 2]]/RawMaterials[[#This Row],[Lab Q Model Units 2]]</f>
        <v>#N/A</v>
      </c>
      <c r="AD384" s="392" t="e">
        <f>RawMaterials[[#This Row],[Lab Price 3]]/RawMaterials[[#This Row],[Lab Q Model Units 3]]</f>
        <v>#N/A</v>
      </c>
      <c r="AE384" s="392" t="e">
        <f>RawMaterials[[#This Row],[Lab Price 4]]/RawMaterials[[#This Row],[Lab Q Model Units 4]]</f>
        <v>#N/A</v>
      </c>
      <c r="AF384" s="392" t="str">
        <f ca="1">IF(RawMaterials[[#This Row],[Lab Quote Count]]&gt;1,SLOPE(LOG(INDIRECT("RawMaterials[@[Lab Unit P 1]:[Lab Unit P "&amp;RawMaterials[[#This Row],[Lab Quote Count]]&amp;"]]")),LOG(INDIRECT("RawMaterials[@[Lab Q Model Units 1]:[Lab Q Model Units "&amp;RawMaterials[[#This Row],[Lab Quote Count]]&amp;"]]"))),"")</f>
        <v/>
      </c>
      <c r="AG384" s="392" t="str">
        <f ca="1">IF(RawMaterials[[#This Row],[Lab Quote Count]]&gt;1,INTERCEPT(LOG(INDIRECT("RawMaterials[@[Lab Unit P 1]:[Lab Unit P "&amp;RawMaterials[[#This Row],[Lab Quote Count]]&amp;"]]")),LOG(INDIRECT("RawMaterials[@[Lab Q Model Units 1]:[Lab Q Model Units "&amp;RawMaterials[[#This Row],[Lab Quote Count]]&amp;"]]"))),"")</f>
        <v/>
      </c>
      <c r="AH384" s="393" t="str">
        <f>IF(RawMaterials[[#This Row],[Material Type]]="Metal Precursor","D13",IF(RawMaterials[[#This Row],[Material Type]]="Ligand","D13","D12"))</f>
        <v>D12</v>
      </c>
      <c r="AI384" s="394" t="str">
        <f ca="1">IF(RawMaterials[[#This Row],[Lab Quote Count]]&gt;1,10^RawMaterials[[#This Row],[Lab Log-Log Intercept]]*INDIRECT(RawMaterials[[#This Row],[Basis Cell]])^RawMaterials[[#This Row],[Lab Log-Log Slope]],"&gt;&gt;&gt; Enter 2 or more lab quotes &lt;&lt;&lt;")</f>
        <v>&gt;&gt;&gt; Enter 2 or more lab quotes &lt;&lt;&lt;</v>
      </c>
      <c r="AJ38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2.0613221514286053</v>
      </c>
      <c r="AL384" s="396">
        <f>IF(ISTEXT(RawMaterials[[#This Row],[Unit price in quote year]]),"Check calcs",RawMaterials[[#This Row],[Unit price in quote year]]/VLOOKUP(RawMaterials[[#This Row],[Quote Year]],ChemPPI[],14,FALSE)*VLOOKUP(BasisYear,ChemPPI[],14,FALSE))</f>
        <v>2.7976582654805924</v>
      </c>
      <c r="AM384" s="397" t="str">
        <f t="shared" si="5"/>
        <v>$/kg (2016)</v>
      </c>
    </row>
    <row r="385" spans="1:39">
      <c r="A385" s="259" t="s">
        <v>1473</v>
      </c>
      <c r="B385" s="260"/>
      <c r="C385" s="351"/>
      <c r="D385" s="351"/>
      <c r="E385" s="260">
        <v>100</v>
      </c>
      <c r="F385" s="260"/>
      <c r="G385" s="351"/>
      <c r="H385" s="351"/>
      <c r="I385" s="262"/>
      <c r="J385" s="351"/>
      <c r="K385" s="351"/>
      <c r="L385" s="351"/>
      <c r="M385" s="351"/>
      <c r="N385" s="351"/>
      <c r="O385" s="351"/>
      <c r="P385" s="261">
        <v>0.82</v>
      </c>
      <c r="Q385" s="260">
        <v>1</v>
      </c>
      <c r="R385" s="260" t="s">
        <v>20</v>
      </c>
      <c r="S385" s="260">
        <v>2008</v>
      </c>
      <c r="T385" s="260" t="s">
        <v>161</v>
      </c>
      <c r="U385" s="386">
        <v>42653</v>
      </c>
      <c r="V385" s="387"/>
      <c r="W385" s="354">
        <f>COUNT(RawMaterials[[#This Row],[Lab Quantity 1]:[Lab Quantity 4]])</f>
        <v>0</v>
      </c>
      <c r="X38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5" s="392" t="e">
        <f>RawMaterials[[#This Row],[Lab Price 1]]/RawMaterials[[#This Row],[Lab Q Model Units 1]]</f>
        <v>#N/A</v>
      </c>
      <c r="AC385" s="392" t="e">
        <f>RawMaterials[[#This Row],[Lab Price 2]]/RawMaterials[[#This Row],[Lab Q Model Units 2]]</f>
        <v>#N/A</v>
      </c>
      <c r="AD385" s="392" t="e">
        <f>RawMaterials[[#This Row],[Lab Price 3]]/RawMaterials[[#This Row],[Lab Q Model Units 3]]</f>
        <v>#N/A</v>
      </c>
      <c r="AE385" s="392" t="e">
        <f>RawMaterials[[#This Row],[Lab Price 4]]/RawMaterials[[#This Row],[Lab Q Model Units 4]]</f>
        <v>#N/A</v>
      </c>
      <c r="AF385" s="392" t="str">
        <f ca="1">IF(RawMaterials[[#This Row],[Lab Quote Count]]&gt;1,SLOPE(LOG(INDIRECT("RawMaterials[@[Lab Unit P 1]:[Lab Unit P "&amp;RawMaterials[[#This Row],[Lab Quote Count]]&amp;"]]")),LOG(INDIRECT("RawMaterials[@[Lab Q Model Units 1]:[Lab Q Model Units "&amp;RawMaterials[[#This Row],[Lab Quote Count]]&amp;"]]"))),"")</f>
        <v/>
      </c>
      <c r="AG385" s="392" t="str">
        <f ca="1">IF(RawMaterials[[#This Row],[Lab Quote Count]]&gt;1,INTERCEPT(LOG(INDIRECT("RawMaterials[@[Lab Unit P 1]:[Lab Unit P "&amp;RawMaterials[[#This Row],[Lab Quote Count]]&amp;"]]")),LOG(INDIRECT("RawMaterials[@[Lab Q Model Units 1]:[Lab Q Model Units "&amp;RawMaterials[[#This Row],[Lab Quote Count]]&amp;"]]"))),"")</f>
        <v/>
      </c>
      <c r="AH385" s="393" t="str">
        <f>IF(RawMaterials[[#This Row],[Material Type]]="Metal Precursor","D13",IF(RawMaterials[[#This Row],[Material Type]]="Ligand","D13","D12"))</f>
        <v>D12</v>
      </c>
      <c r="AI385" s="394" t="str">
        <f ca="1">IF(RawMaterials[[#This Row],[Lab Quote Count]]&gt;1,10^RawMaterials[[#This Row],[Lab Log-Log Intercept]]*INDIRECT(RawMaterials[[#This Row],[Basis Cell]])^RawMaterials[[#This Row],[Lab Log-Log Slope]],"&gt;&gt;&gt; Enter 2 or more lab quotes &lt;&lt;&lt;")</f>
        <v>&gt;&gt;&gt; Enter 2 or more lab quotes &lt;&lt;&lt;</v>
      </c>
      <c r="AJ38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1.8077905499159959</v>
      </c>
      <c r="AL385" s="396">
        <f>IF(ISTEXT(RawMaterials[[#This Row],[Unit price in quote year]]),"Check calcs",RawMaterials[[#This Row],[Unit price in quote year]]/VLOOKUP(RawMaterials[[#This Row],[Quote Year]],ChemPPI[],14,FALSE)*VLOOKUP(BasisYear,ChemPPI[],14,FALSE))</f>
        <v>2.1158774039038706</v>
      </c>
      <c r="AM385" s="397" t="str">
        <f t="shared" si="5"/>
        <v>$/kg (2016)</v>
      </c>
    </row>
    <row r="386" spans="1:39">
      <c r="A386" s="259" t="s">
        <v>1474</v>
      </c>
      <c r="B386" s="260"/>
      <c r="C386" s="351"/>
      <c r="D386" s="351"/>
      <c r="E386" s="260">
        <v>100</v>
      </c>
      <c r="F386" s="260"/>
      <c r="G386" s="351"/>
      <c r="H386" s="351"/>
      <c r="I386" s="262"/>
      <c r="J386" s="351"/>
      <c r="K386" s="351"/>
      <c r="L386" s="351"/>
      <c r="M386" s="351"/>
      <c r="N386" s="351"/>
      <c r="O386" s="351"/>
      <c r="P386" s="261">
        <v>0.68500000000000005</v>
      </c>
      <c r="Q386" s="260">
        <v>1</v>
      </c>
      <c r="R386" s="260" t="s">
        <v>20</v>
      </c>
      <c r="S386" s="260">
        <v>2008</v>
      </c>
      <c r="T386" s="260" t="s">
        <v>161</v>
      </c>
      <c r="U386" s="386">
        <v>42653</v>
      </c>
      <c r="V386" s="387"/>
      <c r="W386" s="354">
        <f>COUNT(RawMaterials[[#This Row],[Lab Quantity 1]:[Lab Quantity 4]])</f>
        <v>0</v>
      </c>
      <c r="X38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6" s="392" t="e">
        <f>RawMaterials[[#This Row],[Lab Price 1]]/RawMaterials[[#This Row],[Lab Q Model Units 1]]</f>
        <v>#N/A</v>
      </c>
      <c r="AC386" s="392" t="e">
        <f>RawMaterials[[#This Row],[Lab Price 2]]/RawMaterials[[#This Row],[Lab Q Model Units 2]]</f>
        <v>#N/A</v>
      </c>
      <c r="AD386" s="392" t="e">
        <f>RawMaterials[[#This Row],[Lab Price 3]]/RawMaterials[[#This Row],[Lab Q Model Units 3]]</f>
        <v>#N/A</v>
      </c>
      <c r="AE386" s="392" t="e">
        <f>RawMaterials[[#This Row],[Lab Price 4]]/RawMaterials[[#This Row],[Lab Q Model Units 4]]</f>
        <v>#N/A</v>
      </c>
      <c r="AF386" s="392" t="str">
        <f ca="1">IF(RawMaterials[[#This Row],[Lab Quote Count]]&gt;1,SLOPE(LOG(INDIRECT("RawMaterials[@[Lab Unit P 1]:[Lab Unit P "&amp;RawMaterials[[#This Row],[Lab Quote Count]]&amp;"]]")),LOG(INDIRECT("RawMaterials[@[Lab Q Model Units 1]:[Lab Q Model Units "&amp;RawMaterials[[#This Row],[Lab Quote Count]]&amp;"]]"))),"")</f>
        <v/>
      </c>
      <c r="AG386" s="392" t="str">
        <f ca="1">IF(RawMaterials[[#This Row],[Lab Quote Count]]&gt;1,INTERCEPT(LOG(INDIRECT("RawMaterials[@[Lab Unit P 1]:[Lab Unit P "&amp;RawMaterials[[#This Row],[Lab Quote Count]]&amp;"]]")),LOG(INDIRECT("RawMaterials[@[Lab Q Model Units 1]:[Lab Q Model Units "&amp;RawMaterials[[#This Row],[Lab Quote Count]]&amp;"]]"))),"")</f>
        <v/>
      </c>
      <c r="AH386" s="393" t="str">
        <f>IF(RawMaterials[[#This Row],[Material Type]]="Metal Precursor","D13",IF(RawMaterials[[#This Row],[Material Type]]="Ligand","D13","D12"))</f>
        <v>D12</v>
      </c>
      <c r="AI386" s="394" t="str">
        <f ca="1">IF(RawMaterials[[#This Row],[Lab Quote Count]]&gt;1,10^RawMaterials[[#This Row],[Lab Log-Log Intercept]]*INDIRECT(RawMaterials[[#This Row],[Basis Cell]])^RawMaterials[[#This Row],[Lab Log-Log Slope]],"&gt;&gt;&gt; Enter 2 or more lab quotes &lt;&lt;&lt;")</f>
        <v>&gt;&gt;&gt; Enter 2 or more lab quotes &lt;&lt;&lt;</v>
      </c>
      <c r="AJ38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1.5101664959664114</v>
      </c>
      <c r="AL386" s="396">
        <f>IF(ISTEXT(RawMaterials[[#This Row],[Unit price in quote year]]),"Check calcs",RawMaterials[[#This Row],[Unit price in quote year]]/VLOOKUP(RawMaterials[[#This Row],[Quote Year]],ChemPPI[],14,FALSE)*VLOOKUP(BasisYear,ChemPPI[],14,FALSE))</f>
        <v>1.7675317337489653</v>
      </c>
      <c r="AM386" s="397" t="str">
        <f t="shared" si="5"/>
        <v>$/kg (2016)</v>
      </c>
    </row>
    <row r="387" spans="1:39">
      <c r="A387" s="259" t="s">
        <v>1475</v>
      </c>
      <c r="B387" s="260"/>
      <c r="C387" s="351"/>
      <c r="D387" s="351"/>
      <c r="E387" s="260">
        <v>100</v>
      </c>
      <c r="F387" s="260"/>
      <c r="G387" s="351"/>
      <c r="H387" s="351"/>
      <c r="I387" s="262"/>
      <c r="J387" s="351"/>
      <c r="K387" s="351"/>
      <c r="L387" s="351"/>
      <c r="M387" s="351"/>
      <c r="N387" s="351"/>
      <c r="O387" s="351"/>
      <c r="P387" s="261">
        <v>0.74</v>
      </c>
      <c r="Q387" s="260">
        <v>1</v>
      </c>
      <c r="R387" s="260" t="s">
        <v>20</v>
      </c>
      <c r="S387" s="260">
        <v>2006</v>
      </c>
      <c r="T387" s="260" t="s">
        <v>161</v>
      </c>
      <c r="U387" s="386">
        <v>42653</v>
      </c>
      <c r="V387" s="387"/>
      <c r="W387" s="354">
        <f>COUNT(RawMaterials[[#This Row],[Lab Quantity 1]:[Lab Quantity 4]])</f>
        <v>0</v>
      </c>
      <c r="X38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7" s="392" t="e">
        <f>RawMaterials[[#This Row],[Lab Price 1]]/RawMaterials[[#This Row],[Lab Q Model Units 1]]</f>
        <v>#N/A</v>
      </c>
      <c r="AC387" s="392" t="e">
        <f>RawMaterials[[#This Row],[Lab Price 2]]/RawMaterials[[#This Row],[Lab Q Model Units 2]]</f>
        <v>#N/A</v>
      </c>
      <c r="AD387" s="392" t="e">
        <f>RawMaterials[[#This Row],[Lab Price 3]]/RawMaterials[[#This Row],[Lab Q Model Units 3]]</f>
        <v>#N/A</v>
      </c>
      <c r="AE387" s="392" t="e">
        <f>RawMaterials[[#This Row],[Lab Price 4]]/RawMaterials[[#This Row],[Lab Q Model Units 4]]</f>
        <v>#N/A</v>
      </c>
      <c r="AF387" s="392" t="str">
        <f ca="1">IF(RawMaterials[[#This Row],[Lab Quote Count]]&gt;1,SLOPE(LOG(INDIRECT("RawMaterials[@[Lab Unit P 1]:[Lab Unit P "&amp;RawMaterials[[#This Row],[Lab Quote Count]]&amp;"]]")),LOG(INDIRECT("RawMaterials[@[Lab Q Model Units 1]:[Lab Q Model Units "&amp;RawMaterials[[#This Row],[Lab Quote Count]]&amp;"]]"))),"")</f>
        <v/>
      </c>
      <c r="AG387" s="392" t="str">
        <f ca="1">IF(RawMaterials[[#This Row],[Lab Quote Count]]&gt;1,INTERCEPT(LOG(INDIRECT("RawMaterials[@[Lab Unit P 1]:[Lab Unit P "&amp;RawMaterials[[#This Row],[Lab Quote Count]]&amp;"]]")),LOG(INDIRECT("RawMaterials[@[Lab Q Model Units 1]:[Lab Q Model Units "&amp;RawMaterials[[#This Row],[Lab Quote Count]]&amp;"]]"))),"")</f>
        <v/>
      </c>
      <c r="AH387" s="393" t="str">
        <f>IF(RawMaterials[[#This Row],[Material Type]]="Metal Precursor","D13",IF(RawMaterials[[#This Row],[Material Type]]="Ligand","D13","D12"))</f>
        <v>D12</v>
      </c>
      <c r="AI387" s="394" t="str">
        <f ca="1">IF(RawMaterials[[#This Row],[Lab Quote Count]]&gt;1,10^RawMaterials[[#This Row],[Lab Log-Log Intercept]]*INDIRECT(RawMaterials[[#This Row],[Basis Cell]])^RawMaterials[[#This Row],[Lab Log-Log Slope]],"&gt;&gt;&gt; Enter 2 or more lab quotes &lt;&lt;&lt;")</f>
        <v>&gt;&gt;&gt; Enter 2 or more lab quotes &lt;&lt;&lt;</v>
      </c>
      <c r="AJ38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1.631420740168094</v>
      </c>
      <c r="AL387" s="396">
        <f>IF(ISTEXT(RawMaterials[[#This Row],[Unit price in quote year]]),"Check calcs",RawMaterials[[#This Row],[Unit price in quote year]]/VLOOKUP(RawMaterials[[#This Row],[Quote Year]],ChemPPI[],14,FALSE)*VLOOKUP(BasisYear,ChemPPI[],14,FALSE))</f>
        <v>2.214189429364319</v>
      </c>
      <c r="AM387" s="397" t="str">
        <f t="shared" si="5"/>
        <v>$/kg (2016)</v>
      </c>
    </row>
    <row r="388" spans="1:39">
      <c r="A388" s="259" t="s">
        <v>1476</v>
      </c>
      <c r="B388" s="260"/>
      <c r="C388" s="351"/>
      <c r="D388" s="351"/>
      <c r="E388" s="260">
        <v>100</v>
      </c>
      <c r="F388" s="260"/>
      <c r="G388" s="351"/>
      <c r="H388" s="351"/>
      <c r="I388" s="262"/>
      <c r="J388" s="351"/>
      <c r="K388" s="351"/>
      <c r="L388" s="351"/>
      <c r="M388" s="351"/>
      <c r="N388" s="351"/>
      <c r="O388" s="351"/>
      <c r="P388" s="261">
        <v>36</v>
      </c>
      <c r="Q388" s="260">
        <v>100</v>
      </c>
      <c r="R388" s="260" t="s">
        <v>20</v>
      </c>
      <c r="S388" s="260">
        <v>2006</v>
      </c>
      <c r="T388" s="260" t="s">
        <v>161</v>
      </c>
      <c r="U388" s="386">
        <v>42653</v>
      </c>
      <c r="V388" s="387"/>
      <c r="W388" s="354">
        <f>COUNT(RawMaterials[[#This Row],[Lab Quantity 1]:[Lab Quantity 4]])</f>
        <v>0</v>
      </c>
      <c r="X38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8" s="392" t="e">
        <f>RawMaterials[[#This Row],[Lab Price 1]]/RawMaterials[[#This Row],[Lab Q Model Units 1]]</f>
        <v>#N/A</v>
      </c>
      <c r="AC388" s="392" t="e">
        <f>RawMaterials[[#This Row],[Lab Price 2]]/RawMaterials[[#This Row],[Lab Q Model Units 2]]</f>
        <v>#N/A</v>
      </c>
      <c r="AD388" s="392" t="e">
        <f>RawMaterials[[#This Row],[Lab Price 3]]/RawMaterials[[#This Row],[Lab Q Model Units 3]]</f>
        <v>#N/A</v>
      </c>
      <c r="AE388" s="392" t="e">
        <f>RawMaterials[[#This Row],[Lab Price 4]]/RawMaterials[[#This Row],[Lab Q Model Units 4]]</f>
        <v>#N/A</v>
      </c>
      <c r="AF388" s="392" t="str">
        <f ca="1">IF(RawMaterials[[#This Row],[Lab Quote Count]]&gt;1,SLOPE(LOG(INDIRECT("RawMaterials[@[Lab Unit P 1]:[Lab Unit P "&amp;RawMaterials[[#This Row],[Lab Quote Count]]&amp;"]]")),LOG(INDIRECT("RawMaterials[@[Lab Q Model Units 1]:[Lab Q Model Units "&amp;RawMaterials[[#This Row],[Lab Quote Count]]&amp;"]]"))),"")</f>
        <v/>
      </c>
      <c r="AG388" s="392" t="str">
        <f ca="1">IF(RawMaterials[[#This Row],[Lab Quote Count]]&gt;1,INTERCEPT(LOG(INDIRECT("RawMaterials[@[Lab Unit P 1]:[Lab Unit P "&amp;RawMaterials[[#This Row],[Lab Quote Count]]&amp;"]]")),LOG(INDIRECT("RawMaterials[@[Lab Q Model Units 1]:[Lab Q Model Units "&amp;RawMaterials[[#This Row],[Lab Quote Count]]&amp;"]]"))),"")</f>
        <v/>
      </c>
      <c r="AH388" s="393" t="str">
        <f>IF(RawMaterials[[#This Row],[Material Type]]="Metal Precursor","D13",IF(RawMaterials[[#This Row],[Material Type]]="Ligand","D13","D12"))</f>
        <v>D12</v>
      </c>
      <c r="AI388" s="394" t="str">
        <f ca="1">IF(RawMaterials[[#This Row],[Lab Quote Count]]&gt;1,10^RawMaterials[[#This Row],[Lab Log-Log Intercept]]*INDIRECT(RawMaterials[[#This Row],[Basis Cell]])^RawMaterials[[#This Row],[Lab Log-Log Slope]],"&gt;&gt;&gt; Enter 2 or more lab quotes &lt;&lt;&lt;")</f>
        <v>&gt;&gt;&gt; Enter 2 or more lab quotes &lt;&lt;&lt;</v>
      </c>
      <c r="AJ38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8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0.79366414386555928</v>
      </c>
      <c r="AL388" s="396">
        <f>IF(ISTEXT(RawMaterials[[#This Row],[Unit price in quote year]]),"Check calcs",RawMaterials[[#This Row],[Unit price in quote year]]/VLOOKUP(RawMaterials[[#This Row],[Quote Year]],ChemPPI[],14,FALSE)*VLOOKUP(BasisYear,ChemPPI[],14,FALSE))</f>
        <v>1.0771732359069659</v>
      </c>
      <c r="AM388" s="397" t="str">
        <f t="shared" si="5"/>
        <v>$/kg (2016)</v>
      </c>
    </row>
    <row r="389" spans="1:39">
      <c r="A389" s="259" t="s">
        <v>1477</v>
      </c>
      <c r="B389" s="260"/>
      <c r="C389" s="351"/>
      <c r="D389" s="351"/>
      <c r="E389" s="260">
        <v>100</v>
      </c>
      <c r="F389" s="260"/>
      <c r="G389" s="351"/>
      <c r="H389" s="351"/>
      <c r="I389" s="262"/>
      <c r="J389" s="351"/>
      <c r="K389" s="351"/>
      <c r="L389" s="351"/>
      <c r="M389" s="351"/>
      <c r="N389" s="351"/>
      <c r="O389" s="351"/>
      <c r="P389" s="261">
        <v>37.700000000000003</v>
      </c>
      <c r="Q389" s="260">
        <v>100</v>
      </c>
      <c r="R389" s="260" t="s">
        <v>20</v>
      </c>
      <c r="S389" s="260">
        <v>2006</v>
      </c>
      <c r="T389" s="260" t="s">
        <v>161</v>
      </c>
      <c r="U389" s="386">
        <v>42653</v>
      </c>
      <c r="V389" s="387"/>
      <c r="W389" s="354">
        <f>COUNT(RawMaterials[[#This Row],[Lab Quantity 1]:[Lab Quantity 4]])</f>
        <v>0</v>
      </c>
      <c r="X38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9" s="392" t="e">
        <f>RawMaterials[[#This Row],[Lab Price 1]]/RawMaterials[[#This Row],[Lab Q Model Units 1]]</f>
        <v>#N/A</v>
      </c>
      <c r="AC389" s="392" t="e">
        <f>RawMaterials[[#This Row],[Lab Price 2]]/RawMaterials[[#This Row],[Lab Q Model Units 2]]</f>
        <v>#N/A</v>
      </c>
      <c r="AD389" s="392" t="e">
        <f>RawMaterials[[#This Row],[Lab Price 3]]/RawMaterials[[#This Row],[Lab Q Model Units 3]]</f>
        <v>#N/A</v>
      </c>
      <c r="AE389" s="392" t="e">
        <f>RawMaterials[[#This Row],[Lab Price 4]]/RawMaterials[[#This Row],[Lab Q Model Units 4]]</f>
        <v>#N/A</v>
      </c>
      <c r="AF389" s="392" t="str">
        <f ca="1">IF(RawMaterials[[#This Row],[Lab Quote Count]]&gt;1,SLOPE(LOG(INDIRECT("RawMaterials[@[Lab Unit P 1]:[Lab Unit P "&amp;RawMaterials[[#This Row],[Lab Quote Count]]&amp;"]]")),LOG(INDIRECT("RawMaterials[@[Lab Q Model Units 1]:[Lab Q Model Units "&amp;RawMaterials[[#This Row],[Lab Quote Count]]&amp;"]]"))),"")</f>
        <v/>
      </c>
      <c r="AG389" s="392" t="str">
        <f ca="1">IF(RawMaterials[[#This Row],[Lab Quote Count]]&gt;1,INTERCEPT(LOG(INDIRECT("RawMaterials[@[Lab Unit P 1]:[Lab Unit P "&amp;RawMaterials[[#This Row],[Lab Quote Count]]&amp;"]]")),LOG(INDIRECT("RawMaterials[@[Lab Q Model Units 1]:[Lab Q Model Units "&amp;RawMaterials[[#This Row],[Lab Quote Count]]&amp;"]]"))),"")</f>
        <v/>
      </c>
      <c r="AH389" s="393" t="str">
        <f>IF(RawMaterials[[#This Row],[Material Type]]="Metal Precursor","D13",IF(RawMaterials[[#This Row],[Material Type]]="Ligand","D13","D12"))</f>
        <v>D12</v>
      </c>
      <c r="AI389" s="394" t="str">
        <f ca="1">IF(RawMaterials[[#This Row],[Lab Quote Count]]&gt;1,10^RawMaterials[[#This Row],[Lab Log-Log Intercept]]*INDIRECT(RawMaterials[[#This Row],[Basis Cell]])^RawMaterials[[#This Row],[Lab Log-Log Slope]],"&gt;&gt;&gt; Enter 2 or more lab quotes &lt;&lt;&lt;")</f>
        <v>&gt;&gt;&gt; Enter 2 or more lab quotes &lt;&lt;&lt;</v>
      </c>
      <c r="AJ38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8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0.83114272843698855</v>
      </c>
      <c r="AL389" s="396">
        <f>IF(ISTEXT(RawMaterials[[#This Row],[Unit price in quote year]]),"Check calcs",RawMaterials[[#This Row],[Unit price in quote year]]/VLOOKUP(RawMaterials[[#This Row],[Quote Year]],ChemPPI[],14,FALSE)*VLOOKUP(BasisYear,ChemPPI[],14,FALSE))</f>
        <v>1.1280397498247952</v>
      </c>
      <c r="AM389" s="397" t="str">
        <f t="shared" si="5"/>
        <v>$/kg (2016)</v>
      </c>
    </row>
    <row r="390" spans="1:39">
      <c r="A390" s="259" t="s">
        <v>1478</v>
      </c>
      <c r="B390" s="260"/>
      <c r="C390" s="351"/>
      <c r="D390" s="351"/>
      <c r="E390" s="260">
        <v>100</v>
      </c>
      <c r="F390" s="260"/>
      <c r="G390" s="351"/>
      <c r="H390" s="351"/>
      <c r="I390" s="262"/>
      <c r="J390" s="351"/>
      <c r="K390" s="351"/>
      <c r="L390" s="351"/>
      <c r="M390" s="351"/>
      <c r="N390" s="351"/>
      <c r="O390" s="351"/>
      <c r="P390" s="261">
        <v>36.700000000000003</v>
      </c>
      <c r="Q390" s="260">
        <v>100</v>
      </c>
      <c r="R390" s="260" t="s">
        <v>20</v>
      </c>
      <c r="S390" s="260">
        <v>2006</v>
      </c>
      <c r="T390" s="260" t="s">
        <v>161</v>
      </c>
      <c r="U390" s="386">
        <v>42653</v>
      </c>
      <c r="V390" s="387"/>
      <c r="W390" s="354">
        <f>COUNT(RawMaterials[[#This Row],[Lab Quantity 1]:[Lab Quantity 4]])</f>
        <v>0</v>
      </c>
      <c r="X39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0" s="392" t="e">
        <f>RawMaterials[[#This Row],[Lab Price 1]]/RawMaterials[[#This Row],[Lab Q Model Units 1]]</f>
        <v>#N/A</v>
      </c>
      <c r="AC390" s="392" t="e">
        <f>RawMaterials[[#This Row],[Lab Price 2]]/RawMaterials[[#This Row],[Lab Q Model Units 2]]</f>
        <v>#N/A</v>
      </c>
      <c r="AD390" s="392" t="e">
        <f>RawMaterials[[#This Row],[Lab Price 3]]/RawMaterials[[#This Row],[Lab Q Model Units 3]]</f>
        <v>#N/A</v>
      </c>
      <c r="AE390" s="392" t="e">
        <f>RawMaterials[[#This Row],[Lab Price 4]]/RawMaterials[[#This Row],[Lab Q Model Units 4]]</f>
        <v>#N/A</v>
      </c>
      <c r="AF390" s="392" t="str">
        <f ca="1">IF(RawMaterials[[#This Row],[Lab Quote Count]]&gt;1,SLOPE(LOG(INDIRECT("RawMaterials[@[Lab Unit P 1]:[Lab Unit P "&amp;RawMaterials[[#This Row],[Lab Quote Count]]&amp;"]]")),LOG(INDIRECT("RawMaterials[@[Lab Q Model Units 1]:[Lab Q Model Units "&amp;RawMaterials[[#This Row],[Lab Quote Count]]&amp;"]]"))),"")</f>
        <v/>
      </c>
      <c r="AG390" s="392" t="str">
        <f ca="1">IF(RawMaterials[[#This Row],[Lab Quote Count]]&gt;1,INTERCEPT(LOG(INDIRECT("RawMaterials[@[Lab Unit P 1]:[Lab Unit P "&amp;RawMaterials[[#This Row],[Lab Quote Count]]&amp;"]]")),LOG(INDIRECT("RawMaterials[@[Lab Q Model Units 1]:[Lab Q Model Units "&amp;RawMaterials[[#This Row],[Lab Quote Count]]&amp;"]]"))),"")</f>
        <v/>
      </c>
      <c r="AH390" s="393" t="str">
        <f>IF(RawMaterials[[#This Row],[Material Type]]="Metal Precursor","D13",IF(RawMaterials[[#This Row],[Material Type]]="Ligand","D13","D12"))</f>
        <v>D12</v>
      </c>
      <c r="AI390" s="394" t="str">
        <f ca="1">IF(RawMaterials[[#This Row],[Lab Quote Count]]&gt;1,10^RawMaterials[[#This Row],[Lab Log-Log Intercept]]*INDIRECT(RawMaterials[[#This Row],[Basis Cell]])^RawMaterials[[#This Row],[Lab Log-Log Slope]],"&gt;&gt;&gt; Enter 2 or more lab quotes &lt;&lt;&lt;")</f>
        <v>&gt;&gt;&gt; Enter 2 or more lab quotes &lt;&lt;&lt;</v>
      </c>
      <c r="AJ39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9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0.80909650221850082</v>
      </c>
      <c r="AL390" s="396">
        <f>IF(ISTEXT(RawMaterials[[#This Row],[Unit price in quote year]]),"Check calcs",RawMaterials[[#This Row],[Unit price in quote year]]/VLOOKUP(RawMaterials[[#This Row],[Quote Year]],ChemPPI[],14,FALSE)*VLOOKUP(BasisYear,ChemPPI[],14,FALSE))</f>
        <v>1.0981182710496016</v>
      </c>
      <c r="AM390" s="397" t="str">
        <f t="shared" si="5"/>
        <v>$/kg (2016)</v>
      </c>
    </row>
    <row r="391" spans="1:39">
      <c r="A391" s="259" t="s">
        <v>1479</v>
      </c>
      <c r="B391" s="260"/>
      <c r="C391" s="351"/>
      <c r="D391" s="351"/>
      <c r="E391" s="260">
        <v>100</v>
      </c>
      <c r="F391" s="260"/>
      <c r="G391" s="351"/>
      <c r="H391" s="351"/>
      <c r="I391" s="262"/>
      <c r="J391" s="351"/>
      <c r="K391" s="351"/>
      <c r="L391" s="351"/>
      <c r="M391" s="351"/>
      <c r="N391" s="351"/>
      <c r="O391" s="351"/>
      <c r="P391" s="261">
        <v>450</v>
      </c>
      <c r="Q391" s="260">
        <v>1</v>
      </c>
      <c r="R391" s="260" t="s">
        <v>401</v>
      </c>
      <c r="S391" s="260">
        <v>2006</v>
      </c>
      <c r="T391" s="260" t="s">
        <v>161</v>
      </c>
      <c r="U391" s="386">
        <v>42653</v>
      </c>
      <c r="V391" s="387"/>
      <c r="W391" s="354">
        <f>COUNT(RawMaterials[[#This Row],[Lab Quantity 1]:[Lab Quantity 4]])</f>
        <v>0</v>
      </c>
      <c r="X39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1" s="392" t="e">
        <f>RawMaterials[[#This Row],[Lab Price 1]]/RawMaterials[[#This Row],[Lab Q Model Units 1]]</f>
        <v>#N/A</v>
      </c>
      <c r="AC391" s="392" t="e">
        <f>RawMaterials[[#This Row],[Lab Price 2]]/RawMaterials[[#This Row],[Lab Q Model Units 2]]</f>
        <v>#N/A</v>
      </c>
      <c r="AD391" s="392" t="e">
        <f>RawMaterials[[#This Row],[Lab Price 3]]/RawMaterials[[#This Row],[Lab Q Model Units 3]]</f>
        <v>#N/A</v>
      </c>
      <c r="AE391" s="392" t="e">
        <f>RawMaterials[[#This Row],[Lab Price 4]]/RawMaterials[[#This Row],[Lab Q Model Units 4]]</f>
        <v>#N/A</v>
      </c>
      <c r="AF391" s="392" t="str">
        <f ca="1">IF(RawMaterials[[#This Row],[Lab Quote Count]]&gt;1,SLOPE(LOG(INDIRECT("RawMaterials[@[Lab Unit P 1]:[Lab Unit P "&amp;RawMaterials[[#This Row],[Lab Quote Count]]&amp;"]]")),LOG(INDIRECT("RawMaterials[@[Lab Q Model Units 1]:[Lab Q Model Units "&amp;RawMaterials[[#This Row],[Lab Quote Count]]&amp;"]]"))),"")</f>
        <v/>
      </c>
      <c r="AG391" s="392" t="str">
        <f ca="1">IF(RawMaterials[[#This Row],[Lab Quote Count]]&gt;1,INTERCEPT(LOG(INDIRECT("RawMaterials[@[Lab Unit P 1]:[Lab Unit P "&amp;RawMaterials[[#This Row],[Lab Quote Count]]&amp;"]]")),LOG(INDIRECT("RawMaterials[@[Lab Q Model Units 1]:[Lab Q Model Units "&amp;RawMaterials[[#This Row],[Lab Quote Count]]&amp;"]]"))),"")</f>
        <v/>
      </c>
      <c r="AH391" s="393" t="str">
        <f>IF(RawMaterials[[#This Row],[Material Type]]="Metal Precursor","D13",IF(RawMaterials[[#This Row],[Material Type]]="Ligand","D13","D12"))</f>
        <v>D12</v>
      </c>
      <c r="AI391" s="394" t="str">
        <f ca="1">IF(RawMaterials[[#This Row],[Lab Quote Count]]&gt;1,10^RawMaterials[[#This Row],[Lab Log-Log Intercept]]*INDIRECT(RawMaterials[[#This Row],[Basis Cell]])^RawMaterials[[#This Row],[Lab Log-Log Slope]],"&gt;&gt;&gt; Enter 2 or more lab quotes &lt;&lt;&lt;")</f>
        <v>&gt;&gt;&gt; Enter 2 or more lab quotes &lt;&lt;&lt;</v>
      </c>
      <c r="AJ39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9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0.49604008991597454</v>
      </c>
      <c r="AL391" s="396">
        <f>IF(ISTEXT(RawMaterials[[#This Row],[Unit price in quote year]]),"Check calcs",RawMaterials[[#This Row],[Unit price in quote year]]/VLOOKUP(RawMaterials[[#This Row],[Quote Year]],ChemPPI[],14,FALSE)*VLOOKUP(BasisYear,ChemPPI[],14,FALSE))</f>
        <v>0.67323327244185371</v>
      </c>
      <c r="AM391" s="397" t="str">
        <f t="shared" si="5"/>
        <v>$/kg (2016)</v>
      </c>
    </row>
    <row r="392" spans="1:39">
      <c r="A392" s="259" t="s">
        <v>1480</v>
      </c>
      <c r="B392" s="260"/>
      <c r="C392" s="351"/>
      <c r="D392" s="351"/>
      <c r="E392" s="260">
        <v>100</v>
      </c>
      <c r="F392" s="260"/>
      <c r="G392" s="351"/>
      <c r="H392" s="351"/>
      <c r="I392" s="262"/>
      <c r="J392" s="351"/>
      <c r="K392" s="351"/>
      <c r="L392" s="351"/>
      <c r="M392" s="351"/>
      <c r="N392" s="351"/>
      <c r="O392" s="351"/>
      <c r="P392" s="261">
        <v>0.67</v>
      </c>
      <c r="Q392" s="260">
        <v>1</v>
      </c>
      <c r="R392" s="260" t="s">
        <v>20</v>
      </c>
      <c r="S392" s="260">
        <v>2006</v>
      </c>
      <c r="T392" s="260" t="s">
        <v>161</v>
      </c>
      <c r="U392" s="386">
        <v>42653</v>
      </c>
      <c r="V392" s="387"/>
      <c r="W392" s="354">
        <f>COUNT(RawMaterials[[#This Row],[Lab Quantity 1]:[Lab Quantity 4]])</f>
        <v>0</v>
      </c>
      <c r="X39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2" s="392" t="e">
        <f>RawMaterials[[#This Row],[Lab Price 1]]/RawMaterials[[#This Row],[Lab Q Model Units 1]]</f>
        <v>#N/A</v>
      </c>
      <c r="AC392" s="392" t="e">
        <f>RawMaterials[[#This Row],[Lab Price 2]]/RawMaterials[[#This Row],[Lab Q Model Units 2]]</f>
        <v>#N/A</v>
      </c>
      <c r="AD392" s="392" t="e">
        <f>RawMaterials[[#This Row],[Lab Price 3]]/RawMaterials[[#This Row],[Lab Q Model Units 3]]</f>
        <v>#N/A</v>
      </c>
      <c r="AE392" s="392" t="e">
        <f>RawMaterials[[#This Row],[Lab Price 4]]/RawMaterials[[#This Row],[Lab Q Model Units 4]]</f>
        <v>#N/A</v>
      </c>
      <c r="AF392" s="392" t="str">
        <f ca="1">IF(RawMaterials[[#This Row],[Lab Quote Count]]&gt;1,SLOPE(LOG(INDIRECT("RawMaterials[@[Lab Unit P 1]:[Lab Unit P "&amp;RawMaterials[[#This Row],[Lab Quote Count]]&amp;"]]")),LOG(INDIRECT("RawMaterials[@[Lab Q Model Units 1]:[Lab Q Model Units "&amp;RawMaterials[[#This Row],[Lab Quote Count]]&amp;"]]"))),"")</f>
        <v/>
      </c>
      <c r="AG392" s="392" t="str">
        <f ca="1">IF(RawMaterials[[#This Row],[Lab Quote Count]]&gt;1,INTERCEPT(LOG(INDIRECT("RawMaterials[@[Lab Unit P 1]:[Lab Unit P "&amp;RawMaterials[[#This Row],[Lab Quote Count]]&amp;"]]")),LOG(INDIRECT("RawMaterials[@[Lab Q Model Units 1]:[Lab Q Model Units "&amp;RawMaterials[[#This Row],[Lab Quote Count]]&amp;"]]"))),"")</f>
        <v/>
      </c>
      <c r="AH392" s="393" t="str">
        <f>IF(RawMaterials[[#This Row],[Material Type]]="Metal Precursor","D13",IF(RawMaterials[[#This Row],[Material Type]]="Ligand","D13","D12"))</f>
        <v>D12</v>
      </c>
      <c r="AI392" s="394" t="str">
        <f ca="1">IF(RawMaterials[[#This Row],[Lab Quote Count]]&gt;1,10^RawMaterials[[#This Row],[Lab Log-Log Intercept]]*INDIRECT(RawMaterials[[#This Row],[Basis Cell]])^RawMaterials[[#This Row],[Lab Log-Log Slope]],"&gt;&gt;&gt; Enter 2 or more lab quotes &lt;&lt;&lt;")</f>
        <v>&gt;&gt;&gt; Enter 2 or more lab quotes &lt;&lt;&lt;</v>
      </c>
      <c r="AJ39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1.4770971566386799</v>
      </c>
      <c r="AL392" s="396">
        <f>IF(ISTEXT(RawMaterials[[#This Row],[Unit price in quote year]]),"Check calcs",RawMaterials[[#This Row],[Unit price in quote year]]/VLOOKUP(RawMaterials[[#This Row],[Quote Year]],ChemPPI[],14,FALSE)*VLOOKUP(BasisYear,ChemPPI[],14,FALSE))</f>
        <v>2.0047390779379648</v>
      </c>
      <c r="AM392" s="397" t="str">
        <f t="shared" si="5"/>
        <v>$/kg (2016)</v>
      </c>
    </row>
    <row r="393" spans="1:39">
      <c r="A393" s="259" t="s">
        <v>1481</v>
      </c>
      <c r="B393" s="260"/>
      <c r="C393" s="351"/>
      <c r="D393" s="351"/>
      <c r="E393" s="260">
        <v>100</v>
      </c>
      <c r="F393" s="260"/>
      <c r="G393" s="351"/>
      <c r="H393" s="351"/>
      <c r="I393" s="262"/>
      <c r="J393" s="351"/>
      <c r="K393" s="351"/>
      <c r="L393" s="351"/>
      <c r="M393" s="351"/>
      <c r="N393" s="351"/>
      <c r="O393" s="351"/>
      <c r="P393" s="261">
        <v>0.71</v>
      </c>
      <c r="Q393" s="260">
        <v>100</v>
      </c>
      <c r="R393" s="260" t="s">
        <v>20</v>
      </c>
      <c r="S393" s="260">
        <v>2006</v>
      </c>
      <c r="T393" s="260" t="s">
        <v>161</v>
      </c>
      <c r="U393" s="386">
        <v>42653</v>
      </c>
      <c r="V393" s="387"/>
      <c r="W393" s="354">
        <f>COUNT(RawMaterials[[#This Row],[Lab Quantity 1]:[Lab Quantity 4]])</f>
        <v>0</v>
      </c>
      <c r="X39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3" s="392" t="e">
        <f>RawMaterials[[#This Row],[Lab Price 1]]/RawMaterials[[#This Row],[Lab Q Model Units 1]]</f>
        <v>#N/A</v>
      </c>
      <c r="AC393" s="392" t="e">
        <f>RawMaterials[[#This Row],[Lab Price 2]]/RawMaterials[[#This Row],[Lab Q Model Units 2]]</f>
        <v>#N/A</v>
      </c>
      <c r="AD393" s="392" t="e">
        <f>RawMaterials[[#This Row],[Lab Price 3]]/RawMaterials[[#This Row],[Lab Q Model Units 3]]</f>
        <v>#N/A</v>
      </c>
      <c r="AE393" s="392" t="e">
        <f>RawMaterials[[#This Row],[Lab Price 4]]/RawMaterials[[#This Row],[Lab Q Model Units 4]]</f>
        <v>#N/A</v>
      </c>
      <c r="AF393" s="392" t="str">
        <f ca="1">IF(RawMaterials[[#This Row],[Lab Quote Count]]&gt;1,SLOPE(LOG(INDIRECT("RawMaterials[@[Lab Unit P 1]:[Lab Unit P "&amp;RawMaterials[[#This Row],[Lab Quote Count]]&amp;"]]")),LOG(INDIRECT("RawMaterials[@[Lab Q Model Units 1]:[Lab Q Model Units "&amp;RawMaterials[[#This Row],[Lab Quote Count]]&amp;"]]"))),"")</f>
        <v/>
      </c>
      <c r="AG393" s="392" t="str">
        <f ca="1">IF(RawMaterials[[#This Row],[Lab Quote Count]]&gt;1,INTERCEPT(LOG(INDIRECT("RawMaterials[@[Lab Unit P 1]:[Lab Unit P "&amp;RawMaterials[[#This Row],[Lab Quote Count]]&amp;"]]")),LOG(INDIRECT("RawMaterials[@[Lab Q Model Units 1]:[Lab Q Model Units "&amp;RawMaterials[[#This Row],[Lab Quote Count]]&amp;"]]"))),"")</f>
        <v/>
      </c>
      <c r="AH393" s="393" t="str">
        <f>IF(RawMaterials[[#This Row],[Material Type]]="Metal Precursor","D13",IF(RawMaterials[[#This Row],[Material Type]]="Ligand","D13","D12"))</f>
        <v>D12</v>
      </c>
      <c r="AI393" s="394" t="str">
        <f ca="1">IF(RawMaterials[[#This Row],[Lab Quote Count]]&gt;1,10^RawMaterials[[#This Row],[Lab Log-Log Intercept]]*INDIRECT(RawMaterials[[#This Row],[Basis Cell]])^RawMaterials[[#This Row],[Lab Log-Log Slope]],"&gt;&gt;&gt; Enter 2 or more lab quotes &lt;&lt;&lt;")</f>
        <v>&gt;&gt;&gt; Enter 2 or more lab quotes &lt;&lt;&lt;</v>
      </c>
      <c r="AJ39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9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1.5652820615126309E-2</v>
      </c>
      <c r="AL393" s="396">
        <f>IF(ISTEXT(RawMaterials[[#This Row],[Unit price in quote year]]),"Check calcs",RawMaterials[[#This Row],[Unit price in quote year]]/VLOOKUP(RawMaterials[[#This Row],[Quote Year]],ChemPPI[],14,FALSE)*VLOOKUP(BasisYear,ChemPPI[],14,FALSE))</f>
        <v>2.1244249930387388E-2</v>
      </c>
      <c r="AM393" s="397" t="str">
        <f t="shared" si="5"/>
        <v>$/kg (2016)</v>
      </c>
    </row>
    <row r="394" spans="1:39">
      <c r="A394" s="259" t="s">
        <v>1482</v>
      </c>
      <c r="B394" s="260"/>
      <c r="C394" s="351"/>
      <c r="D394" s="351"/>
      <c r="E394" s="260">
        <v>100</v>
      </c>
      <c r="F394" s="260"/>
      <c r="G394" s="351"/>
      <c r="H394" s="351"/>
      <c r="I394" s="262"/>
      <c r="J394" s="351"/>
      <c r="K394" s="351"/>
      <c r="L394" s="351"/>
      <c r="M394" s="351"/>
      <c r="N394" s="351"/>
      <c r="O394" s="351"/>
      <c r="P394" s="261">
        <v>1.1000000000000001</v>
      </c>
      <c r="Q394" s="260">
        <v>1</v>
      </c>
      <c r="R394" s="260" t="s">
        <v>20</v>
      </c>
      <c r="S394" s="260">
        <v>2006</v>
      </c>
      <c r="T394" s="260" t="s">
        <v>161</v>
      </c>
      <c r="U394" s="386">
        <v>42653</v>
      </c>
      <c r="V394" s="387"/>
      <c r="W394" s="354">
        <f>COUNT(RawMaterials[[#This Row],[Lab Quantity 1]:[Lab Quantity 4]])</f>
        <v>0</v>
      </c>
      <c r="X39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4" s="392" t="e">
        <f>RawMaterials[[#This Row],[Lab Price 1]]/RawMaterials[[#This Row],[Lab Q Model Units 1]]</f>
        <v>#N/A</v>
      </c>
      <c r="AC394" s="392" t="e">
        <f>RawMaterials[[#This Row],[Lab Price 2]]/RawMaterials[[#This Row],[Lab Q Model Units 2]]</f>
        <v>#N/A</v>
      </c>
      <c r="AD394" s="392" t="e">
        <f>RawMaterials[[#This Row],[Lab Price 3]]/RawMaterials[[#This Row],[Lab Q Model Units 3]]</f>
        <v>#N/A</v>
      </c>
      <c r="AE394" s="392" t="e">
        <f>RawMaterials[[#This Row],[Lab Price 4]]/RawMaterials[[#This Row],[Lab Q Model Units 4]]</f>
        <v>#N/A</v>
      </c>
      <c r="AF394" s="392" t="str">
        <f ca="1">IF(RawMaterials[[#This Row],[Lab Quote Count]]&gt;1,SLOPE(LOG(INDIRECT("RawMaterials[@[Lab Unit P 1]:[Lab Unit P "&amp;RawMaterials[[#This Row],[Lab Quote Count]]&amp;"]]")),LOG(INDIRECT("RawMaterials[@[Lab Q Model Units 1]:[Lab Q Model Units "&amp;RawMaterials[[#This Row],[Lab Quote Count]]&amp;"]]"))),"")</f>
        <v/>
      </c>
      <c r="AG394" s="392" t="str">
        <f ca="1">IF(RawMaterials[[#This Row],[Lab Quote Count]]&gt;1,INTERCEPT(LOG(INDIRECT("RawMaterials[@[Lab Unit P 1]:[Lab Unit P "&amp;RawMaterials[[#This Row],[Lab Quote Count]]&amp;"]]")),LOG(INDIRECT("RawMaterials[@[Lab Q Model Units 1]:[Lab Q Model Units "&amp;RawMaterials[[#This Row],[Lab Quote Count]]&amp;"]]"))),"")</f>
        <v/>
      </c>
      <c r="AH394" s="393" t="str">
        <f>IF(RawMaterials[[#This Row],[Material Type]]="Metal Precursor","D13",IF(RawMaterials[[#This Row],[Material Type]]="Ligand","D13","D12"))</f>
        <v>D12</v>
      </c>
      <c r="AI394" s="394" t="str">
        <f ca="1">IF(RawMaterials[[#This Row],[Lab Quote Count]]&gt;1,10^RawMaterials[[#This Row],[Lab Log-Log Intercept]]*INDIRECT(RawMaterials[[#This Row],[Basis Cell]])^RawMaterials[[#This Row],[Lab Log-Log Slope]],"&gt;&gt;&gt; Enter 2 or more lab quotes &lt;&lt;&lt;")</f>
        <v>&gt;&gt;&gt; Enter 2 or more lab quotes &lt;&lt;&lt;</v>
      </c>
      <c r="AJ39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2.4250848840336534</v>
      </c>
      <c r="AL394" s="396">
        <f>IF(ISTEXT(RawMaterials[[#This Row],[Unit price in quote year]]),"Check calcs",RawMaterials[[#This Row],[Unit price in quote year]]/VLOOKUP(RawMaterials[[#This Row],[Quote Year]],ChemPPI[],14,FALSE)*VLOOKUP(BasisYear,ChemPPI[],14,FALSE))</f>
        <v>3.2913626652712851</v>
      </c>
      <c r="AM394" s="397" t="str">
        <f t="shared" si="5"/>
        <v>$/kg (2016)</v>
      </c>
    </row>
    <row r="395" spans="1:39">
      <c r="A395" s="259" t="s">
        <v>1483</v>
      </c>
      <c r="B395" s="260"/>
      <c r="C395" s="351"/>
      <c r="D395" s="351"/>
      <c r="E395" s="260">
        <v>100</v>
      </c>
      <c r="F395" s="260"/>
      <c r="G395" s="351"/>
      <c r="H395" s="351"/>
      <c r="I395" s="262"/>
      <c r="J395" s="351"/>
      <c r="K395" s="351"/>
      <c r="L395" s="351"/>
      <c r="M395" s="351"/>
      <c r="N395" s="351"/>
      <c r="O395" s="351"/>
      <c r="P395" s="261">
        <v>0.49</v>
      </c>
      <c r="Q395" s="260">
        <v>1</v>
      </c>
      <c r="R395" s="260" t="s">
        <v>20</v>
      </c>
      <c r="S395" s="260">
        <v>2006</v>
      </c>
      <c r="T395" s="260" t="s">
        <v>161</v>
      </c>
      <c r="U395" s="386">
        <v>42653</v>
      </c>
      <c r="V395" s="387"/>
      <c r="W395" s="354">
        <f>COUNT(RawMaterials[[#This Row],[Lab Quantity 1]:[Lab Quantity 4]])</f>
        <v>0</v>
      </c>
      <c r="X39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5" s="392" t="e">
        <f>RawMaterials[[#This Row],[Lab Price 1]]/RawMaterials[[#This Row],[Lab Q Model Units 1]]</f>
        <v>#N/A</v>
      </c>
      <c r="AC395" s="392" t="e">
        <f>RawMaterials[[#This Row],[Lab Price 2]]/RawMaterials[[#This Row],[Lab Q Model Units 2]]</f>
        <v>#N/A</v>
      </c>
      <c r="AD395" s="392" t="e">
        <f>RawMaterials[[#This Row],[Lab Price 3]]/RawMaterials[[#This Row],[Lab Q Model Units 3]]</f>
        <v>#N/A</v>
      </c>
      <c r="AE395" s="392" t="e">
        <f>RawMaterials[[#This Row],[Lab Price 4]]/RawMaterials[[#This Row],[Lab Q Model Units 4]]</f>
        <v>#N/A</v>
      </c>
      <c r="AF395" s="392" t="str">
        <f ca="1">IF(RawMaterials[[#This Row],[Lab Quote Count]]&gt;1,SLOPE(LOG(INDIRECT("RawMaterials[@[Lab Unit P 1]:[Lab Unit P "&amp;RawMaterials[[#This Row],[Lab Quote Count]]&amp;"]]")),LOG(INDIRECT("RawMaterials[@[Lab Q Model Units 1]:[Lab Q Model Units "&amp;RawMaterials[[#This Row],[Lab Quote Count]]&amp;"]]"))),"")</f>
        <v/>
      </c>
      <c r="AG395" s="392" t="str">
        <f ca="1">IF(RawMaterials[[#This Row],[Lab Quote Count]]&gt;1,INTERCEPT(LOG(INDIRECT("RawMaterials[@[Lab Unit P 1]:[Lab Unit P "&amp;RawMaterials[[#This Row],[Lab Quote Count]]&amp;"]]")),LOG(INDIRECT("RawMaterials[@[Lab Q Model Units 1]:[Lab Q Model Units "&amp;RawMaterials[[#This Row],[Lab Quote Count]]&amp;"]]"))),"")</f>
        <v/>
      </c>
      <c r="AH395" s="393" t="str">
        <f>IF(RawMaterials[[#This Row],[Material Type]]="Metal Precursor","D13",IF(RawMaterials[[#This Row],[Material Type]]="Ligand","D13","D12"))</f>
        <v>D12</v>
      </c>
      <c r="AI395" s="394" t="str">
        <f ca="1">IF(RawMaterials[[#This Row],[Lab Quote Count]]&gt;1,10^RawMaterials[[#This Row],[Lab Log-Log Intercept]]*INDIRECT(RawMaterials[[#This Row],[Basis Cell]])^RawMaterials[[#This Row],[Lab Log-Log Slope]],"&gt;&gt;&gt; Enter 2 or more lab quotes &lt;&lt;&lt;")</f>
        <v>&gt;&gt;&gt; Enter 2 or more lab quotes &lt;&lt;&lt;</v>
      </c>
      <c r="AJ39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1.0802650847059001</v>
      </c>
      <c r="AL395" s="396">
        <f>IF(ISTEXT(RawMaterials[[#This Row],[Unit price in quote year]]),"Check calcs",RawMaterials[[#This Row],[Unit price in quote year]]/VLOOKUP(RawMaterials[[#This Row],[Quote Year]],ChemPPI[],14,FALSE)*VLOOKUP(BasisYear,ChemPPI[],14,FALSE))</f>
        <v>1.4661524599844815</v>
      </c>
      <c r="AM395" s="397" t="str">
        <f t="shared" si="5"/>
        <v>$/kg (2016)</v>
      </c>
    </row>
    <row r="396" spans="1:39">
      <c r="A396" s="259" t="s">
        <v>1484</v>
      </c>
      <c r="B396" s="260"/>
      <c r="C396" s="351"/>
      <c r="D396" s="351"/>
      <c r="E396" s="260">
        <v>100</v>
      </c>
      <c r="F396" s="260"/>
      <c r="G396" s="351"/>
      <c r="H396" s="351"/>
      <c r="I396" s="262"/>
      <c r="J396" s="351"/>
      <c r="K396" s="351"/>
      <c r="L396" s="351"/>
      <c r="M396" s="351"/>
      <c r="N396" s="351"/>
      <c r="O396" s="351"/>
      <c r="P396" s="261">
        <v>0.49</v>
      </c>
      <c r="Q396" s="260">
        <v>1</v>
      </c>
      <c r="R396" s="260" t="s">
        <v>20</v>
      </c>
      <c r="S396" s="260">
        <v>2006</v>
      </c>
      <c r="T396" s="260" t="s">
        <v>161</v>
      </c>
      <c r="U396" s="386">
        <v>42653</v>
      </c>
      <c r="V396" s="387"/>
      <c r="W396" s="354">
        <f>COUNT(RawMaterials[[#This Row],[Lab Quantity 1]:[Lab Quantity 4]])</f>
        <v>0</v>
      </c>
      <c r="X39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6" s="392" t="e">
        <f>RawMaterials[[#This Row],[Lab Price 1]]/RawMaterials[[#This Row],[Lab Q Model Units 1]]</f>
        <v>#N/A</v>
      </c>
      <c r="AC396" s="392" t="e">
        <f>RawMaterials[[#This Row],[Lab Price 2]]/RawMaterials[[#This Row],[Lab Q Model Units 2]]</f>
        <v>#N/A</v>
      </c>
      <c r="AD396" s="392" t="e">
        <f>RawMaterials[[#This Row],[Lab Price 3]]/RawMaterials[[#This Row],[Lab Q Model Units 3]]</f>
        <v>#N/A</v>
      </c>
      <c r="AE396" s="392" t="e">
        <f>RawMaterials[[#This Row],[Lab Price 4]]/RawMaterials[[#This Row],[Lab Q Model Units 4]]</f>
        <v>#N/A</v>
      </c>
      <c r="AF396" s="392" t="str">
        <f ca="1">IF(RawMaterials[[#This Row],[Lab Quote Count]]&gt;1,SLOPE(LOG(INDIRECT("RawMaterials[@[Lab Unit P 1]:[Lab Unit P "&amp;RawMaterials[[#This Row],[Lab Quote Count]]&amp;"]]")),LOG(INDIRECT("RawMaterials[@[Lab Q Model Units 1]:[Lab Q Model Units "&amp;RawMaterials[[#This Row],[Lab Quote Count]]&amp;"]]"))),"")</f>
        <v/>
      </c>
      <c r="AG396" s="392" t="str">
        <f ca="1">IF(RawMaterials[[#This Row],[Lab Quote Count]]&gt;1,INTERCEPT(LOG(INDIRECT("RawMaterials[@[Lab Unit P 1]:[Lab Unit P "&amp;RawMaterials[[#This Row],[Lab Quote Count]]&amp;"]]")),LOG(INDIRECT("RawMaterials[@[Lab Q Model Units 1]:[Lab Q Model Units "&amp;RawMaterials[[#This Row],[Lab Quote Count]]&amp;"]]"))),"")</f>
        <v/>
      </c>
      <c r="AH396" s="393" t="str">
        <f>IF(RawMaterials[[#This Row],[Material Type]]="Metal Precursor","D13",IF(RawMaterials[[#This Row],[Material Type]]="Ligand","D13","D12"))</f>
        <v>D12</v>
      </c>
      <c r="AI396" s="394" t="str">
        <f ca="1">IF(RawMaterials[[#This Row],[Lab Quote Count]]&gt;1,10^RawMaterials[[#This Row],[Lab Log-Log Intercept]]*INDIRECT(RawMaterials[[#This Row],[Basis Cell]])^RawMaterials[[#This Row],[Lab Log-Log Slope]],"&gt;&gt;&gt; Enter 2 or more lab quotes &lt;&lt;&lt;")</f>
        <v>&gt;&gt;&gt; Enter 2 or more lab quotes &lt;&lt;&lt;</v>
      </c>
      <c r="AJ39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1.0802650847059001</v>
      </c>
      <c r="AL396" s="396">
        <f>IF(ISTEXT(RawMaterials[[#This Row],[Unit price in quote year]]),"Check calcs",RawMaterials[[#This Row],[Unit price in quote year]]/VLOOKUP(RawMaterials[[#This Row],[Quote Year]],ChemPPI[],14,FALSE)*VLOOKUP(BasisYear,ChemPPI[],14,FALSE))</f>
        <v>1.4661524599844815</v>
      </c>
      <c r="AM396" s="397" t="str">
        <f t="shared" si="5"/>
        <v>$/kg (2016)</v>
      </c>
    </row>
    <row r="397" spans="1:39">
      <c r="A397" s="259" t="s">
        <v>1485</v>
      </c>
      <c r="B397" s="260"/>
      <c r="C397" s="351"/>
      <c r="D397" s="351"/>
      <c r="E397" s="260">
        <v>100</v>
      </c>
      <c r="F397" s="260"/>
      <c r="G397" s="351"/>
      <c r="H397" s="351"/>
      <c r="I397" s="262"/>
      <c r="J397" s="351"/>
      <c r="K397" s="351"/>
      <c r="L397" s="351"/>
      <c r="M397" s="351"/>
      <c r="N397" s="351"/>
      <c r="O397" s="351"/>
      <c r="P397" s="261">
        <v>1.25</v>
      </c>
      <c r="Q397" s="260">
        <v>1</v>
      </c>
      <c r="R397" s="260" t="s">
        <v>20</v>
      </c>
      <c r="S397" s="260">
        <v>2006</v>
      </c>
      <c r="T397" s="260" t="s">
        <v>161</v>
      </c>
      <c r="U397" s="386">
        <v>42653</v>
      </c>
      <c r="V397" s="387"/>
      <c r="W397" s="354">
        <f>COUNT(RawMaterials[[#This Row],[Lab Quantity 1]:[Lab Quantity 4]])</f>
        <v>0</v>
      </c>
      <c r="X39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7" s="392" t="e">
        <f>RawMaterials[[#This Row],[Lab Price 1]]/RawMaterials[[#This Row],[Lab Q Model Units 1]]</f>
        <v>#N/A</v>
      </c>
      <c r="AC397" s="392" t="e">
        <f>RawMaterials[[#This Row],[Lab Price 2]]/RawMaterials[[#This Row],[Lab Q Model Units 2]]</f>
        <v>#N/A</v>
      </c>
      <c r="AD397" s="392" t="e">
        <f>RawMaterials[[#This Row],[Lab Price 3]]/RawMaterials[[#This Row],[Lab Q Model Units 3]]</f>
        <v>#N/A</v>
      </c>
      <c r="AE397" s="392" t="e">
        <f>RawMaterials[[#This Row],[Lab Price 4]]/RawMaterials[[#This Row],[Lab Q Model Units 4]]</f>
        <v>#N/A</v>
      </c>
      <c r="AF397" s="392" t="str">
        <f ca="1">IF(RawMaterials[[#This Row],[Lab Quote Count]]&gt;1,SLOPE(LOG(INDIRECT("RawMaterials[@[Lab Unit P 1]:[Lab Unit P "&amp;RawMaterials[[#This Row],[Lab Quote Count]]&amp;"]]")),LOG(INDIRECT("RawMaterials[@[Lab Q Model Units 1]:[Lab Q Model Units "&amp;RawMaterials[[#This Row],[Lab Quote Count]]&amp;"]]"))),"")</f>
        <v/>
      </c>
      <c r="AG397" s="392" t="str">
        <f ca="1">IF(RawMaterials[[#This Row],[Lab Quote Count]]&gt;1,INTERCEPT(LOG(INDIRECT("RawMaterials[@[Lab Unit P 1]:[Lab Unit P "&amp;RawMaterials[[#This Row],[Lab Quote Count]]&amp;"]]")),LOG(INDIRECT("RawMaterials[@[Lab Q Model Units 1]:[Lab Q Model Units "&amp;RawMaterials[[#This Row],[Lab Quote Count]]&amp;"]]"))),"")</f>
        <v/>
      </c>
      <c r="AH397" s="393" t="str">
        <f>IF(RawMaterials[[#This Row],[Material Type]]="Metal Precursor","D13",IF(RawMaterials[[#This Row],[Material Type]]="Ligand","D13","D12"))</f>
        <v>D12</v>
      </c>
      <c r="AI397" s="394" t="str">
        <f ca="1">IF(RawMaterials[[#This Row],[Lab Quote Count]]&gt;1,10^RawMaterials[[#This Row],[Lab Log-Log Intercept]]*INDIRECT(RawMaterials[[#This Row],[Basis Cell]])^RawMaterials[[#This Row],[Lab Log-Log Slope]],"&gt;&gt;&gt; Enter 2 or more lab quotes &lt;&lt;&lt;")</f>
        <v>&gt;&gt;&gt; Enter 2 or more lab quotes &lt;&lt;&lt;</v>
      </c>
      <c r="AJ39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2.7557782773109696</v>
      </c>
      <c r="AL397" s="396">
        <f>IF(ISTEXT(RawMaterials[[#This Row],[Unit price in quote year]]),"Check calcs",RawMaterials[[#This Row],[Unit price in quote year]]/VLOOKUP(RawMaterials[[#This Row],[Quote Year]],ChemPPI[],14,FALSE)*VLOOKUP(BasisYear,ChemPPI[],14,FALSE))</f>
        <v>3.7401848468991874</v>
      </c>
      <c r="AM397" s="397" t="str">
        <f t="shared" si="5"/>
        <v>$/kg (2016)</v>
      </c>
    </row>
    <row r="398" spans="1:39">
      <c r="A398" s="259" t="s">
        <v>1486</v>
      </c>
      <c r="B398" s="260"/>
      <c r="C398" s="351"/>
      <c r="D398" s="351"/>
      <c r="E398" s="260">
        <v>100</v>
      </c>
      <c r="F398" s="260"/>
      <c r="G398" s="351"/>
      <c r="H398" s="351"/>
      <c r="I398" s="262"/>
      <c r="J398" s="351"/>
      <c r="K398" s="351"/>
      <c r="L398" s="351"/>
      <c r="M398" s="351"/>
      <c r="N398" s="351"/>
      <c r="O398" s="351"/>
      <c r="P398" s="261">
        <v>0.72</v>
      </c>
      <c r="Q398" s="260">
        <v>1</v>
      </c>
      <c r="R398" s="260" t="s">
        <v>20</v>
      </c>
      <c r="S398" s="260">
        <v>2008</v>
      </c>
      <c r="T398" s="260" t="s">
        <v>161</v>
      </c>
      <c r="U398" s="386">
        <v>42653</v>
      </c>
      <c r="V398" s="387"/>
      <c r="W398" s="354">
        <f>COUNT(RawMaterials[[#This Row],[Lab Quantity 1]:[Lab Quantity 4]])</f>
        <v>0</v>
      </c>
      <c r="X39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8" s="392" t="e">
        <f>RawMaterials[[#This Row],[Lab Price 1]]/RawMaterials[[#This Row],[Lab Q Model Units 1]]</f>
        <v>#N/A</v>
      </c>
      <c r="AC398" s="392" t="e">
        <f>RawMaterials[[#This Row],[Lab Price 2]]/RawMaterials[[#This Row],[Lab Q Model Units 2]]</f>
        <v>#N/A</v>
      </c>
      <c r="AD398" s="392" t="e">
        <f>RawMaterials[[#This Row],[Lab Price 3]]/RawMaterials[[#This Row],[Lab Q Model Units 3]]</f>
        <v>#N/A</v>
      </c>
      <c r="AE398" s="392" t="e">
        <f>RawMaterials[[#This Row],[Lab Price 4]]/RawMaterials[[#This Row],[Lab Q Model Units 4]]</f>
        <v>#N/A</v>
      </c>
      <c r="AF398" s="392" t="str">
        <f ca="1">IF(RawMaterials[[#This Row],[Lab Quote Count]]&gt;1,SLOPE(LOG(INDIRECT("RawMaterials[@[Lab Unit P 1]:[Lab Unit P "&amp;RawMaterials[[#This Row],[Lab Quote Count]]&amp;"]]")),LOG(INDIRECT("RawMaterials[@[Lab Q Model Units 1]:[Lab Q Model Units "&amp;RawMaterials[[#This Row],[Lab Quote Count]]&amp;"]]"))),"")</f>
        <v/>
      </c>
      <c r="AG398" s="392" t="str">
        <f ca="1">IF(RawMaterials[[#This Row],[Lab Quote Count]]&gt;1,INTERCEPT(LOG(INDIRECT("RawMaterials[@[Lab Unit P 1]:[Lab Unit P "&amp;RawMaterials[[#This Row],[Lab Quote Count]]&amp;"]]")),LOG(INDIRECT("RawMaterials[@[Lab Q Model Units 1]:[Lab Q Model Units "&amp;RawMaterials[[#This Row],[Lab Quote Count]]&amp;"]]"))),"")</f>
        <v/>
      </c>
      <c r="AH398" s="393" t="str">
        <f>IF(RawMaterials[[#This Row],[Material Type]]="Metal Precursor","D13",IF(RawMaterials[[#This Row],[Material Type]]="Ligand","D13","D12"))</f>
        <v>D12</v>
      </c>
      <c r="AI398" s="394" t="str">
        <f ca="1">IF(RawMaterials[[#This Row],[Lab Quote Count]]&gt;1,10^RawMaterials[[#This Row],[Lab Log-Log Intercept]]*INDIRECT(RawMaterials[[#This Row],[Basis Cell]])^RawMaterials[[#This Row],[Lab Log-Log Slope]],"&gt;&gt;&gt; Enter 2 or more lab quotes &lt;&lt;&lt;")</f>
        <v>&gt;&gt;&gt; Enter 2 or more lab quotes &lt;&lt;&lt;</v>
      </c>
      <c r="AJ39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1.5873282877311183</v>
      </c>
      <c r="AL398" s="396">
        <f>IF(ISTEXT(RawMaterials[[#This Row],[Unit price in quote year]]),"Check calcs",RawMaterials[[#This Row],[Unit price in quote year]]/VLOOKUP(RawMaterials[[#This Row],[Quote Year]],ChemPPI[],14,FALSE)*VLOOKUP(BasisYear,ChemPPI[],14,FALSE))</f>
        <v>1.8578435741594965</v>
      </c>
      <c r="AM398" s="397" t="str">
        <f t="shared" si="5"/>
        <v>$/kg (2016)</v>
      </c>
    </row>
    <row r="399" spans="1:39">
      <c r="A399" s="259" t="s">
        <v>1487</v>
      </c>
      <c r="B399" s="260"/>
      <c r="C399" s="351"/>
      <c r="D399" s="351"/>
      <c r="E399" s="260">
        <v>100</v>
      </c>
      <c r="F399" s="260"/>
      <c r="G399" s="351"/>
      <c r="H399" s="351"/>
      <c r="I399" s="262"/>
      <c r="J399" s="351"/>
      <c r="K399" s="351"/>
      <c r="L399" s="351"/>
      <c r="M399" s="351"/>
      <c r="N399" s="351"/>
      <c r="O399" s="351"/>
      <c r="P399" s="261">
        <v>0.72</v>
      </c>
      <c r="Q399" s="260">
        <v>1</v>
      </c>
      <c r="R399" s="260" t="s">
        <v>20</v>
      </c>
      <c r="S399" s="260">
        <v>2006</v>
      </c>
      <c r="T399" s="260" t="s">
        <v>161</v>
      </c>
      <c r="U399" s="386">
        <v>42653</v>
      </c>
      <c r="V399" s="387"/>
      <c r="W399" s="354">
        <f>COUNT(RawMaterials[[#This Row],[Lab Quantity 1]:[Lab Quantity 4]])</f>
        <v>0</v>
      </c>
      <c r="X39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9" s="392" t="e">
        <f>RawMaterials[[#This Row],[Lab Price 1]]/RawMaterials[[#This Row],[Lab Q Model Units 1]]</f>
        <v>#N/A</v>
      </c>
      <c r="AC399" s="392" t="e">
        <f>RawMaterials[[#This Row],[Lab Price 2]]/RawMaterials[[#This Row],[Lab Q Model Units 2]]</f>
        <v>#N/A</v>
      </c>
      <c r="AD399" s="392" t="e">
        <f>RawMaterials[[#This Row],[Lab Price 3]]/RawMaterials[[#This Row],[Lab Q Model Units 3]]</f>
        <v>#N/A</v>
      </c>
      <c r="AE399" s="392" t="e">
        <f>RawMaterials[[#This Row],[Lab Price 4]]/RawMaterials[[#This Row],[Lab Q Model Units 4]]</f>
        <v>#N/A</v>
      </c>
      <c r="AF399" s="392" t="str">
        <f ca="1">IF(RawMaterials[[#This Row],[Lab Quote Count]]&gt;1,SLOPE(LOG(INDIRECT("RawMaterials[@[Lab Unit P 1]:[Lab Unit P "&amp;RawMaterials[[#This Row],[Lab Quote Count]]&amp;"]]")),LOG(INDIRECT("RawMaterials[@[Lab Q Model Units 1]:[Lab Q Model Units "&amp;RawMaterials[[#This Row],[Lab Quote Count]]&amp;"]]"))),"")</f>
        <v/>
      </c>
      <c r="AG399" s="392" t="str">
        <f ca="1">IF(RawMaterials[[#This Row],[Lab Quote Count]]&gt;1,INTERCEPT(LOG(INDIRECT("RawMaterials[@[Lab Unit P 1]:[Lab Unit P "&amp;RawMaterials[[#This Row],[Lab Quote Count]]&amp;"]]")),LOG(INDIRECT("RawMaterials[@[Lab Q Model Units 1]:[Lab Q Model Units "&amp;RawMaterials[[#This Row],[Lab Quote Count]]&amp;"]]"))),"")</f>
        <v/>
      </c>
      <c r="AH399" s="393" t="str">
        <f>IF(RawMaterials[[#This Row],[Material Type]]="Metal Precursor","D13",IF(RawMaterials[[#This Row],[Material Type]]="Ligand","D13","D12"))</f>
        <v>D12</v>
      </c>
      <c r="AI399" s="394" t="str">
        <f ca="1">IF(RawMaterials[[#This Row],[Lab Quote Count]]&gt;1,10^RawMaterials[[#This Row],[Lab Log-Log Intercept]]*INDIRECT(RawMaterials[[#This Row],[Basis Cell]])^RawMaterials[[#This Row],[Lab Log-Log Slope]],"&gt;&gt;&gt; Enter 2 or more lab quotes &lt;&lt;&lt;")</f>
        <v>&gt;&gt;&gt; Enter 2 or more lab quotes &lt;&lt;&lt;</v>
      </c>
      <c r="AJ39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1.5873282877311183</v>
      </c>
      <c r="AL399" s="396">
        <f>IF(ISTEXT(RawMaterials[[#This Row],[Unit price in quote year]]),"Check calcs",RawMaterials[[#This Row],[Unit price in quote year]]/VLOOKUP(RawMaterials[[#This Row],[Quote Year]],ChemPPI[],14,FALSE)*VLOOKUP(BasisYear,ChemPPI[],14,FALSE))</f>
        <v>2.1543464718139318</v>
      </c>
      <c r="AM399" s="397" t="str">
        <f t="shared" si="5"/>
        <v>$/kg (2016)</v>
      </c>
    </row>
    <row r="400" spans="1:39">
      <c r="A400" s="352" t="s">
        <v>186</v>
      </c>
      <c r="B400" s="354"/>
      <c r="C400" s="353"/>
      <c r="D400" s="353"/>
      <c r="E400" s="354">
        <v>100</v>
      </c>
      <c r="F400" s="354"/>
      <c r="G400" s="353"/>
      <c r="H400" s="353"/>
      <c r="I400" s="355"/>
      <c r="J400" s="353"/>
      <c r="K400" s="353"/>
      <c r="L400" s="353"/>
      <c r="M400" s="353"/>
      <c r="N400" s="353"/>
      <c r="O400" s="353"/>
      <c r="P400" s="356">
        <v>793.5</v>
      </c>
      <c r="Q400" s="260">
        <v>1</v>
      </c>
      <c r="R400" s="354" t="s">
        <v>62</v>
      </c>
      <c r="S400" s="354">
        <v>2018</v>
      </c>
      <c r="T400" s="354" t="s">
        <v>1094</v>
      </c>
      <c r="U400" s="400">
        <v>43339</v>
      </c>
      <c r="V400" s="387" t="s">
        <v>1705</v>
      </c>
      <c r="W400" s="354">
        <f>COUNT(RawMaterials[[#This Row],[Lab Quantity 1]:[Lab Quantity 4]])</f>
        <v>0</v>
      </c>
      <c r="X40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0" s="392" t="e">
        <f>RawMaterials[[#This Row],[Lab Price 1]]/RawMaterials[[#This Row],[Lab Q Model Units 1]]</f>
        <v>#N/A</v>
      </c>
      <c r="AC400" s="392" t="e">
        <f>RawMaterials[[#This Row],[Lab Price 2]]/RawMaterials[[#This Row],[Lab Q Model Units 2]]</f>
        <v>#N/A</v>
      </c>
      <c r="AD400" s="392" t="e">
        <f>RawMaterials[[#This Row],[Lab Price 3]]/RawMaterials[[#This Row],[Lab Q Model Units 3]]</f>
        <v>#N/A</v>
      </c>
      <c r="AE400" s="392" t="e">
        <f>RawMaterials[[#This Row],[Lab Price 4]]/RawMaterials[[#This Row],[Lab Q Model Units 4]]</f>
        <v>#N/A</v>
      </c>
      <c r="AF400" s="392" t="str">
        <f ca="1">IF(RawMaterials[[#This Row],[Lab Quote Count]]&gt;1,SLOPE(LOG(INDIRECT("RawMaterials[@[Lab Unit P 1]:[Lab Unit P "&amp;RawMaterials[[#This Row],[Lab Quote Count]]&amp;"]]")),LOG(INDIRECT("RawMaterials[@[Lab Q Model Units 1]:[Lab Q Model Units "&amp;RawMaterials[[#This Row],[Lab Quote Count]]&amp;"]]"))),"")</f>
        <v/>
      </c>
      <c r="AG400" s="392" t="str">
        <f ca="1">IF(RawMaterials[[#This Row],[Lab Quote Count]]&gt;1,INTERCEPT(LOG(INDIRECT("RawMaterials[@[Lab Unit P 1]:[Lab Unit P "&amp;RawMaterials[[#This Row],[Lab Quote Count]]&amp;"]]")),LOG(INDIRECT("RawMaterials[@[Lab Q Model Units 1]:[Lab Q Model Units "&amp;RawMaterials[[#This Row],[Lab Quote Count]]&amp;"]]"))),"")</f>
        <v/>
      </c>
      <c r="AH400" s="393" t="str">
        <f>IF(RawMaterials[[#This Row],[Material Type]]="Metal Precursor","D13",IF(RawMaterials[[#This Row],[Material Type]]="Ligand","D13","D12"))</f>
        <v>D12</v>
      </c>
      <c r="AI400" s="394" t="str">
        <f ca="1">IF(RawMaterials[[#This Row],[Lab Quote Count]]&gt;1,10^RawMaterials[[#This Row],[Lab Log-Log Intercept]]*INDIRECT(RawMaterials[[#This Row],[Basis Cell]])^RawMaterials[[#This Row],[Lab Log-Log Slope]],"&gt;&gt;&gt; Enter 2 or more lab quotes &lt;&lt;&lt;")</f>
        <v>&gt;&gt;&gt; Enter 2 or more lab quotes &lt;&lt;&lt;</v>
      </c>
      <c r="AJ40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0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25511.617402206302</v>
      </c>
      <c r="AL400" s="396">
        <f>IF(ISTEXT(RawMaterials[[#This Row],[Unit price in quote year]]),"Check calcs",RawMaterials[[#This Row],[Unit price in quote year]]/VLOOKUP(RawMaterials[[#This Row],[Quote Year]],ChemPPI[],14,FALSE)*VLOOKUP(BasisYear,ChemPPI[],14,FALSE))</f>
        <v>23484.257473664282</v>
      </c>
      <c r="AM400" s="397" t="str">
        <f t="shared" ref="AM400:AM463" si="6">CurrencySymbol&amp;"/"&amp;OutMassUnit&amp;" ("&amp;BasisYear&amp;")"</f>
        <v>$/kg (2016)</v>
      </c>
    </row>
    <row r="401" spans="1:39">
      <c r="A401" s="259" t="s">
        <v>1488</v>
      </c>
      <c r="B401" s="260"/>
      <c r="C401" s="351"/>
      <c r="D401" s="351"/>
      <c r="E401" s="260">
        <v>100</v>
      </c>
      <c r="F401" s="260"/>
      <c r="G401" s="351"/>
      <c r="H401" s="351"/>
      <c r="I401" s="262"/>
      <c r="J401" s="351"/>
      <c r="K401" s="351"/>
      <c r="L401" s="351"/>
      <c r="M401" s="351"/>
      <c r="N401" s="351"/>
      <c r="O401" s="351"/>
      <c r="P401" s="261">
        <v>0.85</v>
      </c>
      <c r="Q401" s="260">
        <v>1</v>
      </c>
      <c r="R401" s="260" t="s">
        <v>20</v>
      </c>
      <c r="S401" s="260">
        <v>2008</v>
      </c>
      <c r="T401" s="260" t="s">
        <v>161</v>
      </c>
      <c r="U401" s="386">
        <v>42653</v>
      </c>
      <c r="V401" s="387"/>
      <c r="W401" s="354">
        <f>COUNT(RawMaterials[[#This Row],[Lab Quantity 1]:[Lab Quantity 4]])</f>
        <v>0</v>
      </c>
      <c r="X40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1" s="392" t="e">
        <f>RawMaterials[[#This Row],[Lab Price 1]]/RawMaterials[[#This Row],[Lab Q Model Units 1]]</f>
        <v>#N/A</v>
      </c>
      <c r="AC401" s="392" t="e">
        <f>RawMaterials[[#This Row],[Lab Price 2]]/RawMaterials[[#This Row],[Lab Q Model Units 2]]</f>
        <v>#N/A</v>
      </c>
      <c r="AD401" s="392" t="e">
        <f>RawMaterials[[#This Row],[Lab Price 3]]/RawMaterials[[#This Row],[Lab Q Model Units 3]]</f>
        <v>#N/A</v>
      </c>
      <c r="AE401" s="392" t="e">
        <f>RawMaterials[[#This Row],[Lab Price 4]]/RawMaterials[[#This Row],[Lab Q Model Units 4]]</f>
        <v>#N/A</v>
      </c>
      <c r="AF401" s="392" t="str">
        <f ca="1">IF(RawMaterials[[#This Row],[Lab Quote Count]]&gt;1,SLOPE(LOG(INDIRECT("RawMaterials[@[Lab Unit P 1]:[Lab Unit P "&amp;RawMaterials[[#This Row],[Lab Quote Count]]&amp;"]]")),LOG(INDIRECT("RawMaterials[@[Lab Q Model Units 1]:[Lab Q Model Units "&amp;RawMaterials[[#This Row],[Lab Quote Count]]&amp;"]]"))),"")</f>
        <v/>
      </c>
      <c r="AG401" s="392" t="str">
        <f ca="1">IF(RawMaterials[[#This Row],[Lab Quote Count]]&gt;1,INTERCEPT(LOG(INDIRECT("RawMaterials[@[Lab Unit P 1]:[Lab Unit P "&amp;RawMaterials[[#This Row],[Lab Quote Count]]&amp;"]]")),LOG(INDIRECT("RawMaterials[@[Lab Q Model Units 1]:[Lab Q Model Units "&amp;RawMaterials[[#This Row],[Lab Quote Count]]&amp;"]]"))),"")</f>
        <v/>
      </c>
      <c r="AH401" s="393" t="str">
        <f>IF(RawMaterials[[#This Row],[Material Type]]="Metal Precursor","D13",IF(RawMaterials[[#This Row],[Material Type]]="Ligand","D13","D12"))</f>
        <v>D12</v>
      </c>
      <c r="AI401" s="394" t="str">
        <f ca="1">IF(RawMaterials[[#This Row],[Lab Quote Count]]&gt;1,10^RawMaterials[[#This Row],[Lab Log-Log Intercept]]*INDIRECT(RawMaterials[[#This Row],[Basis Cell]])^RawMaterials[[#This Row],[Lab Log-Log Slope]],"&gt;&gt;&gt; Enter 2 or more lab quotes &lt;&lt;&lt;")</f>
        <v>&gt;&gt;&gt; Enter 2 or more lab quotes &lt;&lt;&lt;</v>
      </c>
      <c r="AJ40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1.8739292285714593</v>
      </c>
      <c r="AL401" s="396">
        <f>IF(ISTEXT(RawMaterials[[#This Row],[Unit price in quote year]]),"Check calcs",RawMaterials[[#This Row],[Unit price in quote year]]/VLOOKUP(RawMaterials[[#This Row],[Quote Year]],ChemPPI[],14,FALSE)*VLOOKUP(BasisYear,ChemPPI[],14,FALSE))</f>
        <v>2.1932875528271834</v>
      </c>
      <c r="AM401" s="397" t="str">
        <f t="shared" si="6"/>
        <v>$/kg (2016)</v>
      </c>
    </row>
    <row r="402" spans="1:39">
      <c r="A402" s="259" t="s">
        <v>1489</v>
      </c>
      <c r="B402" s="260"/>
      <c r="C402" s="351"/>
      <c r="D402" s="351"/>
      <c r="E402" s="260">
        <v>100</v>
      </c>
      <c r="F402" s="260"/>
      <c r="G402" s="351"/>
      <c r="H402" s="351"/>
      <c r="I402" s="262"/>
      <c r="J402" s="351"/>
      <c r="K402" s="351"/>
      <c r="L402" s="351"/>
      <c r="M402" s="351"/>
      <c r="N402" s="351"/>
      <c r="O402" s="351"/>
      <c r="P402" s="261">
        <v>1.95</v>
      </c>
      <c r="Q402" s="260">
        <v>1</v>
      </c>
      <c r="R402" s="260" t="s">
        <v>20</v>
      </c>
      <c r="S402" s="260">
        <v>2008</v>
      </c>
      <c r="T402" s="260" t="s">
        <v>161</v>
      </c>
      <c r="U402" s="386">
        <v>42653</v>
      </c>
      <c r="V402" s="387"/>
      <c r="W402" s="354">
        <f>COUNT(RawMaterials[[#This Row],[Lab Quantity 1]:[Lab Quantity 4]])</f>
        <v>0</v>
      </c>
      <c r="X40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2" s="392" t="e">
        <f>RawMaterials[[#This Row],[Lab Price 1]]/RawMaterials[[#This Row],[Lab Q Model Units 1]]</f>
        <v>#N/A</v>
      </c>
      <c r="AC402" s="392" t="e">
        <f>RawMaterials[[#This Row],[Lab Price 2]]/RawMaterials[[#This Row],[Lab Q Model Units 2]]</f>
        <v>#N/A</v>
      </c>
      <c r="AD402" s="392" t="e">
        <f>RawMaterials[[#This Row],[Lab Price 3]]/RawMaterials[[#This Row],[Lab Q Model Units 3]]</f>
        <v>#N/A</v>
      </c>
      <c r="AE402" s="392" t="e">
        <f>RawMaterials[[#This Row],[Lab Price 4]]/RawMaterials[[#This Row],[Lab Q Model Units 4]]</f>
        <v>#N/A</v>
      </c>
      <c r="AF402" s="392" t="str">
        <f ca="1">IF(RawMaterials[[#This Row],[Lab Quote Count]]&gt;1,SLOPE(LOG(INDIRECT("RawMaterials[@[Lab Unit P 1]:[Lab Unit P "&amp;RawMaterials[[#This Row],[Lab Quote Count]]&amp;"]]")),LOG(INDIRECT("RawMaterials[@[Lab Q Model Units 1]:[Lab Q Model Units "&amp;RawMaterials[[#This Row],[Lab Quote Count]]&amp;"]]"))),"")</f>
        <v/>
      </c>
      <c r="AG402" s="392" t="str">
        <f ca="1">IF(RawMaterials[[#This Row],[Lab Quote Count]]&gt;1,INTERCEPT(LOG(INDIRECT("RawMaterials[@[Lab Unit P 1]:[Lab Unit P "&amp;RawMaterials[[#This Row],[Lab Quote Count]]&amp;"]]")),LOG(INDIRECT("RawMaterials[@[Lab Q Model Units 1]:[Lab Q Model Units "&amp;RawMaterials[[#This Row],[Lab Quote Count]]&amp;"]]"))),"")</f>
        <v/>
      </c>
      <c r="AH402" s="393" t="str">
        <f>IF(RawMaterials[[#This Row],[Material Type]]="Metal Precursor","D13",IF(RawMaterials[[#This Row],[Material Type]]="Ligand","D13","D12"))</f>
        <v>D12</v>
      </c>
      <c r="AI402" s="394" t="str">
        <f ca="1">IF(RawMaterials[[#This Row],[Lab Quote Count]]&gt;1,10^RawMaterials[[#This Row],[Lab Log-Log Intercept]]*INDIRECT(RawMaterials[[#This Row],[Basis Cell]])^RawMaterials[[#This Row],[Lab Log-Log Slope]],"&gt;&gt;&gt; Enter 2 or more lab quotes &lt;&lt;&lt;")</f>
        <v>&gt;&gt;&gt; Enter 2 or more lab quotes &lt;&lt;&lt;</v>
      </c>
      <c r="AJ40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4.2990141126051125</v>
      </c>
      <c r="AL402" s="396">
        <f>IF(ISTEXT(RawMaterials[[#This Row],[Unit price in quote year]]),"Check calcs",RawMaterials[[#This Row],[Unit price in quote year]]/VLOOKUP(RawMaterials[[#This Row],[Quote Year]],ChemPPI[],14,FALSE)*VLOOKUP(BasisYear,ChemPPI[],14,FALSE))</f>
        <v>5.0316596800153022</v>
      </c>
      <c r="AM402" s="397" t="str">
        <f t="shared" si="6"/>
        <v>$/kg (2016)</v>
      </c>
    </row>
    <row r="403" spans="1:39">
      <c r="A403" s="259" t="s">
        <v>1490</v>
      </c>
      <c r="B403" s="260"/>
      <c r="C403" s="351"/>
      <c r="D403" s="351"/>
      <c r="E403" s="260">
        <v>100</v>
      </c>
      <c r="F403" s="260"/>
      <c r="G403" s="351"/>
      <c r="H403" s="351"/>
      <c r="I403" s="262"/>
      <c r="J403" s="351"/>
      <c r="K403" s="351"/>
      <c r="L403" s="351"/>
      <c r="M403" s="351"/>
      <c r="N403" s="351"/>
      <c r="O403" s="351"/>
      <c r="P403" s="261">
        <v>1.94</v>
      </c>
      <c r="Q403" s="260">
        <v>1</v>
      </c>
      <c r="R403" s="260" t="s">
        <v>20</v>
      </c>
      <c r="S403" s="260">
        <v>2008</v>
      </c>
      <c r="T403" s="260" t="s">
        <v>161</v>
      </c>
      <c r="U403" s="386">
        <v>42653</v>
      </c>
      <c r="V403" s="387"/>
      <c r="W403" s="354">
        <f>COUNT(RawMaterials[[#This Row],[Lab Quantity 1]:[Lab Quantity 4]])</f>
        <v>0</v>
      </c>
      <c r="X40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3" s="392" t="e">
        <f>RawMaterials[[#This Row],[Lab Price 1]]/RawMaterials[[#This Row],[Lab Q Model Units 1]]</f>
        <v>#N/A</v>
      </c>
      <c r="AC403" s="392" t="e">
        <f>RawMaterials[[#This Row],[Lab Price 2]]/RawMaterials[[#This Row],[Lab Q Model Units 2]]</f>
        <v>#N/A</v>
      </c>
      <c r="AD403" s="392" t="e">
        <f>RawMaterials[[#This Row],[Lab Price 3]]/RawMaterials[[#This Row],[Lab Q Model Units 3]]</f>
        <v>#N/A</v>
      </c>
      <c r="AE403" s="392" t="e">
        <f>RawMaterials[[#This Row],[Lab Price 4]]/RawMaterials[[#This Row],[Lab Q Model Units 4]]</f>
        <v>#N/A</v>
      </c>
      <c r="AF403" s="392" t="str">
        <f ca="1">IF(RawMaterials[[#This Row],[Lab Quote Count]]&gt;1,SLOPE(LOG(INDIRECT("RawMaterials[@[Lab Unit P 1]:[Lab Unit P "&amp;RawMaterials[[#This Row],[Lab Quote Count]]&amp;"]]")),LOG(INDIRECT("RawMaterials[@[Lab Q Model Units 1]:[Lab Q Model Units "&amp;RawMaterials[[#This Row],[Lab Quote Count]]&amp;"]]"))),"")</f>
        <v/>
      </c>
      <c r="AG403" s="392" t="str">
        <f ca="1">IF(RawMaterials[[#This Row],[Lab Quote Count]]&gt;1,INTERCEPT(LOG(INDIRECT("RawMaterials[@[Lab Unit P 1]:[Lab Unit P "&amp;RawMaterials[[#This Row],[Lab Quote Count]]&amp;"]]")),LOG(INDIRECT("RawMaterials[@[Lab Q Model Units 1]:[Lab Q Model Units "&amp;RawMaterials[[#This Row],[Lab Quote Count]]&amp;"]]"))),"")</f>
        <v/>
      </c>
      <c r="AH403" s="393" t="str">
        <f>IF(RawMaterials[[#This Row],[Material Type]]="Metal Precursor","D13",IF(RawMaterials[[#This Row],[Material Type]]="Ligand","D13","D12"))</f>
        <v>D12</v>
      </c>
      <c r="AI403" s="394" t="str">
        <f ca="1">IF(RawMaterials[[#This Row],[Lab Quote Count]]&gt;1,10^RawMaterials[[#This Row],[Lab Log-Log Intercept]]*INDIRECT(RawMaterials[[#This Row],[Basis Cell]])^RawMaterials[[#This Row],[Lab Log-Log Slope]],"&gt;&gt;&gt; Enter 2 or more lab quotes &lt;&lt;&lt;")</f>
        <v>&gt;&gt;&gt; Enter 2 or more lab quotes &lt;&lt;&lt;</v>
      </c>
      <c r="AJ40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4.2769678863866245</v>
      </c>
      <c r="AL403" s="396">
        <f>IF(ISTEXT(RawMaterials[[#This Row],[Unit price in quote year]]),"Check calcs",RawMaterials[[#This Row],[Unit price in quote year]]/VLOOKUP(RawMaterials[[#This Row],[Quote Year]],ChemPPI[],14,FALSE)*VLOOKUP(BasisYear,ChemPPI[],14,FALSE))</f>
        <v>5.0058562970408653</v>
      </c>
      <c r="AM403" s="397" t="str">
        <f t="shared" si="6"/>
        <v>$/kg (2016)</v>
      </c>
    </row>
    <row r="404" spans="1:39">
      <c r="A404" s="259" t="s">
        <v>1491</v>
      </c>
      <c r="B404" s="260"/>
      <c r="C404" s="351"/>
      <c r="D404" s="351"/>
      <c r="E404" s="260">
        <v>100</v>
      </c>
      <c r="F404" s="260"/>
      <c r="G404" s="351"/>
      <c r="H404" s="351"/>
      <c r="I404" s="262"/>
      <c r="J404" s="351"/>
      <c r="K404" s="351"/>
      <c r="L404" s="351"/>
      <c r="M404" s="351"/>
      <c r="N404" s="351"/>
      <c r="O404" s="351"/>
      <c r="P404" s="261">
        <v>1.42</v>
      </c>
      <c r="Q404" s="260">
        <v>1</v>
      </c>
      <c r="R404" s="260" t="s">
        <v>20</v>
      </c>
      <c r="S404" s="260">
        <v>2008</v>
      </c>
      <c r="T404" s="260" t="s">
        <v>161</v>
      </c>
      <c r="U404" s="386">
        <v>42653</v>
      </c>
      <c r="V404" s="387"/>
      <c r="W404" s="354">
        <f>COUNT(RawMaterials[[#This Row],[Lab Quantity 1]:[Lab Quantity 4]])</f>
        <v>0</v>
      </c>
      <c r="X40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4" s="392" t="e">
        <f>RawMaterials[[#This Row],[Lab Price 1]]/RawMaterials[[#This Row],[Lab Q Model Units 1]]</f>
        <v>#N/A</v>
      </c>
      <c r="AC404" s="392" t="e">
        <f>RawMaterials[[#This Row],[Lab Price 2]]/RawMaterials[[#This Row],[Lab Q Model Units 2]]</f>
        <v>#N/A</v>
      </c>
      <c r="AD404" s="392" t="e">
        <f>RawMaterials[[#This Row],[Lab Price 3]]/RawMaterials[[#This Row],[Lab Q Model Units 3]]</f>
        <v>#N/A</v>
      </c>
      <c r="AE404" s="392" t="e">
        <f>RawMaterials[[#This Row],[Lab Price 4]]/RawMaterials[[#This Row],[Lab Q Model Units 4]]</f>
        <v>#N/A</v>
      </c>
      <c r="AF404" s="392" t="str">
        <f ca="1">IF(RawMaterials[[#This Row],[Lab Quote Count]]&gt;1,SLOPE(LOG(INDIRECT("RawMaterials[@[Lab Unit P 1]:[Lab Unit P "&amp;RawMaterials[[#This Row],[Lab Quote Count]]&amp;"]]")),LOG(INDIRECT("RawMaterials[@[Lab Q Model Units 1]:[Lab Q Model Units "&amp;RawMaterials[[#This Row],[Lab Quote Count]]&amp;"]]"))),"")</f>
        <v/>
      </c>
      <c r="AG404" s="392" t="str">
        <f ca="1">IF(RawMaterials[[#This Row],[Lab Quote Count]]&gt;1,INTERCEPT(LOG(INDIRECT("RawMaterials[@[Lab Unit P 1]:[Lab Unit P "&amp;RawMaterials[[#This Row],[Lab Quote Count]]&amp;"]]")),LOG(INDIRECT("RawMaterials[@[Lab Q Model Units 1]:[Lab Q Model Units "&amp;RawMaterials[[#This Row],[Lab Quote Count]]&amp;"]]"))),"")</f>
        <v/>
      </c>
      <c r="AH404" s="393" t="str">
        <f>IF(RawMaterials[[#This Row],[Material Type]]="Metal Precursor","D13",IF(RawMaterials[[#This Row],[Material Type]]="Ligand","D13","D12"))</f>
        <v>D12</v>
      </c>
      <c r="AI404" s="394" t="str">
        <f ca="1">IF(RawMaterials[[#This Row],[Lab Quote Count]]&gt;1,10^RawMaterials[[#This Row],[Lab Log-Log Intercept]]*INDIRECT(RawMaterials[[#This Row],[Basis Cell]])^RawMaterials[[#This Row],[Lab Log-Log Slope]],"&gt;&gt;&gt; Enter 2 or more lab quotes &lt;&lt;&lt;")</f>
        <v>&gt;&gt;&gt; Enter 2 or more lab quotes &lt;&lt;&lt;</v>
      </c>
      <c r="AJ40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3.1305641230252612</v>
      </c>
      <c r="AL404" s="396">
        <f>IF(ISTEXT(RawMaterials[[#This Row],[Unit price in quote year]]),"Check calcs",RawMaterials[[#This Row],[Unit price in quote year]]/VLOOKUP(RawMaterials[[#This Row],[Quote Year]],ChemPPI[],14,FALSE)*VLOOKUP(BasisYear,ChemPPI[],14,FALSE))</f>
        <v>3.6640803823701176</v>
      </c>
      <c r="AM404" s="397" t="str">
        <f t="shared" si="6"/>
        <v>$/kg (2016)</v>
      </c>
    </row>
    <row r="405" spans="1:39">
      <c r="A405" s="259" t="s">
        <v>1492</v>
      </c>
      <c r="B405" s="260"/>
      <c r="C405" s="351"/>
      <c r="D405" s="351"/>
      <c r="E405" s="260">
        <v>100</v>
      </c>
      <c r="F405" s="260"/>
      <c r="G405" s="351"/>
      <c r="H405" s="351"/>
      <c r="I405" s="262"/>
      <c r="J405" s="351"/>
      <c r="K405" s="351"/>
      <c r="L405" s="351"/>
      <c r="M405" s="351"/>
      <c r="N405" s="351"/>
      <c r="O405" s="351"/>
      <c r="P405" s="261">
        <v>1.51</v>
      </c>
      <c r="Q405" s="260">
        <v>1</v>
      </c>
      <c r="R405" s="260" t="s">
        <v>20</v>
      </c>
      <c r="S405" s="260">
        <v>2008</v>
      </c>
      <c r="T405" s="260" t="s">
        <v>161</v>
      </c>
      <c r="U405" s="386">
        <v>42653</v>
      </c>
      <c r="V405" s="387"/>
      <c r="W405" s="354">
        <f>COUNT(RawMaterials[[#This Row],[Lab Quantity 1]:[Lab Quantity 4]])</f>
        <v>0</v>
      </c>
      <c r="X40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5" s="392" t="e">
        <f>RawMaterials[[#This Row],[Lab Price 1]]/RawMaterials[[#This Row],[Lab Q Model Units 1]]</f>
        <v>#N/A</v>
      </c>
      <c r="AC405" s="392" t="e">
        <f>RawMaterials[[#This Row],[Lab Price 2]]/RawMaterials[[#This Row],[Lab Q Model Units 2]]</f>
        <v>#N/A</v>
      </c>
      <c r="AD405" s="392" t="e">
        <f>RawMaterials[[#This Row],[Lab Price 3]]/RawMaterials[[#This Row],[Lab Q Model Units 3]]</f>
        <v>#N/A</v>
      </c>
      <c r="AE405" s="392" t="e">
        <f>RawMaterials[[#This Row],[Lab Price 4]]/RawMaterials[[#This Row],[Lab Q Model Units 4]]</f>
        <v>#N/A</v>
      </c>
      <c r="AF405" s="392" t="str">
        <f ca="1">IF(RawMaterials[[#This Row],[Lab Quote Count]]&gt;1,SLOPE(LOG(INDIRECT("RawMaterials[@[Lab Unit P 1]:[Lab Unit P "&amp;RawMaterials[[#This Row],[Lab Quote Count]]&amp;"]]")),LOG(INDIRECT("RawMaterials[@[Lab Q Model Units 1]:[Lab Q Model Units "&amp;RawMaterials[[#This Row],[Lab Quote Count]]&amp;"]]"))),"")</f>
        <v/>
      </c>
      <c r="AG405" s="392" t="str">
        <f ca="1">IF(RawMaterials[[#This Row],[Lab Quote Count]]&gt;1,INTERCEPT(LOG(INDIRECT("RawMaterials[@[Lab Unit P 1]:[Lab Unit P "&amp;RawMaterials[[#This Row],[Lab Quote Count]]&amp;"]]")),LOG(INDIRECT("RawMaterials[@[Lab Q Model Units 1]:[Lab Q Model Units "&amp;RawMaterials[[#This Row],[Lab Quote Count]]&amp;"]]"))),"")</f>
        <v/>
      </c>
      <c r="AH405" s="393" t="str">
        <f>IF(RawMaterials[[#This Row],[Material Type]]="Metal Precursor","D13",IF(RawMaterials[[#This Row],[Material Type]]="Ligand","D13","D12"))</f>
        <v>D12</v>
      </c>
      <c r="AI405" s="394" t="str">
        <f ca="1">IF(RawMaterials[[#This Row],[Lab Quote Count]]&gt;1,10^RawMaterials[[#This Row],[Lab Log-Log Intercept]]*INDIRECT(RawMaterials[[#This Row],[Basis Cell]])^RawMaterials[[#This Row],[Lab Log-Log Slope]],"&gt;&gt;&gt; Enter 2 or more lab quotes &lt;&lt;&lt;")</f>
        <v>&gt;&gt;&gt; Enter 2 or more lab quotes &lt;&lt;&lt;</v>
      </c>
      <c r="AJ40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3.3289801589916515</v>
      </c>
      <c r="AL405" s="396">
        <f>IF(ISTEXT(RawMaterials[[#This Row],[Unit price in quote year]]),"Check calcs",RawMaterials[[#This Row],[Unit price in quote year]]/VLOOKUP(RawMaterials[[#This Row],[Quote Year]],ChemPPI[],14,FALSE)*VLOOKUP(BasisYear,ChemPPI[],14,FALSE))</f>
        <v>3.8963108291400554</v>
      </c>
      <c r="AM405" s="397" t="str">
        <f t="shared" si="6"/>
        <v>$/kg (2016)</v>
      </c>
    </row>
    <row r="406" spans="1:39">
      <c r="A406" s="259" t="s">
        <v>1493</v>
      </c>
      <c r="B406" s="260"/>
      <c r="C406" s="351"/>
      <c r="D406" s="351"/>
      <c r="E406" s="260">
        <v>100</v>
      </c>
      <c r="F406" s="260"/>
      <c r="G406" s="351"/>
      <c r="H406" s="351"/>
      <c r="I406" s="262"/>
      <c r="J406" s="351"/>
      <c r="K406" s="351"/>
      <c r="L406" s="351"/>
      <c r="M406" s="351"/>
      <c r="N406" s="351"/>
      <c r="O406" s="351"/>
      <c r="P406" s="261">
        <v>2.02</v>
      </c>
      <c r="Q406" s="260">
        <v>1</v>
      </c>
      <c r="R406" s="260" t="s">
        <v>20</v>
      </c>
      <c r="S406" s="260">
        <v>2008</v>
      </c>
      <c r="T406" s="260" t="s">
        <v>161</v>
      </c>
      <c r="U406" s="386">
        <v>42653</v>
      </c>
      <c r="V406" s="387"/>
      <c r="W406" s="354">
        <f>COUNT(RawMaterials[[#This Row],[Lab Quantity 1]:[Lab Quantity 4]])</f>
        <v>0</v>
      </c>
      <c r="X40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6" s="392" t="e">
        <f>RawMaterials[[#This Row],[Lab Price 1]]/RawMaterials[[#This Row],[Lab Q Model Units 1]]</f>
        <v>#N/A</v>
      </c>
      <c r="AC406" s="392" t="e">
        <f>RawMaterials[[#This Row],[Lab Price 2]]/RawMaterials[[#This Row],[Lab Q Model Units 2]]</f>
        <v>#N/A</v>
      </c>
      <c r="AD406" s="392" t="e">
        <f>RawMaterials[[#This Row],[Lab Price 3]]/RawMaterials[[#This Row],[Lab Q Model Units 3]]</f>
        <v>#N/A</v>
      </c>
      <c r="AE406" s="392" t="e">
        <f>RawMaterials[[#This Row],[Lab Price 4]]/RawMaterials[[#This Row],[Lab Q Model Units 4]]</f>
        <v>#N/A</v>
      </c>
      <c r="AF406" s="392" t="str">
        <f ca="1">IF(RawMaterials[[#This Row],[Lab Quote Count]]&gt;1,SLOPE(LOG(INDIRECT("RawMaterials[@[Lab Unit P 1]:[Lab Unit P "&amp;RawMaterials[[#This Row],[Lab Quote Count]]&amp;"]]")),LOG(INDIRECT("RawMaterials[@[Lab Q Model Units 1]:[Lab Q Model Units "&amp;RawMaterials[[#This Row],[Lab Quote Count]]&amp;"]]"))),"")</f>
        <v/>
      </c>
      <c r="AG406" s="392" t="str">
        <f ca="1">IF(RawMaterials[[#This Row],[Lab Quote Count]]&gt;1,INTERCEPT(LOG(INDIRECT("RawMaterials[@[Lab Unit P 1]:[Lab Unit P "&amp;RawMaterials[[#This Row],[Lab Quote Count]]&amp;"]]")),LOG(INDIRECT("RawMaterials[@[Lab Q Model Units 1]:[Lab Q Model Units "&amp;RawMaterials[[#This Row],[Lab Quote Count]]&amp;"]]"))),"")</f>
        <v/>
      </c>
      <c r="AH406" s="393" t="str">
        <f>IF(RawMaterials[[#This Row],[Material Type]]="Metal Precursor","D13",IF(RawMaterials[[#This Row],[Material Type]]="Ligand","D13","D12"))</f>
        <v>D12</v>
      </c>
      <c r="AI406" s="394" t="str">
        <f ca="1">IF(RawMaterials[[#This Row],[Lab Quote Count]]&gt;1,10^RawMaterials[[#This Row],[Lab Log-Log Intercept]]*INDIRECT(RawMaterials[[#This Row],[Basis Cell]])^RawMaterials[[#This Row],[Lab Log-Log Slope]],"&gt;&gt;&gt; Enter 2 or more lab quotes &lt;&lt;&lt;")</f>
        <v>&gt;&gt;&gt; Enter 2 or more lab quotes &lt;&lt;&lt;</v>
      </c>
      <c r="AJ40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4.4533376961345272</v>
      </c>
      <c r="AL406" s="396">
        <f>IF(ISTEXT(RawMaterials[[#This Row],[Unit price in quote year]]),"Check calcs",RawMaterials[[#This Row],[Unit price in quote year]]/VLOOKUP(RawMaterials[[#This Row],[Quote Year]],ChemPPI[],14,FALSE)*VLOOKUP(BasisYear,ChemPPI[],14,FALSE))</f>
        <v>5.2122833608363663</v>
      </c>
      <c r="AM406" s="397" t="str">
        <f t="shared" si="6"/>
        <v>$/kg (2016)</v>
      </c>
    </row>
    <row r="407" spans="1:39">
      <c r="A407" s="259" t="s">
        <v>1494</v>
      </c>
      <c r="B407" s="260"/>
      <c r="C407" s="351"/>
      <c r="D407" s="351"/>
      <c r="E407" s="260">
        <v>100</v>
      </c>
      <c r="F407" s="260"/>
      <c r="G407" s="351"/>
      <c r="H407" s="351"/>
      <c r="I407" s="262"/>
      <c r="J407" s="351"/>
      <c r="K407" s="351"/>
      <c r="L407" s="351"/>
      <c r="M407" s="351"/>
      <c r="N407" s="351"/>
      <c r="O407" s="351"/>
      <c r="P407" s="261">
        <v>2.0299999999999998</v>
      </c>
      <c r="Q407" s="260">
        <v>1</v>
      </c>
      <c r="R407" s="260" t="s">
        <v>20</v>
      </c>
      <c r="S407" s="260">
        <v>2008</v>
      </c>
      <c r="T407" s="260" t="s">
        <v>161</v>
      </c>
      <c r="U407" s="386">
        <v>42653</v>
      </c>
      <c r="V407" s="387"/>
      <c r="W407" s="354">
        <f>COUNT(RawMaterials[[#This Row],[Lab Quantity 1]:[Lab Quantity 4]])</f>
        <v>0</v>
      </c>
      <c r="X40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7" s="392" t="e">
        <f>RawMaterials[[#This Row],[Lab Price 1]]/RawMaterials[[#This Row],[Lab Q Model Units 1]]</f>
        <v>#N/A</v>
      </c>
      <c r="AC407" s="392" t="e">
        <f>RawMaterials[[#This Row],[Lab Price 2]]/RawMaterials[[#This Row],[Lab Q Model Units 2]]</f>
        <v>#N/A</v>
      </c>
      <c r="AD407" s="392" t="e">
        <f>RawMaterials[[#This Row],[Lab Price 3]]/RawMaterials[[#This Row],[Lab Q Model Units 3]]</f>
        <v>#N/A</v>
      </c>
      <c r="AE407" s="392" t="e">
        <f>RawMaterials[[#This Row],[Lab Price 4]]/RawMaterials[[#This Row],[Lab Q Model Units 4]]</f>
        <v>#N/A</v>
      </c>
      <c r="AF407" s="392" t="str">
        <f ca="1">IF(RawMaterials[[#This Row],[Lab Quote Count]]&gt;1,SLOPE(LOG(INDIRECT("RawMaterials[@[Lab Unit P 1]:[Lab Unit P "&amp;RawMaterials[[#This Row],[Lab Quote Count]]&amp;"]]")),LOG(INDIRECT("RawMaterials[@[Lab Q Model Units 1]:[Lab Q Model Units "&amp;RawMaterials[[#This Row],[Lab Quote Count]]&amp;"]]"))),"")</f>
        <v/>
      </c>
      <c r="AG407" s="392" t="str">
        <f ca="1">IF(RawMaterials[[#This Row],[Lab Quote Count]]&gt;1,INTERCEPT(LOG(INDIRECT("RawMaterials[@[Lab Unit P 1]:[Lab Unit P "&amp;RawMaterials[[#This Row],[Lab Quote Count]]&amp;"]]")),LOG(INDIRECT("RawMaterials[@[Lab Q Model Units 1]:[Lab Q Model Units "&amp;RawMaterials[[#This Row],[Lab Quote Count]]&amp;"]]"))),"")</f>
        <v/>
      </c>
      <c r="AH407" s="393" t="str">
        <f>IF(RawMaterials[[#This Row],[Material Type]]="Metal Precursor","D13",IF(RawMaterials[[#This Row],[Material Type]]="Ligand","D13","D12"))</f>
        <v>D12</v>
      </c>
      <c r="AI407" s="394" t="str">
        <f ca="1">IF(RawMaterials[[#This Row],[Lab Quote Count]]&gt;1,10^RawMaterials[[#This Row],[Lab Log-Log Intercept]]*INDIRECT(RawMaterials[[#This Row],[Basis Cell]])^RawMaterials[[#This Row],[Lab Log-Log Slope]],"&gt;&gt;&gt; Enter 2 or more lab quotes &lt;&lt;&lt;")</f>
        <v>&gt;&gt;&gt; Enter 2 or more lab quotes &lt;&lt;&lt;</v>
      </c>
      <c r="AJ40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4.4753839223530143</v>
      </c>
      <c r="AL407" s="396">
        <f>IF(ISTEXT(RawMaterials[[#This Row],[Unit price in quote year]]),"Check calcs",RawMaterials[[#This Row],[Unit price in quote year]]/VLOOKUP(RawMaterials[[#This Row],[Quote Year]],ChemPPI[],14,FALSE)*VLOOKUP(BasisYear,ChemPPI[],14,FALSE))</f>
        <v>5.2380867438108023</v>
      </c>
      <c r="AM407" s="397" t="str">
        <f t="shared" si="6"/>
        <v>$/kg (2016)</v>
      </c>
    </row>
    <row r="408" spans="1:39">
      <c r="A408" s="259" t="s">
        <v>1495</v>
      </c>
      <c r="B408" s="260"/>
      <c r="C408" s="351"/>
      <c r="D408" s="351"/>
      <c r="E408" s="260">
        <v>100</v>
      </c>
      <c r="F408" s="260"/>
      <c r="G408" s="351"/>
      <c r="H408" s="351"/>
      <c r="I408" s="262"/>
      <c r="J408" s="351"/>
      <c r="K408" s="351"/>
      <c r="L408" s="351"/>
      <c r="M408" s="351"/>
      <c r="N408" s="351"/>
      <c r="O408" s="351"/>
      <c r="P408" s="261">
        <v>1.4350000000000001</v>
      </c>
      <c r="Q408" s="260">
        <v>1</v>
      </c>
      <c r="R408" s="260" t="s">
        <v>20</v>
      </c>
      <c r="S408" s="260">
        <v>2008</v>
      </c>
      <c r="T408" s="260" t="s">
        <v>161</v>
      </c>
      <c r="U408" s="386">
        <v>42653</v>
      </c>
      <c r="V408" s="387"/>
      <c r="W408" s="354">
        <f>COUNT(RawMaterials[[#This Row],[Lab Quantity 1]:[Lab Quantity 4]])</f>
        <v>0</v>
      </c>
      <c r="X40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8" s="392" t="e">
        <f>RawMaterials[[#This Row],[Lab Price 1]]/RawMaterials[[#This Row],[Lab Q Model Units 1]]</f>
        <v>#N/A</v>
      </c>
      <c r="AC408" s="392" t="e">
        <f>RawMaterials[[#This Row],[Lab Price 2]]/RawMaterials[[#This Row],[Lab Q Model Units 2]]</f>
        <v>#N/A</v>
      </c>
      <c r="AD408" s="392" t="e">
        <f>RawMaterials[[#This Row],[Lab Price 3]]/RawMaterials[[#This Row],[Lab Q Model Units 3]]</f>
        <v>#N/A</v>
      </c>
      <c r="AE408" s="392" t="e">
        <f>RawMaterials[[#This Row],[Lab Price 4]]/RawMaterials[[#This Row],[Lab Q Model Units 4]]</f>
        <v>#N/A</v>
      </c>
      <c r="AF408" s="392" t="str">
        <f ca="1">IF(RawMaterials[[#This Row],[Lab Quote Count]]&gt;1,SLOPE(LOG(INDIRECT("RawMaterials[@[Lab Unit P 1]:[Lab Unit P "&amp;RawMaterials[[#This Row],[Lab Quote Count]]&amp;"]]")),LOG(INDIRECT("RawMaterials[@[Lab Q Model Units 1]:[Lab Q Model Units "&amp;RawMaterials[[#This Row],[Lab Quote Count]]&amp;"]]"))),"")</f>
        <v/>
      </c>
      <c r="AG408" s="392" t="str">
        <f ca="1">IF(RawMaterials[[#This Row],[Lab Quote Count]]&gt;1,INTERCEPT(LOG(INDIRECT("RawMaterials[@[Lab Unit P 1]:[Lab Unit P "&amp;RawMaterials[[#This Row],[Lab Quote Count]]&amp;"]]")),LOG(INDIRECT("RawMaterials[@[Lab Q Model Units 1]:[Lab Q Model Units "&amp;RawMaterials[[#This Row],[Lab Quote Count]]&amp;"]]"))),"")</f>
        <v/>
      </c>
      <c r="AH408" s="393" t="str">
        <f>IF(RawMaterials[[#This Row],[Material Type]]="Metal Precursor","D13",IF(RawMaterials[[#This Row],[Material Type]]="Ligand","D13","D12"))</f>
        <v>D12</v>
      </c>
      <c r="AI408" s="394" t="str">
        <f ca="1">IF(RawMaterials[[#This Row],[Lab Quote Count]]&gt;1,10^RawMaterials[[#This Row],[Lab Log-Log Intercept]]*INDIRECT(RawMaterials[[#This Row],[Basis Cell]])^RawMaterials[[#This Row],[Lab Log-Log Slope]],"&gt;&gt;&gt; Enter 2 or more lab quotes &lt;&lt;&lt;")</f>
        <v>&gt;&gt;&gt; Enter 2 or more lab quotes &lt;&lt;&lt;</v>
      </c>
      <c r="AJ40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3.1636334623529931</v>
      </c>
      <c r="AL408" s="396">
        <f>IF(ISTEXT(RawMaterials[[#This Row],[Unit price in quote year]]),"Check calcs",RawMaterials[[#This Row],[Unit price in quote year]]/VLOOKUP(RawMaterials[[#This Row],[Quote Year]],ChemPPI[],14,FALSE)*VLOOKUP(BasisYear,ChemPPI[],14,FALSE))</f>
        <v>3.7027854568317742</v>
      </c>
      <c r="AM408" s="397" t="str">
        <f t="shared" si="6"/>
        <v>$/kg (2016)</v>
      </c>
    </row>
    <row r="409" spans="1:39">
      <c r="A409" s="259" t="s">
        <v>1496</v>
      </c>
      <c r="B409" s="260"/>
      <c r="C409" s="351"/>
      <c r="D409" s="351"/>
      <c r="E409" s="260">
        <v>100</v>
      </c>
      <c r="F409" s="260"/>
      <c r="G409" s="351"/>
      <c r="H409" s="351"/>
      <c r="I409" s="262"/>
      <c r="J409" s="351"/>
      <c r="K409" s="351"/>
      <c r="L409" s="351"/>
      <c r="M409" s="351"/>
      <c r="N409" s="351"/>
      <c r="O409" s="351"/>
      <c r="P409" s="261">
        <v>1</v>
      </c>
      <c r="Q409" s="260">
        <v>1</v>
      </c>
      <c r="R409" s="260" t="s">
        <v>20</v>
      </c>
      <c r="S409" s="260">
        <v>2006</v>
      </c>
      <c r="T409" s="260" t="s">
        <v>161</v>
      </c>
      <c r="U409" s="386">
        <v>42653</v>
      </c>
      <c r="V409" s="387"/>
      <c r="W409" s="354">
        <f>COUNT(RawMaterials[[#This Row],[Lab Quantity 1]:[Lab Quantity 4]])</f>
        <v>0</v>
      </c>
      <c r="X40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9" s="392" t="e">
        <f>RawMaterials[[#This Row],[Lab Price 1]]/RawMaterials[[#This Row],[Lab Q Model Units 1]]</f>
        <v>#N/A</v>
      </c>
      <c r="AC409" s="392" t="e">
        <f>RawMaterials[[#This Row],[Lab Price 2]]/RawMaterials[[#This Row],[Lab Q Model Units 2]]</f>
        <v>#N/A</v>
      </c>
      <c r="AD409" s="392" t="e">
        <f>RawMaterials[[#This Row],[Lab Price 3]]/RawMaterials[[#This Row],[Lab Q Model Units 3]]</f>
        <v>#N/A</v>
      </c>
      <c r="AE409" s="392" t="e">
        <f>RawMaterials[[#This Row],[Lab Price 4]]/RawMaterials[[#This Row],[Lab Q Model Units 4]]</f>
        <v>#N/A</v>
      </c>
      <c r="AF409" s="392" t="str">
        <f ca="1">IF(RawMaterials[[#This Row],[Lab Quote Count]]&gt;1,SLOPE(LOG(INDIRECT("RawMaterials[@[Lab Unit P 1]:[Lab Unit P "&amp;RawMaterials[[#This Row],[Lab Quote Count]]&amp;"]]")),LOG(INDIRECT("RawMaterials[@[Lab Q Model Units 1]:[Lab Q Model Units "&amp;RawMaterials[[#This Row],[Lab Quote Count]]&amp;"]]"))),"")</f>
        <v/>
      </c>
      <c r="AG409" s="392" t="str">
        <f ca="1">IF(RawMaterials[[#This Row],[Lab Quote Count]]&gt;1,INTERCEPT(LOG(INDIRECT("RawMaterials[@[Lab Unit P 1]:[Lab Unit P "&amp;RawMaterials[[#This Row],[Lab Quote Count]]&amp;"]]")),LOG(INDIRECT("RawMaterials[@[Lab Q Model Units 1]:[Lab Q Model Units "&amp;RawMaterials[[#This Row],[Lab Quote Count]]&amp;"]]"))),"")</f>
        <v/>
      </c>
      <c r="AH409" s="393" t="str">
        <f>IF(RawMaterials[[#This Row],[Material Type]]="Metal Precursor","D13",IF(RawMaterials[[#This Row],[Material Type]]="Ligand","D13","D12"))</f>
        <v>D12</v>
      </c>
      <c r="AI409" s="394" t="str">
        <f ca="1">IF(RawMaterials[[#This Row],[Lab Quote Count]]&gt;1,10^RawMaterials[[#This Row],[Lab Log-Log Intercept]]*INDIRECT(RawMaterials[[#This Row],[Basis Cell]])^RawMaterials[[#This Row],[Lab Log-Log Slope]],"&gt;&gt;&gt; Enter 2 or more lab quotes &lt;&lt;&lt;")</f>
        <v>&gt;&gt;&gt; Enter 2 or more lab quotes &lt;&lt;&lt;</v>
      </c>
      <c r="AJ40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2.2046226218487757</v>
      </c>
      <c r="AL409" s="396">
        <f>IF(ISTEXT(RawMaterials[[#This Row],[Unit price in quote year]]),"Check calcs",RawMaterials[[#This Row],[Unit price in quote year]]/VLOOKUP(RawMaterials[[#This Row],[Quote Year]],ChemPPI[],14,FALSE)*VLOOKUP(BasisYear,ChemPPI[],14,FALSE))</f>
        <v>2.9921478775193497</v>
      </c>
      <c r="AM409" s="397" t="str">
        <f t="shared" si="6"/>
        <v>$/kg (2016)</v>
      </c>
    </row>
    <row r="410" spans="1:39">
      <c r="A410" s="259" t="s">
        <v>1497</v>
      </c>
      <c r="B410" s="260"/>
      <c r="C410" s="351"/>
      <c r="D410" s="351"/>
      <c r="E410" s="260">
        <v>100</v>
      </c>
      <c r="F410" s="260"/>
      <c r="G410" s="351"/>
      <c r="H410" s="351"/>
      <c r="I410" s="262"/>
      <c r="J410" s="351"/>
      <c r="K410" s="351"/>
      <c r="L410" s="351"/>
      <c r="M410" s="351"/>
      <c r="N410" s="351"/>
      <c r="O410" s="351"/>
      <c r="P410" s="261">
        <v>1.51</v>
      </c>
      <c r="Q410" s="260">
        <v>1</v>
      </c>
      <c r="R410" s="260" t="s">
        <v>20</v>
      </c>
      <c r="S410" s="260">
        <v>2006</v>
      </c>
      <c r="T410" s="260" t="s">
        <v>161</v>
      </c>
      <c r="U410" s="386">
        <v>42653</v>
      </c>
      <c r="V410" s="387"/>
      <c r="W410" s="354">
        <f>COUNT(RawMaterials[[#This Row],[Lab Quantity 1]:[Lab Quantity 4]])</f>
        <v>0</v>
      </c>
      <c r="X41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0" s="392" t="e">
        <f>RawMaterials[[#This Row],[Lab Price 1]]/RawMaterials[[#This Row],[Lab Q Model Units 1]]</f>
        <v>#N/A</v>
      </c>
      <c r="AC410" s="392" t="e">
        <f>RawMaterials[[#This Row],[Lab Price 2]]/RawMaterials[[#This Row],[Lab Q Model Units 2]]</f>
        <v>#N/A</v>
      </c>
      <c r="AD410" s="392" t="e">
        <f>RawMaterials[[#This Row],[Lab Price 3]]/RawMaterials[[#This Row],[Lab Q Model Units 3]]</f>
        <v>#N/A</v>
      </c>
      <c r="AE410" s="392" t="e">
        <f>RawMaterials[[#This Row],[Lab Price 4]]/RawMaterials[[#This Row],[Lab Q Model Units 4]]</f>
        <v>#N/A</v>
      </c>
      <c r="AF410" s="392" t="str">
        <f ca="1">IF(RawMaterials[[#This Row],[Lab Quote Count]]&gt;1,SLOPE(LOG(INDIRECT("RawMaterials[@[Lab Unit P 1]:[Lab Unit P "&amp;RawMaterials[[#This Row],[Lab Quote Count]]&amp;"]]")),LOG(INDIRECT("RawMaterials[@[Lab Q Model Units 1]:[Lab Q Model Units "&amp;RawMaterials[[#This Row],[Lab Quote Count]]&amp;"]]"))),"")</f>
        <v/>
      </c>
      <c r="AG410" s="392" t="str">
        <f ca="1">IF(RawMaterials[[#This Row],[Lab Quote Count]]&gt;1,INTERCEPT(LOG(INDIRECT("RawMaterials[@[Lab Unit P 1]:[Lab Unit P "&amp;RawMaterials[[#This Row],[Lab Quote Count]]&amp;"]]")),LOG(INDIRECT("RawMaterials[@[Lab Q Model Units 1]:[Lab Q Model Units "&amp;RawMaterials[[#This Row],[Lab Quote Count]]&amp;"]]"))),"")</f>
        <v/>
      </c>
      <c r="AH410" s="393" t="str">
        <f>IF(RawMaterials[[#This Row],[Material Type]]="Metal Precursor","D13",IF(RawMaterials[[#This Row],[Material Type]]="Ligand","D13","D12"))</f>
        <v>D12</v>
      </c>
      <c r="AI410" s="394" t="str">
        <f ca="1">IF(RawMaterials[[#This Row],[Lab Quote Count]]&gt;1,10^RawMaterials[[#This Row],[Lab Log-Log Intercept]]*INDIRECT(RawMaterials[[#This Row],[Basis Cell]])^RawMaterials[[#This Row],[Lab Log-Log Slope]],"&gt;&gt;&gt; Enter 2 or more lab quotes &lt;&lt;&lt;")</f>
        <v>&gt;&gt;&gt; Enter 2 or more lab quotes &lt;&lt;&lt;</v>
      </c>
      <c r="AJ41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3.3289801589916515</v>
      </c>
      <c r="AL410" s="396">
        <f>IF(ISTEXT(RawMaterials[[#This Row],[Unit price in quote year]]),"Check calcs",RawMaterials[[#This Row],[Unit price in quote year]]/VLOOKUP(RawMaterials[[#This Row],[Quote Year]],ChemPPI[],14,FALSE)*VLOOKUP(BasisYear,ChemPPI[],14,FALSE))</f>
        <v>4.5181432950542186</v>
      </c>
      <c r="AM410" s="397" t="str">
        <f t="shared" si="6"/>
        <v>$/kg (2016)</v>
      </c>
    </row>
    <row r="411" spans="1:39">
      <c r="A411" s="259" t="s">
        <v>1498</v>
      </c>
      <c r="B411" s="260"/>
      <c r="C411" s="351"/>
      <c r="D411" s="351"/>
      <c r="E411" s="260">
        <v>100</v>
      </c>
      <c r="F411" s="260"/>
      <c r="G411" s="351"/>
      <c r="H411" s="351"/>
      <c r="I411" s="262"/>
      <c r="J411" s="351"/>
      <c r="K411" s="351"/>
      <c r="L411" s="351"/>
      <c r="M411" s="351"/>
      <c r="N411" s="351"/>
      <c r="O411" s="351"/>
      <c r="P411" s="261">
        <v>1.075</v>
      </c>
      <c r="Q411" s="260">
        <v>1</v>
      </c>
      <c r="R411" s="260" t="s">
        <v>20</v>
      </c>
      <c r="S411" s="260">
        <v>2008</v>
      </c>
      <c r="T411" s="260" t="s">
        <v>161</v>
      </c>
      <c r="U411" s="386">
        <v>42653</v>
      </c>
      <c r="V411" s="387"/>
      <c r="W411" s="354">
        <f>COUNT(RawMaterials[[#This Row],[Lab Quantity 1]:[Lab Quantity 4]])</f>
        <v>0</v>
      </c>
      <c r="X41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1" s="392" t="e">
        <f>RawMaterials[[#This Row],[Lab Price 1]]/RawMaterials[[#This Row],[Lab Q Model Units 1]]</f>
        <v>#N/A</v>
      </c>
      <c r="AC411" s="392" t="e">
        <f>RawMaterials[[#This Row],[Lab Price 2]]/RawMaterials[[#This Row],[Lab Q Model Units 2]]</f>
        <v>#N/A</v>
      </c>
      <c r="AD411" s="392" t="e">
        <f>RawMaterials[[#This Row],[Lab Price 3]]/RawMaterials[[#This Row],[Lab Q Model Units 3]]</f>
        <v>#N/A</v>
      </c>
      <c r="AE411" s="392" t="e">
        <f>RawMaterials[[#This Row],[Lab Price 4]]/RawMaterials[[#This Row],[Lab Q Model Units 4]]</f>
        <v>#N/A</v>
      </c>
      <c r="AF411" s="392" t="str">
        <f ca="1">IF(RawMaterials[[#This Row],[Lab Quote Count]]&gt;1,SLOPE(LOG(INDIRECT("RawMaterials[@[Lab Unit P 1]:[Lab Unit P "&amp;RawMaterials[[#This Row],[Lab Quote Count]]&amp;"]]")),LOG(INDIRECT("RawMaterials[@[Lab Q Model Units 1]:[Lab Q Model Units "&amp;RawMaterials[[#This Row],[Lab Quote Count]]&amp;"]]"))),"")</f>
        <v/>
      </c>
      <c r="AG411" s="392" t="str">
        <f ca="1">IF(RawMaterials[[#This Row],[Lab Quote Count]]&gt;1,INTERCEPT(LOG(INDIRECT("RawMaterials[@[Lab Unit P 1]:[Lab Unit P "&amp;RawMaterials[[#This Row],[Lab Quote Count]]&amp;"]]")),LOG(INDIRECT("RawMaterials[@[Lab Q Model Units 1]:[Lab Q Model Units "&amp;RawMaterials[[#This Row],[Lab Quote Count]]&amp;"]]"))),"")</f>
        <v/>
      </c>
      <c r="AH411" s="393" t="str">
        <f>IF(RawMaterials[[#This Row],[Material Type]]="Metal Precursor","D13",IF(RawMaterials[[#This Row],[Material Type]]="Ligand","D13","D12"))</f>
        <v>D12</v>
      </c>
      <c r="AI411" s="394" t="str">
        <f ca="1">IF(RawMaterials[[#This Row],[Lab Quote Count]]&gt;1,10^RawMaterials[[#This Row],[Lab Log-Log Intercept]]*INDIRECT(RawMaterials[[#This Row],[Basis Cell]])^RawMaterials[[#This Row],[Lab Log-Log Slope]],"&gt;&gt;&gt; Enter 2 or more lab quotes &lt;&lt;&lt;")</f>
        <v>&gt;&gt;&gt; Enter 2 or more lab quotes &lt;&lt;&lt;</v>
      </c>
      <c r="AJ41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2.369969318487434</v>
      </c>
      <c r="AL411" s="396">
        <f>IF(ISTEXT(RawMaterials[[#This Row],[Unit price in quote year]]),"Check calcs",RawMaterials[[#This Row],[Unit price in quote year]]/VLOOKUP(RawMaterials[[#This Row],[Quote Year]],ChemPPI[],14,FALSE)*VLOOKUP(BasisYear,ChemPPI[],14,FALSE))</f>
        <v>2.7738636697520263</v>
      </c>
      <c r="AM411" s="397" t="str">
        <f t="shared" si="6"/>
        <v>$/kg (2016)</v>
      </c>
    </row>
    <row r="412" spans="1:39">
      <c r="A412" s="259" t="s">
        <v>1499</v>
      </c>
      <c r="B412" s="260"/>
      <c r="C412" s="351"/>
      <c r="D412" s="351"/>
      <c r="E412" s="260">
        <v>100</v>
      </c>
      <c r="F412" s="260"/>
      <c r="G412" s="351"/>
      <c r="H412" s="351"/>
      <c r="I412" s="262"/>
      <c r="J412" s="351"/>
      <c r="K412" s="351"/>
      <c r="L412" s="351"/>
      <c r="M412" s="351"/>
      <c r="N412" s="351"/>
      <c r="O412" s="351"/>
      <c r="P412" s="261">
        <v>0.72499999999999998</v>
      </c>
      <c r="Q412" s="260">
        <v>1</v>
      </c>
      <c r="R412" s="260" t="s">
        <v>20</v>
      </c>
      <c r="S412" s="260">
        <v>2008</v>
      </c>
      <c r="T412" s="260" t="s">
        <v>161</v>
      </c>
      <c r="U412" s="386">
        <v>42653</v>
      </c>
      <c r="V412" s="387"/>
      <c r="W412" s="354">
        <f>COUNT(RawMaterials[[#This Row],[Lab Quantity 1]:[Lab Quantity 4]])</f>
        <v>0</v>
      </c>
      <c r="X41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2" s="392" t="e">
        <f>RawMaterials[[#This Row],[Lab Price 1]]/RawMaterials[[#This Row],[Lab Q Model Units 1]]</f>
        <v>#N/A</v>
      </c>
      <c r="AC412" s="392" t="e">
        <f>RawMaterials[[#This Row],[Lab Price 2]]/RawMaterials[[#This Row],[Lab Q Model Units 2]]</f>
        <v>#N/A</v>
      </c>
      <c r="AD412" s="392" t="e">
        <f>RawMaterials[[#This Row],[Lab Price 3]]/RawMaterials[[#This Row],[Lab Q Model Units 3]]</f>
        <v>#N/A</v>
      </c>
      <c r="AE412" s="392" t="e">
        <f>RawMaterials[[#This Row],[Lab Price 4]]/RawMaterials[[#This Row],[Lab Q Model Units 4]]</f>
        <v>#N/A</v>
      </c>
      <c r="AF412" s="392" t="str">
        <f ca="1">IF(RawMaterials[[#This Row],[Lab Quote Count]]&gt;1,SLOPE(LOG(INDIRECT("RawMaterials[@[Lab Unit P 1]:[Lab Unit P "&amp;RawMaterials[[#This Row],[Lab Quote Count]]&amp;"]]")),LOG(INDIRECT("RawMaterials[@[Lab Q Model Units 1]:[Lab Q Model Units "&amp;RawMaterials[[#This Row],[Lab Quote Count]]&amp;"]]"))),"")</f>
        <v/>
      </c>
      <c r="AG412" s="392" t="str">
        <f ca="1">IF(RawMaterials[[#This Row],[Lab Quote Count]]&gt;1,INTERCEPT(LOG(INDIRECT("RawMaterials[@[Lab Unit P 1]:[Lab Unit P "&amp;RawMaterials[[#This Row],[Lab Quote Count]]&amp;"]]")),LOG(INDIRECT("RawMaterials[@[Lab Q Model Units 1]:[Lab Q Model Units "&amp;RawMaterials[[#This Row],[Lab Quote Count]]&amp;"]]"))),"")</f>
        <v/>
      </c>
      <c r="AH412" s="393" t="str">
        <f>IF(RawMaterials[[#This Row],[Material Type]]="Metal Precursor","D13",IF(RawMaterials[[#This Row],[Material Type]]="Ligand","D13","D12"))</f>
        <v>D12</v>
      </c>
      <c r="AI412" s="394" t="str">
        <f ca="1">IF(RawMaterials[[#This Row],[Lab Quote Count]]&gt;1,10^RawMaterials[[#This Row],[Lab Log-Log Intercept]]*INDIRECT(RawMaterials[[#This Row],[Basis Cell]])^RawMaterials[[#This Row],[Lab Log-Log Slope]],"&gt;&gt;&gt; Enter 2 or more lab quotes &lt;&lt;&lt;")</f>
        <v>&gt;&gt;&gt; Enter 2 or more lab quotes &lt;&lt;&lt;</v>
      </c>
      <c r="AJ41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1.5983514008403623</v>
      </c>
      <c r="AL412" s="396">
        <f>IF(ISTEXT(RawMaterials[[#This Row],[Unit price in quote year]]),"Check calcs",RawMaterials[[#This Row],[Unit price in quote year]]/VLOOKUP(RawMaterials[[#This Row],[Quote Year]],ChemPPI[],14,FALSE)*VLOOKUP(BasisYear,ChemPPI[],14,FALSE))</f>
        <v>1.8707452656467152</v>
      </c>
      <c r="AM412" s="397" t="str">
        <f t="shared" si="6"/>
        <v>$/kg (2016)</v>
      </c>
    </row>
    <row r="413" spans="1:39">
      <c r="A413" s="259" t="s">
        <v>1500</v>
      </c>
      <c r="B413" s="260"/>
      <c r="C413" s="351"/>
      <c r="D413" s="351"/>
      <c r="E413" s="260">
        <v>100</v>
      </c>
      <c r="F413" s="260"/>
      <c r="G413" s="351"/>
      <c r="H413" s="351"/>
      <c r="I413" s="262"/>
      <c r="J413" s="351"/>
      <c r="K413" s="351"/>
      <c r="L413" s="351"/>
      <c r="M413" s="351"/>
      <c r="N413" s="351"/>
      <c r="O413" s="351"/>
      <c r="P413" s="261">
        <v>0.72499999999999998</v>
      </c>
      <c r="Q413" s="260">
        <v>1</v>
      </c>
      <c r="R413" s="260" t="s">
        <v>20</v>
      </c>
      <c r="S413" s="260">
        <v>2008</v>
      </c>
      <c r="T413" s="260" t="s">
        <v>161</v>
      </c>
      <c r="U413" s="386">
        <v>42653</v>
      </c>
      <c r="V413" s="387"/>
      <c r="W413" s="354">
        <f>COUNT(RawMaterials[[#This Row],[Lab Quantity 1]:[Lab Quantity 4]])</f>
        <v>0</v>
      </c>
      <c r="X41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3" s="392" t="e">
        <f>RawMaterials[[#This Row],[Lab Price 1]]/RawMaterials[[#This Row],[Lab Q Model Units 1]]</f>
        <v>#N/A</v>
      </c>
      <c r="AC413" s="392" t="e">
        <f>RawMaterials[[#This Row],[Lab Price 2]]/RawMaterials[[#This Row],[Lab Q Model Units 2]]</f>
        <v>#N/A</v>
      </c>
      <c r="AD413" s="392" t="e">
        <f>RawMaterials[[#This Row],[Lab Price 3]]/RawMaterials[[#This Row],[Lab Q Model Units 3]]</f>
        <v>#N/A</v>
      </c>
      <c r="AE413" s="392" t="e">
        <f>RawMaterials[[#This Row],[Lab Price 4]]/RawMaterials[[#This Row],[Lab Q Model Units 4]]</f>
        <v>#N/A</v>
      </c>
      <c r="AF413" s="392" t="str">
        <f ca="1">IF(RawMaterials[[#This Row],[Lab Quote Count]]&gt;1,SLOPE(LOG(INDIRECT("RawMaterials[@[Lab Unit P 1]:[Lab Unit P "&amp;RawMaterials[[#This Row],[Lab Quote Count]]&amp;"]]")),LOG(INDIRECT("RawMaterials[@[Lab Q Model Units 1]:[Lab Q Model Units "&amp;RawMaterials[[#This Row],[Lab Quote Count]]&amp;"]]"))),"")</f>
        <v/>
      </c>
      <c r="AG413" s="392" t="str">
        <f ca="1">IF(RawMaterials[[#This Row],[Lab Quote Count]]&gt;1,INTERCEPT(LOG(INDIRECT("RawMaterials[@[Lab Unit P 1]:[Lab Unit P "&amp;RawMaterials[[#This Row],[Lab Quote Count]]&amp;"]]")),LOG(INDIRECT("RawMaterials[@[Lab Q Model Units 1]:[Lab Q Model Units "&amp;RawMaterials[[#This Row],[Lab Quote Count]]&amp;"]]"))),"")</f>
        <v/>
      </c>
      <c r="AH413" s="393" t="str">
        <f>IF(RawMaterials[[#This Row],[Material Type]]="Metal Precursor","D13",IF(RawMaterials[[#This Row],[Material Type]]="Ligand","D13","D12"))</f>
        <v>D12</v>
      </c>
      <c r="AI413" s="394" t="str">
        <f ca="1">IF(RawMaterials[[#This Row],[Lab Quote Count]]&gt;1,10^RawMaterials[[#This Row],[Lab Log-Log Intercept]]*INDIRECT(RawMaterials[[#This Row],[Basis Cell]])^RawMaterials[[#This Row],[Lab Log-Log Slope]],"&gt;&gt;&gt; Enter 2 or more lab quotes &lt;&lt;&lt;")</f>
        <v>&gt;&gt;&gt; Enter 2 or more lab quotes &lt;&lt;&lt;</v>
      </c>
      <c r="AJ41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1.5983514008403623</v>
      </c>
      <c r="AL413" s="396">
        <f>IF(ISTEXT(RawMaterials[[#This Row],[Unit price in quote year]]),"Check calcs",RawMaterials[[#This Row],[Unit price in quote year]]/VLOOKUP(RawMaterials[[#This Row],[Quote Year]],ChemPPI[],14,FALSE)*VLOOKUP(BasisYear,ChemPPI[],14,FALSE))</f>
        <v>1.8707452656467152</v>
      </c>
      <c r="AM413" s="397" t="str">
        <f t="shared" si="6"/>
        <v>$/kg (2016)</v>
      </c>
    </row>
    <row r="414" spans="1:39">
      <c r="A414" s="259" t="s">
        <v>1501</v>
      </c>
      <c r="B414" s="260"/>
      <c r="C414" s="351"/>
      <c r="D414" s="351"/>
      <c r="E414" s="260">
        <v>100</v>
      </c>
      <c r="F414" s="260"/>
      <c r="G414" s="351"/>
      <c r="H414" s="351"/>
      <c r="I414" s="262"/>
      <c r="J414" s="351"/>
      <c r="K414" s="351"/>
      <c r="L414" s="351"/>
      <c r="M414" s="351"/>
      <c r="N414" s="351"/>
      <c r="O414" s="351"/>
      <c r="P414" s="261">
        <v>0.77500000000000002</v>
      </c>
      <c r="Q414" s="260">
        <v>1</v>
      </c>
      <c r="R414" s="260" t="s">
        <v>20</v>
      </c>
      <c r="S414" s="260">
        <v>2008</v>
      </c>
      <c r="T414" s="260" t="s">
        <v>161</v>
      </c>
      <c r="U414" s="386">
        <v>42653</v>
      </c>
      <c r="V414" s="387"/>
      <c r="W414" s="354">
        <f>COUNT(RawMaterials[[#This Row],[Lab Quantity 1]:[Lab Quantity 4]])</f>
        <v>0</v>
      </c>
      <c r="X41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4" s="392" t="e">
        <f>RawMaterials[[#This Row],[Lab Price 1]]/RawMaterials[[#This Row],[Lab Q Model Units 1]]</f>
        <v>#N/A</v>
      </c>
      <c r="AC414" s="392" t="e">
        <f>RawMaterials[[#This Row],[Lab Price 2]]/RawMaterials[[#This Row],[Lab Q Model Units 2]]</f>
        <v>#N/A</v>
      </c>
      <c r="AD414" s="392" t="e">
        <f>RawMaterials[[#This Row],[Lab Price 3]]/RawMaterials[[#This Row],[Lab Q Model Units 3]]</f>
        <v>#N/A</v>
      </c>
      <c r="AE414" s="392" t="e">
        <f>RawMaterials[[#This Row],[Lab Price 4]]/RawMaterials[[#This Row],[Lab Q Model Units 4]]</f>
        <v>#N/A</v>
      </c>
      <c r="AF414" s="392" t="str">
        <f ca="1">IF(RawMaterials[[#This Row],[Lab Quote Count]]&gt;1,SLOPE(LOG(INDIRECT("RawMaterials[@[Lab Unit P 1]:[Lab Unit P "&amp;RawMaterials[[#This Row],[Lab Quote Count]]&amp;"]]")),LOG(INDIRECT("RawMaterials[@[Lab Q Model Units 1]:[Lab Q Model Units "&amp;RawMaterials[[#This Row],[Lab Quote Count]]&amp;"]]"))),"")</f>
        <v/>
      </c>
      <c r="AG414" s="392" t="str">
        <f ca="1">IF(RawMaterials[[#This Row],[Lab Quote Count]]&gt;1,INTERCEPT(LOG(INDIRECT("RawMaterials[@[Lab Unit P 1]:[Lab Unit P "&amp;RawMaterials[[#This Row],[Lab Quote Count]]&amp;"]]")),LOG(INDIRECT("RawMaterials[@[Lab Q Model Units 1]:[Lab Q Model Units "&amp;RawMaterials[[#This Row],[Lab Quote Count]]&amp;"]]"))),"")</f>
        <v/>
      </c>
      <c r="AH414" s="393" t="str">
        <f>IF(RawMaterials[[#This Row],[Material Type]]="Metal Precursor","D13",IF(RawMaterials[[#This Row],[Material Type]]="Ligand","D13","D12"))</f>
        <v>D12</v>
      </c>
      <c r="AI414" s="394" t="str">
        <f ca="1">IF(RawMaterials[[#This Row],[Lab Quote Count]]&gt;1,10^RawMaterials[[#This Row],[Lab Log-Log Intercept]]*INDIRECT(RawMaterials[[#This Row],[Basis Cell]])^RawMaterials[[#This Row],[Lab Log-Log Slope]],"&gt;&gt;&gt; Enter 2 or more lab quotes &lt;&lt;&lt;")</f>
        <v>&gt;&gt;&gt; Enter 2 or more lab quotes &lt;&lt;&lt;</v>
      </c>
      <c r="AJ41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1.7085825319328012</v>
      </c>
      <c r="AL414" s="396">
        <f>IF(ISTEXT(RawMaterials[[#This Row],[Unit price in quote year]]),"Check calcs",RawMaterials[[#This Row],[Unit price in quote year]]/VLOOKUP(RawMaterials[[#This Row],[Quote Year]],ChemPPI[],14,FALSE)*VLOOKUP(BasisYear,ChemPPI[],14,FALSE))</f>
        <v>1.9997621805189025</v>
      </c>
      <c r="AM414" s="397" t="str">
        <f t="shared" si="6"/>
        <v>$/kg (2016)</v>
      </c>
    </row>
    <row r="415" spans="1:39">
      <c r="A415" s="259" t="s">
        <v>1502</v>
      </c>
      <c r="B415" s="260"/>
      <c r="C415" s="351"/>
      <c r="D415" s="351"/>
      <c r="E415" s="260">
        <v>100</v>
      </c>
      <c r="F415" s="260"/>
      <c r="G415" s="351"/>
      <c r="H415" s="351"/>
      <c r="I415" s="262"/>
      <c r="J415" s="351"/>
      <c r="K415" s="351"/>
      <c r="L415" s="351"/>
      <c r="M415" s="351"/>
      <c r="N415" s="351"/>
      <c r="O415" s="351"/>
      <c r="P415" s="261">
        <v>0.78499999999999903</v>
      </c>
      <c r="Q415" s="260">
        <v>1</v>
      </c>
      <c r="R415" s="260" t="s">
        <v>20</v>
      </c>
      <c r="S415" s="260">
        <v>2008</v>
      </c>
      <c r="T415" s="260" t="s">
        <v>161</v>
      </c>
      <c r="U415" s="386">
        <v>42653</v>
      </c>
      <c r="V415" s="387"/>
      <c r="W415" s="354">
        <f>COUNT(RawMaterials[[#This Row],[Lab Quantity 1]:[Lab Quantity 4]])</f>
        <v>0</v>
      </c>
      <c r="X41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5" s="392" t="e">
        <f>RawMaterials[[#This Row],[Lab Price 1]]/RawMaterials[[#This Row],[Lab Q Model Units 1]]</f>
        <v>#N/A</v>
      </c>
      <c r="AC415" s="392" t="e">
        <f>RawMaterials[[#This Row],[Lab Price 2]]/RawMaterials[[#This Row],[Lab Q Model Units 2]]</f>
        <v>#N/A</v>
      </c>
      <c r="AD415" s="392" t="e">
        <f>RawMaterials[[#This Row],[Lab Price 3]]/RawMaterials[[#This Row],[Lab Q Model Units 3]]</f>
        <v>#N/A</v>
      </c>
      <c r="AE415" s="392" t="e">
        <f>RawMaterials[[#This Row],[Lab Price 4]]/RawMaterials[[#This Row],[Lab Q Model Units 4]]</f>
        <v>#N/A</v>
      </c>
      <c r="AF415" s="392" t="str">
        <f ca="1">IF(RawMaterials[[#This Row],[Lab Quote Count]]&gt;1,SLOPE(LOG(INDIRECT("RawMaterials[@[Lab Unit P 1]:[Lab Unit P "&amp;RawMaterials[[#This Row],[Lab Quote Count]]&amp;"]]")),LOG(INDIRECT("RawMaterials[@[Lab Q Model Units 1]:[Lab Q Model Units "&amp;RawMaterials[[#This Row],[Lab Quote Count]]&amp;"]]"))),"")</f>
        <v/>
      </c>
      <c r="AG415" s="392" t="str">
        <f ca="1">IF(RawMaterials[[#This Row],[Lab Quote Count]]&gt;1,INTERCEPT(LOG(INDIRECT("RawMaterials[@[Lab Unit P 1]:[Lab Unit P "&amp;RawMaterials[[#This Row],[Lab Quote Count]]&amp;"]]")),LOG(INDIRECT("RawMaterials[@[Lab Q Model Units 1]:[Lab Q Model Units "&amp;RawMaterials[[#This Row],[Lab Quote Count]]&amp;"]]"))),"")</f>
        <v/>
      </c>
      <c r="AH415" s="393" t="str">
        <f>IF(RawMaterials[[#This Row],[Material Type]]="Metal Precursor","D13",IF(RawMaterials[[#This Row],[Material Type]]="Ligand","D13","D12"))</f>
        <v>D12</v>
      </c>
      <c r="AI415" s="394" t="str">
        <f ca="1">IF(RawMaterials[[#This Row],[Lab Quote Count]]&gt;1,10^RawMaterials[[#This Row],[Lab Log-Log Intercept]]*INDIRECT(RawMaterials[[#This Row],[Basis Cell]])^RawMaterials[[#This Row],[Lab Log-Log Slope]],"&gt;&gt;&gt; Enter 2 or more lab quotes &lt;&lt;&lt;")</f>
        <v>&gt;&gt;&gt; Enter 2 or more lab quotes &lt;&lt;&lt;</v>
      </c>
      <c r="AJ41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1.7306287581512867</v>
      </c>
      <c r="AL415" s="396">
        <f>IF(ISTEXT(RawMaterials[[#This Row],[Unit price in quote year]]),"Check calcs",RawMaterials[[#This Row],[Unit price in quote year]]/VLOOKUP(RawMaterials[[#This Row],[Quote Year]],ChemPPI[],14,FALSE)*VLOOKUP(BasisYear,ChemPPI[],14,FALSE))</f>
        <v>2.0255655634933376</v>
      </c>
      <c r="AM415" s="397" t="str">
        <f t="shared" si="6"/>
        <v>$/kg (2016)</v>
      </c>
    </row>
    <row r="416" spans="1:39">
      <c r="A416" s="259" t="s">
        <v>1503</v>
      </c>
      <c r="B416" s="260"/>
      <c r="C416" s="351"/>
      <c r="D416" s="351"/>
      <c r="E416" s="260">
        <v>100</v>
      </c>
      <c r="F416" s="260"/>
      <c r="G416" s="351"/>
      <c r="H416" s="351"/>
      <c r="I416" s="262"/>
      <c r="J416" s="351"/>
      <c r="K416" s="351"/>
      <c r="L416" s="351"/>
      <c r="M416" s="351"/>
      <c r="N416" s="351"/>
      <c r="O416" s="351"/>
      <c r="P416" s="261">
        <v>0.72</v>
      </c>
      <c r="Q416" s="260">
        <v>1</v>
      </c>
      <c r="R416" s="260" t="s">
        <v>20</v>
      </c>
      <c r="S416" s="260">
        <v>2008</v>
      </c>
      <c r="T416" s="260" t="s">
        <v>161</v>
      </c>
      <c r="U416" s="386">
        <v>42653</v>
      </c>
      <c r="V416" s="387"/>
      <c r="W416" s="354">
        <f>COUNT(RawMaterials[[#This Row],[Lab Quantity 1]:[Lab Quantity 4]])</f>
        <v>0</v>
      </c>
      <c r="X41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6" s="392" t="e">
        <f>RawMaterials[[#This Row],[Lab Price 1]]/RawMaterials[[#This Row],[Lab Q Model Units 1]]</f>
        <v>#N/A</v>
      </c>
      <c r="AC416" s="392" t="e">
        <f>RawMaterials[[#This Row],[Lab Price 2]]/RawMaterials[[#This Row],[Lab Q Model Units 2]]</f>
        <v>#N/A</v>
      </c>
      <c r="AD416" s="392" t="e">
        <f>RawMaterials[[#This Row],[Lab Price 3]]/RawMaterials[[#This Row],[Lab Q Model Units 3]]</f>
        <v>#N/A</v>
      </c>
      <c r="AE416" s="392" t="e">
        <f>RawMaterials[[#This Row],[Lab Price 4]]/RawMaterials[[#This Row],[Lab Q Model Units 4]]</f>
        <v>#N/A</v>
      </c>
      <c r="AF416" s="392" t="str">
        <f ca="1">IF(RawMaterials[[#This Row],[Lab Quote Count]]&gt;1,SLOPE(LOG(INDIRECT("RawMaterials[@[Lab Unit P 1]:[Lab Unit P "&amp;RawMaterials[[#This Row],[Lab Quote Count]]&amp;"]]")),LOG(INDIRECT("RawMaterials[@[Lab Q Model Units 1]:[Lab Q Model Units "&amp;RawMaterials[[#This Row],[Lab Quote Count]]&amp;"]]"))),"")</f>
        <v/>
      </c>
      <c r="AG416" s="392" t="str">
        <f ca="1">IF(RawMaterials[[#This Row],[Lab Quote Count]]&gt;1,INTERCEPT(LOG(INDIRECT("RawMaterials[@[Lab Unit P 1]:[Lab Unit P "&amp;RawMaterials[[#This Row],[Lab Quote Count]]&amp;"]]")),LOG(INDIRECT("RawMaterials[@[Lab Q Model Units 1]:[Lab Q Model Units "&amp;RawMaterials[[#This Row],[Lab Quote Count]]&amp;"]]"))),"")</f>
        <v/>
      </c>
      <c r="AH416" s="393" t="str">
        <f>IF(RawMaterials[[#This Row],[Material Type]]="Metal Precursor","D13",IF(RawMaterials[[#This Row],[Material Type]]="Ligand","D13","D12"))</f>
        <v>D12</v>
      </c>
      <c r="AI416" s="394" t="str">
        <f ca="1">IF(RawMaterials[[#This Row],[Lab Quote Count]]&gt;1,10^RawMaterials[[#This Row],[Lab Log-Log Intercept]]*INDIRECT(RawMaterials[[#This Row],[Basis Cell]])^RawMaterials[[#This Row],[Lab Log-Log Slope]],"&gt;&gt;&gt; Enter 2 or more lab quotes &lt;&lt;&lt;")</f>
        <v>&gt;&gt;&gt; Enter 2 or more lab quotes &lt;&lt;&lt;</v>
      </c>
      <c r="AJ41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1.5873282877311183</v>
      </c>
      <c r="AL416" s="396">
        <f>IF(ISTEXT(RawMaterials[[#This Row],[Unit price in quote year]]),"Check calcs",RawMaterials[[#This Row],[Unit price in quote year]]/VLOOKUP(RawMaterials[[#This Row],[Quote Year]],ChemPPI[],14,FALSE)*VLOOKUP(BasisYear,ChemPPI[],14,FALSE))</f>
        <v>1.8578435741594965</v>
      </c>
      <c r="AM416" s="397" t="str">
        <f t="shared" si="6"/>
        <v>$/kg (2016)</v>
      </c>
    </row>
    <row r="417" spans="1:39">
      <c r="A417" s="259" t="s">
        <v>1504</v>
      </c>
      <c r="B417" s="260"/>
      <c r="C417" s="351"/>
      <c r="D417" s="351"/>
      <c r="E417" s="260">
        <v>100</v>
      </c>
      <c r="F417" s="260"/>
      <c r="G417" s="351"/>
      <c r="H417" s="351"/>
      <c r="I417" s="262"/>
      <c r="J417" s="351"/>
      <c r="K417" s="351"/>
      <c r="L417" s="351"/>
      <c r="M417" s="351"/>
      <c r="N417" s="351"/>
      <c r="O417" s="351"/>
      <c r="P417" s="261">
        <v>0.80499999999999905</v>
      </c>
      <c r="Q417" s="260">
        <v>1</v>
      </c>
      <c r="R417" s="260" t="s">
        <v>20</v>
      </c>
      <c r="S417" s="260">
        <v>2008</v>
      </c>
      <c r="T417" s="260" t="s">
        <v>161</v>
      </c>
      <c r="U417" s="386">
        <v>42653</v>
      </c>
      <c r="V417" s="387"/>
      <c r="W417" s="354">
        <f>COUNT(RawMaterials[[#This Row],[Lab Quantity 1]:[Lab Quantity 4]])</f>
        <v>0</v>
      </c>
      <c r="X41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7" s="392" t="e">
        <f>RawMaterials[[#This Row],[Lab Price 1]]/RawMaterials[[#This Row],[Lab Q Model Units 1]]</f>
        <v>#N/A</v>
      </c>
      <c r="AC417" s="392" t="e">
        <f>RawMaterials[[#This Row],[Lab Price 2]]/RawMaterials[[#This Row],[Lab Q Model Units 2]]</f>
        <v>#N/A</v>
      </c>
      <c r="AD417" s="392" t="e">
        <f>RawMaterials[[#This Row],[Lab Price 3]]/RawMaterials[[#This Row],[Lab Q Model Units 3]]</f>
        <v>#N/A</v>
      </c>
      <c r="AE417" s="392" t="e">
        <f>RawMaterials[[#This Row],[Lab Price 4]]/RawMaterials[[#This Row],[Lab Q Model Units 4]]</f>
        <v>#N/A</v>
      </c>
      <c r="AF417" s="392" t="str">
        <f ca="1">IF(RawMaterials[[#This Row],[Lab Quote Count]]&gt;1,SLOPE(LOG(INDIRECT("RawMaterials[@[Lab Unit P 1]:[Lab Unit P "&amp;RawMaterials[[#This Row],[Lab Quote Count]]&amp;"]]")),LOG(INDIRECT("RawMaterials[@[Lab Q Model Units 1]:[Lab Q Model Units "&amp;RawMaterials[[#This Row],[Lab Quote Count]]&amp;"]]"))),"")</f>
        <v/>
      </c>
      <c r="AG417" s="392" t="str">
        <f ca="1">IF(RawMaterials[[#This Row],[Lab Quote Count]]&gt;1,INTERCEPT(LOG(INDIRECT("RawMaterials[@[Lab Unit P 1]:[Lab Unit P "&amp;RawMaterials[[#This Row],[Lab Quote Count]]&amp;"]]")),LOG(INDIRECT("RawMaterials[@[Lab Q Model Units 1]:[Lab Q Model Units "&amp;RawMaterials[[#This Row],[Lab Quote Count]]&amp;"]]"))),"")</f>
        <v/>
      </c>
      <c r="AH417" s="393" t="str">
        <f>IF(RawMaterials[[#This Row],[Material Type]]="Metal Precursor","D13",IF(RawMaterials[[#This Row],[Material Type]]="Ligand","D13","D12"))</f>
        <v>D12</v>
      </c>
      <c r="AI417" s="394" t="str">
        <f ca="1">IF(RawMaterials[[#This Row],[Lab Quote Count]]&gt;1,10^RawMaterials[[#This Row],[Lab Log-Log Intercept]]*INDIRECT(RawMaterials[[#This Row],[Basis Cell]])^RawMaterials[[#This Row],[Lab Log-Log Slope]],"&gt;&gt;&gt; Enter 2 or more lab quotes &lt;&lt;&lt;")</f>
        <v>&gt;&gt;&gt; Enter 2 or more lab quotes &lt;&lt;&lt;</v>
      </c>
      <c r="AJ41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1.7747212105882624</v>
      </c>
      <c r="AL417" s="396">
        <f>IF(ISTEXT(RawMaterials[[#This Row],[Unit price in quote year]]),"Check calcs",RawMaterials[[#This Row],[Unit price in quote year]]/VLOOKUP(RawMaterials[[#This Row],[Quote Year]],ChemPPI[],14,FALSE)*VLOOKUP(BasisYear,ChemPPI[],14,FALSE))</f>
        <v>2.0771723294422122</v>
      </c>
      <c r="AM417" s="397" t="str">
        <f t="shared" si="6"/>
        <v>$/kg (2016)</v>
      </c>
    </row>
    <row r="418" spans="1:39">
      <c r="A418" s="259" t="s">
        <v>1505</v>
      </c>
      <c r="B418" s="260"/>
      <c r="C418" s="351"/>
      <c r="D418" s="351"/>
      <c r="E418" s="260">
        <v>100</v>
      </c>
      <c r="F418" s="260"/>
      <c r="G418" s="351"/>
      <c r="H418" s="351"/>
      <c r="I418" s="262"/>
      <c r="J418" s="351"/>
      <c r="K418" s="351"/>
      <c r="L418" s="351"/>
      <c r="M418" s="351"/>
      <c r="N418" s="351"/>
      <c r="O418" s="351"/>
      <c r="P418" s="261">
        <v>0.86499999999999999</v>
      </c>
      <c r="Q418" s="260">
        <v>1</v>
      </c>
      <c r="R418" s="260" t="s">
        <v>20</v>
      </c>
      <c r="S418" s="260">
        <v>2008</v>
      </c>
      <c r="T418" s="260" t="s">
        <v>161</v>
      </c>
      <c r="U418" s="386">
        <v>42653</v>
      </c>
      <c r="V418" s="387"/>
      <c r="W418" s="354">
        <f>COUNT(RawMaterials[[#This Row],[Lab Quantity 1]:[Lab Quantity 4]])</f>
        <v>0</v>
      </c>
      <c r="X41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8" s="392" t="e">
        <f>RawMaterials[[#This Row],[Lab Price 1]]/RawMaterials[[#This Row],[Lab Q Model Units 1]]</f>
        <v>#N/A</v>
      </c>
      <c r="AC418" s="392" t="e">
        <f>RawMaterials[[#This Row],[Lab Price 2]]/RawMaterials[[#This Row],[Lab Q Model Units 2]]</f>
        <v>#N/A</v>
      </c>
      <c r="AD418" s="392" t="e">
        <f>RawMaterials[[#This Row],[Lab Price 3]]/RawMaterials[[#This Row],[Lab Q Model Units 3]]</f>
        <v>#N/A</v>
      </c>
      <c r="AE418" s="392" t="e">
        <f>RawMaterials[[#This Row],[Lab Price 4]]/RawMaterials[[#This Row],[Lab Q Model Units 4]]</f>
        <v>#N/A</v>
      </c>
      <c r="AF418" s="392" t="str">
        <f ca="1">IF(RawMaterials[[#This Row],[Lab Quote Count]]&gt;1,SLOPE(LOG(INDIRECT("RawMaterials[@[Lab Unit P 1]:[Lab Unit P "&amp;RawMaterials[[#This Row],[Lab Quote Count]]&amp;"]]")),LOG(INDIRECT("RawMaterials[@[Lab Q Model Units 1]:[Lab Q Model Units "&amp;RawMaterials[[#This Row],[Lab Quote Count]]&amp;"]]"))),"")</f>
        <v/>
      </c>
      <c r="AG418" s="392" t="str">
        <f ca="1">IF(RawMaterials[[#This Row],[Lab Quote Count]]&gt;1,INTERCEPT(LOG(INDIRECT("RawMaterials[@[Lab Unit P 1]:[Lab Unit P "&amp;RawMaterials[[#This Row],[Lab Quote Count]]&amp;"]]")),LOG(INDIRECT("RawMaterials[@[Lab Q Model Units 1]:[Lab Q Model Units "&amp;RawMaterials[[#This Row],[Lab Quote Count]]&amp;"]]"))),"")</f>
        <v/>
      </c>
      <c r="AH418" s="393" t="str">
        <f>IF(RawMaterials[[#This Row],[Material Type]]="Metal Precursor","D13",IF(RawMaterials[[#This Row],[Material Type]]="Ligand","D13","D12"))</f>
        <v>D12</v>
      </c>
      <c r="AI418" s="394" t="str">
        <f ca="1">IF(RawMaterials[[#This Row],[Lab Quote Count]]&gt;1,10^RawMaterials[[#This Row],[Lab Log-Log Intercept]]*INDIRECT(RawMaterials[[#This Row],[Basis Cell]])^RawMaterials[[#This Row],[Lab Log-Log Slope]],"&gt;&gt;&gt; Enter 2 or more lab quotes &lt;&lt;&lt;")</f>
        <v>&gt;&gt;&gt; Enter 2 or more lab quotes &lt;&lt;&lt;</v>
      </c>
      <c r="AJ41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1.906998567899191</v>
      </c>
      <c r="AL418" s="396">
        <f>IF(ISTEXT(RawMaterials[[#This Row],[Unit price in quote year]]),"Check calcs",RawMaterials[[#This Row],[Unit price in quote year]]/VLOOKUP(RawMaterials[[#This Row],[Quote Year]],ChemPPI[],14,FALSE)*VLOOKUP(BasisYear,ChemPPI[],14,FALSE))</f>
        <v>2.2319926272888395</v>
      </c>
      <c r="AM418" s="397" t="str">
        <f t="shared" si="6"/>
        <v>$/kg (2016)</v>
      </c>
    </row>
    <row r="419" spans="1:39">
      <c r="A419" s="259" t="s">
        <v>1506</v>
      </c>
      <c r="B419" s="260"/>
      <c r="C419" s="351"/>
      <c r="D419" s="351"/>
      <c r="E419" s="260">
        <v>100</v>
      </c>
      <c r="F419" s="260"/>
      <c r="G419" s="351"/>
      <c r="H419" s="351"/>
      <c r="I419" s="262"/>
      <c r="J419" s="351"/>
      <c r="K419" s="351"/>
      <c r="L419" s="351"/>
      <c r="M419" s="351"/>
      <c r="N419" s="351"/>
      <c r="O419" s="351"/>
      <c r="P419" s="261">
        <v>0.80499999999999905</v>
      </c>
      <c r="Q419" s="260">
        <v>1</v>
      </c>
      <c r="R419" s="260" t="s">
        <v>20</v>
      </c>
      <c r="S419" s="260">
        <v>2008</v>
      </c>
      <c r="T419" s="260" t="s">
        <v>161</v>
      </c>
      <c r="U419" s="386">
        <v>42653</v>
      </c>
      <c r="V419" s="387"/>
      <c r="W419" s="354">
        <f>COUNT(RawMaterials[[#This Row],[Lab Quantity 1]:[Lab Quantity 4]])</f>
        <v>0</v>
      </c>
      <c r="X41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9" s="392" t="e">
        <f>RawMaterials[[#This Row],[Lab Price 1]]/RawMaterials[[#This Row],[Lab Q Model Units 1]]</f>
        <v>#N/A</v>
      </c>
      <c r="AC419" s="392" t="e">
        <f>RawMaterials[[#This Row],[Lab Price 2]]/RawMaterials[[#This Row],[Lab Q Model Units 2]]</f>
        <v>#N/A</v>
      </c>
      <c r="AD419" s="392" t="e">
        <f>RawMaterials[[#This Row],[Lab Price 3]]/RawMaterials[[#This Row],[Lab Q Model Units 3]]</f>
        <v>#N/A</v>
      </c>
      <c r="AE419" s="392" t="e">
        <f>RawMaterials[[#This Row],[Lab Price 4]]/RawMaterials[[#This Row],[Lab Q Model Units 4]]</f>
        <v>#N/A</v>
      </c>
      <c r="AF419" s="392" t="str">
        <f ca="1">IF(RawMaterials[[#This Row],[Lab Quote Count]]&gt;1,SLOPE(LOG(INDIRECT("RawMaterials[@[Lab Unit P 1]:[Lab Unit P "&amp;RawMaterials[[#This Row],[Lab Quote Count]]&amp;"]]")),LOG(INDIRECT("RawMaterials[@[Lab Q Model Units 1]:[Lab Q Model Units "&amp;RawMaterials[[#This Row],[Lab Quote Count]]&amp;"]]"))),"")</f>
        <v/>
      </c>
      <c r="AG419" s="392" t="str">
        <f ca="1">IF(RawMaterials[[#This Row],[Lab Quote Count]]&gt;1,INTERCEPT(LOG(INDIRECT("RawMaterials[@[Lab Unit P 1]:[Lab Unit P "&amp;RawMaterials[[#This Row],[Lab Quote Count]]&amp;"]]")),LOG(INDIRECT("RawMaterials[@[Lab Q Model Units 1]:[Lab Q Model Units "&amp;RawMaterials[[#This Row],[Lab Quote Count]]&amp;"]]"))),"")</f>
        <v/>
      </c>
      <c r="AH419" s="393" t="str">
        <f>IF(RawMaterials[[#This Row],[Material Type]]="Metal Precursor","D13",IF(RawMaterials[[#This Row],[Material Type]]="Ligand","D13","D12"))</f>
        <v>D12</v>
      </c>
      <c r="AI419" s="394" t="str">
        <f ca="1">IF(RawMaterials[[#This Row],[Lab Quote Count]]&gt;1,10^RawMaterials[[#This Row],[Lab Log-Log Intercept]]*INDIRECT(RawMaterials[[#This Row],[Basis Cell]])^RawMaterials[[#This Row],[Lab Log-Log Slope]],"&gt;&gt;&gt; Enter 2 or more lab quotes &lt;&lt;&lt;")</f>
        <v>&gt;&gt;&gt; Enter 2 or more lab quotes &lt;&lt;&lt;</v>
      </c>
      <c r="AJ41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1.7747212105882624</v>
      </c>
      <c r="AL419" s="396">
        <f>IF(ISTEXT(RawMaterials[[#This Row],[Unit price in quote year]]),"Check calcs",RawMaterials[[#This Row],[Unit price in quote year]]/VLOOKUP(RawMaterials[[#This Row],[Quote Year]],ChemPPI[],14,FALSE)*VLOOKUP(BasisYear,ChemPPI[],14,FALSE))</f>
        <v>2.0771723294422122</v>
      </c>
      <c r="AM419" s="397" t="str">
        <f t="shared" si="6"/>
        <v>$/kg (2016)</v>
      </c>
    </row>
    <row r="420" spans="1:39">
      <c r="A420" s="259" t="s">
        <v>1507</v>
      </c>
      <c r="B420" s="260"/>
      <c r="C420" s="351"/>
      <c r="D420" s="351"/>
      <c r="E420" s="260">
        <v>100</v>
      </c>
      <c r="F420" s="260"/>
      <c r="G420" s="351"/>
      <c r="H420" s="351"/>
      <c r="I420" s="262"/>
      <c r="J420" s="351"/>
      <c r="K420" s="351"/>
      <c r="L420" s="351"/>
      <c r="M420" s="351"/>
      <c r="N420" s="351"/>
      <c r="O420" s="351"/>
      <c r="P420" s="261">
        <v>0.88500000000000001</v>
      </c>
      <c r="Q420" s="260">
        <v>1</v>
      </c>
      <c r="R420" s="260" t="s">
        <v>20</v>
      </c>
      <c r="S420" s="260">
        <v>2008</v>
      </c>
      <c r="T420" s="260" t="s">
        <v>161</v>
      </c>
      <c r="U420" s="386">
        <v>42653</v>
      </c>
      <c r="V420" s="387"/>
      <c r="W420" s="354">
        <f>COUNT(RawMaterials[[#This Row],[Lab Quantity 1]:[Lab Quantity 4]])</f>
        <v>0</v>
      </c>
      <c r="X42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0" s="392" t="e">
        <f>RawMaterials[[#This Row],[Lab Price 1]]/RawMaterials[[#This Row],[Lab Q Model Units 1]]</f>
        <v>#N/A</v>
      </c>
      <c r="AC420" s="392" t="e">
        <f>RawMaterials[[#This Row],[Lab Price 2]]/RawMaterials[[#This Row],[Lab Q Model Units 2]]</f>
        <v>#N/A</v>
      </c>
      <c r="AD420" s="392" t="e">
        <f>RawMaterials[[#This Row],[Lab Price 3]]/RawMaterials[[#This Row],[Lab Q Model Units 3]]</f>
        <v>#N/A</v>
      </c>
      <c r="AE420" s="392" t="e">
        <f>RawMaterials[[#This Row],[Lab Price 4]]/RawMaterials[[#This Row],[Lab Q Model Units 4]]</f>
        <v>#N/A</v>
      </c>
      <c r="AF420" s="392" t="str">
        <f ca="1">IF(RawMaterials[[#This Row],[Lab Quote Count]]&gt;1,SLOPE(LOG(INDIRECT("RawMaterials[@[Lab Unit P 1]:[Lab Unit P "&amp;RawMaterials[[#This Row],[Lab Quote Count]]&amp;"]]")),LOG(INDIRECT("RawMaterials[@[Lab Q Model Units 1]:[Lab Q Model Units "&amp;RawMaterials[[#This Row],[Lab Quote Count]]&amp;"]]"))),"")</f>
        <v/>
      </c>
      <c r="AG420" s="392" t="str">
        <f ca="1">IF(RawMaterials[[#This Row],[Lab Quote Count]]&gt;1,INTERCEPT(LOG(INDIRECT("RawMaterials[@[Lab Unit P 1]:[Lab Unit P "&amp;RawMaterials[[#This Row],[Lab Quote Count]]&amp;"]]")),LOG(INDIRECT("RawMaterials[@[Lab Q Model Units 1]:[Lab Q Model Units "&amp;RawMaterials[[#This Row],[Lab Quote Count]]&amp;"]]"))),"")</f>
        <v/>
      </c>
      <c r="AH420" s="393" t="str">
        <f>IF(RawMaterials[[#This Row],[Material Type]]="Metal Precursor","D13",IF(RawMaterials[[#This Row],[Material Type]]="Ligand","D13","D12"))</f>
        <v>D12</v>
      </c>
      <c r="AI420" s="394" t="str">
        <f ca="1">IF(RawMaterials[[#This Row],[Lab Quote Count]]&gt;1,10^RawMaterials[[#This Row],[Lab Log-Log Intercept]]*INDIRECT(RawMaterials[[#This Row],[Basis Cell]])^RawMaterials[[#This Row],[Lab Log-Log Slope]],"&gt;&gt;&gt; Enter 2 or more lab quotes &lt;&lt;&lt;")</f>
        <v>&gt;&gt;&gt; Enter 2 or more lab quotes &lt;&lt;&lt;</v>
      </c>
      <c r="AJ42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1.9510910203361664</v>
      </c>
      <c r="AL420" s="396">
        <f>IF(ISTEXT(RawMaterials[[#This Row],[Unit price in quote year]]),"Check calcs",RawMaterials[[#This Row],[Unit price in quote year]]/VLOOKUP(RawMaterials[[#This Row],[Quote Year]],ChemPPI[],14,FALSE)*VLOOKUP(BasisYear,ChemPPI[],14,FALSE))</f>
        <v>2.2835993932377145</v>
      </c>
      <c r="AM420" s="397" t="str">
        <f t="shared" si="6"/>
        <v>$/kg (2016)</v>
      </c>
    </row>
    <row r="421" spans="1:39">
      <c r="A421" s="259" t="s">
        <v>1508</v>
      </c>
      <c r="B421" s="260"/>
      <c r="C421" s="351"/>
      <c r="D421" s="351"/>
      <c r="E421" s="260">
        <v>100</v>
      </c>
      <c r="F421" s="260"/>
      <c r="G421" s="351"/>
      <c r="H421" s="351"/>
      <c r="I421" s="262"/>
      <c r="J421" s="351"/>
      <c r="K421" s="351"/>
      <c r="L421" s="351"/>
      <c r="M421" s="351"/>
      <c r="N421" s="351"/>
      <c r="O421" s="351"/>
      <c r="P421" s="261">
        <v>0.875</v>
      </c>
      <c r="Q421" s="260">
        <v>1</v>
      </c>
      <c r="R421" s="260" t="s">
        <v>20</v>
      </c>
      <c r="S421" s="260">
        <v>2008</v>
      </c>
      <c r="T421" s="260" t="s">
        <v>161</v>
      </c>
      <c r="U421" s="386">
        <v>42653</v>
      </c>
      <c r="V421" s="387"/>
      <c r="W421" s="354">
        <f>COUNT(RawMaterials[[#This Row],[Lab Quantity 1]:[Lab Quantity 4]])</f>
        <v>0</v>
      </c>
      <c r="X42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1" s="392" t="e">
        <f>RawMaterials[[#This Row],[Lab Price 1]]/RawMaterials[[#This Row],[Lab Q Model Units 1]]</f>
        <v>#N/A</v>
      </c>
      <c r="AC421" s="392" t="e">
        <f>RawMaterials[[#This Row],[Lab Price 2]]/RawMaterials[[#This Row],[Lab Q Model Units 2]]</f>
        <v>#N/A</v>
      </c>
      <c r="AD421" s="392" t="e">
        <f>RawMaterials[[#This Row],[Lab Price 3]]/RawMaterials[[#This Row],[Lab Q Model Units 3]]</f>
        <v>#N/A</v>
      </c>
      <c r="AE421" s="392" t="e">
        <f>RawMaterials[[#This Row],[Lab Price 4]]/RawMaterials[[#This Row],[Lab Q Model Units 4]]</f>
        <v>#N/A</v>
      </c>
      <c r="AF421" s="392" t="str">
        <f ca="1">IF(RawMaterials[[#This Row],[Lab Quote Count]]&gt;1,SLOPE(LOG(INDIRECT("RawMaterials[@[Lab Unit P 1]:[Lab Unit P "&amp;RawMaterials[[#This Row],[Lab Quote Count]]&amp;"]]")),LOG(INDIRECT("RawMaterials[@[Lab Q Model Units 1]:[Lab Q Model Units "&amp;RawMaterials[[#This Row],[Lab Quote Count]]&amp;"]]"))),"")</f>
        <v/>
      </c>
      <c r="AG421" s="392" t="str">
        <f ca="1">IF(RawMaterials[[#This Row],[Lab Quote Count]]&gt;1,INTERCEPT(LOG(INDIRECT("RawMaterials[@[Lab Unit P 1]:[Lab Unit P "&amp;RawMaterials[[#This Row],[Lab Quote Count]]&amp;"]]")),LOG(INDIRECT("RawMaterials[@[Lab Q Model Units 1]:[Lab Q Model Units "&amp;RawMaterials[[#This Row],[Lab Quote Count]]&amp;"]]"))),"")</f>
        <v/>
      </c>
      <c r="AH421" s="393" t="str">
        <f>IF(RawMaterials[[#This Row],[Material Type]]="Metal Precursor","D13",IF(RawMaterials[[#This Row],[Material Type]]="Ligand","D13","D12"))</f>
        <v>D12</v>
      </c>
      <c r="AI421" s="394" t="str">
        <f ca="1">IF(RawMaterials[[#This Row],[Lab Quote Count]]&gt;1,10^RawMaterials[[#This Row],[Lab Log-Log Intercept]]*INDIRECT(RawMaterials[[#This Row],[Basis Cell]])^RawMaterials[[#This Row],[Lab Log-Log Slope]],"&gt;&gt;&gt; Enter 2 or more lab quotes &lt;&lt;&lt;")</f>
        <v>&gt;&gt;&gt; Enter 2 or more lab quotes &lt;&lt;&lt;</v>
      </c>
      <c r="AJ42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1.9290447941176787</v>
      </c>
      <c r="AL421" s="396">
        <f>IF(ISTEXT(RawMaterials[[#This Row],[Unit price in quote year]]),"Check calcs",RawMaterials[[#This Row],[Unit price in quote year]]/VLOOKUP(RawMaterials[[#This Row],[Quote Year]],ChemPPI[],14,FALSE)*VLOOKUP(BasisYear,ChemPPI[],14,FALSE))</f>
        <v>2.2577960102632773</v>
      </c>
      <c r="AM421" s="397" t="str">
        <f t="shared" si="6"/>
        <v>$/kg (2016)</v>
      </c>
    </row>
    <row r="422" spans="1:39">
      <c r="A422" s="259" t="s">
        <v>1509</v>
      </c>
      <c r="B422" s="260"/>
      <c r="C422" s="351"/>
      <c r="D422" s="351"/>
      <c r="E422" s="260">
        <v>100</v>
      </c>
      <c r="F422" s="260"/>
      <c r="G422" s="351"/>
      <c r="H422" s="351"/>
      <c r="I422" s="262"/>
      <c r="J422" s="351"/>
      <c r="K422" s="351"/>
      <c r="L422" s="351"/>
      <c r="M422" s="351"/>
      <c r="N422" s="351"/>
      <c r="O422" s="351"/>
      <c r="P422" s="261">
        <v>0.875</v>
      </c>
      <c r="Q422" s="260">
        <v>1</v>
      </c>
      <c r="R422" s="260" t="s">
        <v>20</v>
      </c>
      <c r="S422" s="260">
        <v>2008</v>
      </c>
      <c r="T422" s="260" t="s">
        <v>161</v>
      </c>
      <c r="U422" s="386">
        <v>42653</v>
      </c>
      <c r="V422" s="387"/>
      <c r="W422" s="354">
        <f>COUNT(RawMaterials[[#This Row],[Lab Quantity 1]:[Lab Quantity 4]])</f>
        <v>0</v>
      </c>
      <c r="X42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2" s="392" t="e">
        <f>RawMaterials[[#This Row],[Lab Price 1]]/RawMaterials[[#This Row],[Lab Q Model Units 1]]</f>
        <v>#N/A</v>
      </c>
      <c r="AC422" s="392" t="e">
        <f>RawMaterials[[#This Row],[Lab Price 2]]/RawMaterials[[#This Row],[Lab Q Model Units 2]]</f>
        <v>#N/A</v>
      </c>
      <c r="AD422" s="392" t="e">
        <f>RawMaterials[[#This Row],[Lab Price 3]]/RawMaterials[[#This Row],[Lab Q Model Units 3]]</f>
        <v>#N/A</v>
      </c>
      <c r="AE422" s="392" t="e">
        <f>RawMaterials[[#This Row],[Lab Price 4]]/RawMaterials[[#This Row],[Lab Q Model Units 4]]</f>
        <v>#N/A</v>
      </c>
      <c r="AF422" s="392" t="str">
        <f ca="1">IF(RawMaterials[[#This Row],[Lab Quote Count]]&gt;1,SLOPE(LOG(INDIRECT("RawMaterials[@[Lab Unit P 1]:[Lab Unit P "&amp;RawMaterials[[#This Row],[Lab Quote Count]]&amp;"]]")),LOG(INDIRECT("RawMaterials[@[Lab Q Model Units 1]:[Lab Q Model Units "&amp;RawMaterials[[#This Row],[Lab Quote Count]]&amp;"]]"))),"")</f>
        <v/>
      </c>
      <c r="AG422" s="392" t="str">
        <f ca="1">IF(RawMaterials[[#This Row],[Lab Quote Count]]&gt;1,INTERCEPT(LOG(INDIRECT("RawMaterials[@[Lab Unit P 1]:[Lab Unit P "&amp;RawMaterials[[#This Row],[Lab Quote Count]]&amp;"]]")),LOG(INDIRECT("RawMaterials[@[Lab Q Model Units 1]:[Lab Q Model Units "&amp;RawMaterials[[#This Row],[Lab Quote Count]]&amp;"]]"))),"")</f>
        <v/>
      </c>
      <c r="AH422" s="393" t="str">
        <f>IF(RawMaterials[[#This Row],[Material Type]]="Metal Precursor","D13",IF(RawMaterials[[#This Row],[Material Type]]="Ligand","D13","D12"))</f>
        <v>D12</v>
      </c>
      <c r="AI422" s="394" t="str">
        <f ca="1">IF(RawMaterials[[#This Row],[Lab Quote Count]]&gt;1,10^RawMaterials[[#This Row],[Lab Log-Log Intercept]]*INDIRECT(RawMaterials[[#This Row],[Basis Cell]])^RawMaterials[[#This Row],[Lab Log-Log Slope]],"&gt;&gt;&gt; Enter 2 or more lab quotes &lt;&lt;&lt;")</f>
        <v>&gt;&gt;&gt; Enter 2 or more lab quotes &lt;&lt;&lt;</v>
      </c>
      <c r="AJ42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1.9290447941176787</v>
      </c>
      <c r="AL422" s="396">
        <f>IF(ISTEXT(RawMaterials[[#This Row],[Unit price in quote year]]),"Check calcs",RawMaterials[[#This Row],[Unit price in quote year]]/VLOOKUP(RawMaterials[[#This Row],[Quote Year]],ChemPPI[],14,FALSE)*VLOOKUP(BasisYear,ChemPPI[],14,FALSE))</f>
        <v>2.2577960102632773</v>
      </c>
      <c r="AM422" s="397" t="str">
        <f t="shared" si="6"/>
        <v>$/kg (2016)</v>
      </c>
    </row>
    <row r="423" spans="1:39">
      <c r="A423" s="259" t="s">
        <v>1510</v>
      </c>
      <c r="B423" s="260"/>
      <c r="C423" s="351"/>
      <c r="D423" s="351"/>
      <c r="E423" s="260">
        <v>100</v>
      </c>
      <c r="F423" s="260"/>
      <c r="G423" s="351"/>
      <c r="H423" s="351"/>
      <c r="I423" s="262"/>
      <c r="J423" s="351"/>
      <c r="K423" s="351"/>
      <c r="L423" s="351"/>
      <c r="M423" s="351"/>
      <c r="N423" s="351"/>
      <c r="O423" s="351"/>
      <c r="P423" s="261">
        <v>0.90500000000000003</v>
      </c>
      <c r="Q423" s="260">
        <v>1</v>
      </c>
      <c r="R423" s="260" t="s">
        <v>20</v>
      </c>
      <c r="S423" s="260">
        <v>2008</v>
      </c>
      <c r="T423" s="260" t="s">
        <v>161</v>
      </c>
      <c r="U423" s="386">
        <v>42653</v>
      </c>
      <c r="V423" s="387"/>
      <c r="W423" s="354">
        <f>COUNT(RawMaterials[[#This Row],[Lab Quantity 1]:[Lab Quantity 4]])</f>
        <v>0</v>
      </c>
      <c r="X42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3" s="392" t="e">
        <f>RawMaterials[[#This Row],[Lab Price 1]]/RawMaterials[[#This Row],[Lab Q Model Units 1]]</f>
        <v>#N/A</v>
      </c>
      <c r="AC423" s="392" t="e">
        <f>RawMaterials[[#This Row],[Lab Price 2]]/RawMaterials[[#This Row],[Lab Q Model Units 2]]</f>
        <v>#N/A</v>
      </c>
      <c r="AD423" s="392" t="e">
        <f>RawMaterials[[#This Row],[Lab Price 3]]/RawMaterials[[#This Row],[Lab Q Model Units 3]]</f>
        <v>#N/A</v>
      </c>
      <c r="AE423" s="392" t="e">
        <f>RawMaterials[[#This Row],[Lab Price 4]]/RawMaterials[[#This Row],[Lab Q Model Units 4]]</f>
        <v>#N/A</v>
      </c>
      <c r="AF423" s="392" t="str">
        <f ca="1">IF(RawMaterials[[#This Row],[Lab Quote Count]]&gt;1,SLOPE(LOG(INDIRECT("RawMaterials[@[Lab Unit P 1]:[Lab Unit P "&amp;RawMaterials[[#This Row],[Lab Quote Count]]&amp;"]]")),LOG(INDIRECT("RawMaterials[@[Lab Q Model Units 1]:[Lab Q Model Units "&amp;RawMaterials[[#This Row],[Lab Quote Count]]&amp;"]]"))),"")</f>
        <v/>
      </c>
      <c r="AG423" s="392" t="str">
        <f ca="1">IF(RawMaterials[[#This Row],[Lab Quote Count]]&gt;1,INTERCEPT(LOG(INDIRECT("RawMaterials[@[Lab Unit P 1]:[Lab Unit P "&amp;RawMaterials[[#This Row],[Lab Quote Count]]&amp;"]]")),LOG(INDIRECT("RawMaterials[@[Lab Q Model Units 1]:[Lab Q Model Units "&amp;RawMaterials[[#This Row],[Lab Quote Count]]&amp;"]]"))),"")</f>
        <v/>
      </c>
      <c r="AH423" s="393" t="str">
        <f>IF(RawMaterials[[#This Row],[Material Type]]="Metal Precursor","D13",IF(RawMaterials[[#This Row],[Material Type]]="Ligand","D13","D12"))</f>
        <v>D12</v>
      </c>
      <c r="AI423" s="394" t="str">
        <f ca="1">IF(RawMaterials[[#This Row],[Lab Quote Count]]&gt;1,10^RawMaterials[[#This Row],[Lab Log-Log Intercept]]*INDIRECT(RawMaterials[[#This Row],[Basis Cell]])^RawMaterials[[#This Row],[Lab Log-Log Slope]],"&gt;&gt;&gt; Enter 2 or more lab quotes &lt;&lt;&lt;")</f>
        <v>&gt;&gt;&gt; Enter 2 or more lab quotes &lt;&lt;&lt;</v>
      </c>
      <c r="AJ42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1.9951834727731421</v>
      </c>
      <c r="AL423" s="396">
        <f>IF(ISTEXT(RawMaterials[[#This Row],[Unit price in quote year]]),"Check calcs",RawMaterials[[#This Row],[Unit price in quote year]]/VLOOKUP(RawMaterials[[#This Row],[Quote Year]],ChemPPI[],14,FALSE)*VLOOKUP(BasisYear,ChemPPI[],14,FALSE))</f>
        <v>2.3352061591865896</v>
      </c>
      <c r="AM423" s="397" t="str">
        <f t="shared" si="6"/>
        <v>$/kg (2016)</v>
      </c>
    </row>
    <row r="424" spans="1:39">
      <c r="A424" s="259" t="s">
        <v>1511</v>
      </c>
      <c r="B424" s="260"/>
      <c r="C424" s="351"/>
      <c r="D424" s="351"/>
      <c r="E424" s="260">
        <v>100</v>
      </c>
      <c r="F424" s="260"/>
      <c r="G424" s="351"/>
      <c r="H424" s="351"/>
      <c r="I424" s="262"/>
      <c r="J424" s="351"/>
      <c r="K424" s="351"/>
      <c r="L424" s="351"/>
      <c r="M424" s="351"/>
      <c r="N424" s="351"/>
      <c r="O424" s="351"/>
      <c r="P424" s="261">
        <v>0.88</v>
      </c>
      <c r="Q424" s="260">
        <v>1</v>
      </c>
      <c r="R424" s="260" t="s">
        <v>20</v>
      </c>
      <c r="S424" s="260">
        <v>2008</v>
      </c>
      <c r="T424" s="260" t="s">
        <v>161</v>
      </c>
      <c r="U424" s="386">
        <v>42653</v>
      </c>
      <c r="V424" s="387"/>
      <c r="W424" s="354">
        <f>COUNT(RawMaterials[[#This Row],[Lab Quantity 1]:[Lab Quantity 4]])</f>
        <v>0</v>
      </c>
      <c r="X42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4" s="392" t="e">
        <f>RawMaterials[[#This Row],[Lab Price 1]]/RawMaterials[[#This Row],[Lab Q Model Units 1]]</f>
        <v>#N/A</v>
      </c>
      <c r="AC424" s="392" t="e">
        <f>RawMaterials[[#This Row],[Lab Price 2]]/RawMaterials[[#This Row],[Lab Q Model Units 2]]</f>
        <v>#N/A</v>
      </c>
      <c r="AD424" s="392" t="e">
        <f>RawMaterials[[#This Row],[Lab Price 3]]/RawMaterials[[#This Row],[Lab Q Model Units 3]]</f>
        <v>#N/A</v>
      </c>
      <c r="AE424" s="392" t="e">
        <f>RawMaterials[[#This Row],[Lab Price 4]]/RawMaterials[[#This Row],[Lab Q Model Units 4]]</f>
        <v>#N/A</v>
      </c>
      <c r="AF424" s="392" t="str">
        <f ca="1">IF(RawMaterials[[#This Row],[Lab Quote Count]]&gt;1,SLOPE(LOG(INDIRECT("RawMaterials[@[Lab Unit P 1]:[Lab Unit P "&amp;RawMaterials[[#This Row],[Lab Quote Count]]&amp;"]]")),LOG(INDIRECT("RawMaterials[@[Lab Q Model Units 1]:[Lab Q Model Units "&amp;RawMaterials[[#This Row],[Lab Quote Count]]&amp;"]]"))),"")</f>
        <v/>
      </c>
      <c r="AG424" s="392" t="str">
        <f ca="1">IF(RawMaterials[[#This Row],[Lab Quote Count]]&gt;1,INTERCEPT(LOG(INDIRECT("RawMaterials[@[Lab Unit P 1]:[Lab Unit P "&amp;RawMaterials[[#This Row],[Lab Quote Count]]&amp;"]]")),LOG(INDIRECT("RawMaterials[@[Lab Q Model Units 1]:[Lab Q Model Units "&amp;RawMaterials[[#This Row],[Lab Quote Count]]&amp;"]]"))),"")</f>
        <v/>
      </c>
      <c r="AH424" s="393" t="str">
        <f>IF(RawMaterials[[#This Row],[Material Type]]="Metal Precursor","D13",IF(RawMaterials[[#This Row],[Material Type]]="Ligand","D13","D12"))</f>
        <v>D12</v>
      </c>
      <c r="AI424" s="394" t="str">
        <f ca="1">IF(RawMaterials[[#This Row],[Lab Quote Count]]&gt;1,10^RawMaterials[[#This Row],[Lab Log-Log Intercept]]*INDIRECT(RawMaterials[[#This Row],[Basis Cell]])^RawMaterials[[#This Row],[Lab Log-Log Slope]],"&gt;&gt;&gt; Enter 2 or more lab quotes &lt;&lt;&lt;")</f>
        <v>&gt;&gt;&gt; Enter 2 or more lab quotes &lt;&lt;&lt;</v>
      </c>
      <c r="AJ42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1.9400679072269227</v>
      </c>
      <c r="AL424" s="396">
        <f>IF(ISTEXT(RawMaterials[[#This Row],[Unit price in quote year]]),"Check calcs",RawMaterials[[#This Row],[Unit price in quote year]]/VLOOKUP(RawMaterials[[#This Row],[Quote Year]],ChemPPI[],14,FALSE)*VLOOKUP(BasisYear,ChemPPI[],14,FALSE))</f>
        <v>2.2706977017504957</v>
      </c>
      <c r="AM424" s="397" t="str">
        <f t="shared" si="6"/>
        <v>$/kg (2016)</v>
      </c>
    </row>
    <row r="425" spans="1:39">
      <c r="A425" s="259" t="s">
        <v>1512</v>
      </c>
      <c r="B425" s="260"/>
      <c r="C425" s="351"/>
      <c r="D425" s="351"/>
      <c r="E425" s="260">
        <v>100</v>
      </c>
      <c r="F425" s="260"/>
      <c r="G425" s="351"/>
      <c r="H425" s="351"/>
      <c r="I425" s="262"/>
      <c r="J425" s="351"/>
      <c r="K425" s="351"/>
      <c r="L425" s="351"/>
      <c r="M425" s="351"/>
      <c r="N425" s="351"/>
      <c r="O425" s="351"/>
      <c r="P425" s="261">
        <v>0.88</v>
      </c>
      <c r="Q425" s="260">
        <v>1</v>
      </c>
      <c r="R425" s="260" t="s">
        <v>20</v>
      </c>
      <c r="S425" s="260">
        <v>2008</v>
      </c>
      <c r="T425" s="260" t="s">
        <v>161</v>
      </c>
      <c r="U425" s="386">
        <v>42653</v>
      </c>
      <c r="V425" s="387"/>
      <c r="W425" s="354">
        <f>COUNT(RawMaterials[[#This Row],[Lab Quantity 1]:[Lab Quantity 4]])</f>
        <v>0</v>
      </c>
      <c r="X42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5" s="392" t="e">
        <f>RawMaterials[[#This Row],[Lab Price 1]]/RawMaterials[[#This Row],[Lab Q Model Units 1]]</f>
        <v>#N/A</v>
      </c>
      <c r="AC425" s="392" t="e">
        <f>RawMaterials[[#This Row],[Lab Price 2]]/RawMaterials[[#This Row],[Lab Q Model Units 2]]</f>
        <v>#N/A</v>
      </c>
      <c r="AD425" s="392" t="e">
        <f>RawMaterials[[#This Row],[Lab Price 3]]/RawMaterials[[#This Row],[Lab Q Model Units 3]]</f>
        <v>#N/A</v>
      </c>
      <c r="AE425" s="392" t="e">
        <f>RawMaterials[[#This Row],[Lab Price 4]]/RawMaterials[[#This Row],[Lab Q Model Units 4]]</f>
        <v>#N/A</v>
      </c>
      <c r="AF425" s="392" t="str">
        <f ca="1">IF(RawMaterials[[#This Row],[Lab Quote Count]]&gt;1,SLOPE(LOG(INDIRECT("RawMaterials[@[Lab Unit P 1]:[Lab Unit P "&amp;RawMaterials[[#This Row],[Lab Quote Count]]&amp;"]]")),LOG(INDIRECT("RawMaterials[@[Lab Q Model Units 1]:[Lab Q Model Units "&amp;RawMaterials[[#This Row],[Lab Quote Count]]&amp;"]]"))),"")</f>
        <v/>
      </c>
      <c r="AG425" s="392" t="str">
        <f ca="1">IF(RawMaterials[[#This Row],[Lab Quote Count]]&gt;1,INTERCEPT(LOG(INDIRECT("RawMaterials[@[Lab Unit P 1]:[Lab Unit P "&amp;RawMaterials[[#This Row],[Lab Quote Count]]&amp;"]]")),LOG(INDIRECT("RawMaterials[@[Lab Q Model Units 1]:[Lab Q Model Units "&amp;RawMaterials[[#This Row],[Lab Quote Count]]&amp;"]]"))),"")</f>
        <v/>
      </c>
      <c r="AH425" s="393" t="str">
        <f>IF(RawMaterials[[#This Row],[Material Type]]="Metal Precursor","D13",IF(RawMaterials[[#This Row],[Material Type]]="Ligand","D13","D12"))</f>
        <v>D12</v>
      </c>
      <c r="AI425" s="394" t="str">
        <f ca="1">IF(RawMaterials[[#This Row],[Lab Quote Count]]&gt;1,10^RawMaterials[[#This Row],[Lab Log-Log Intercept]]*INDIRECT(RawMaterials[[#This Row],[Basis Cell]])^RawMaterials[[#This Row],[Lab Log-Log Slope]],"&gt;&gt;&gt; Enter 2 or more lab quotes &lt;&lt;&lt;")</f>
        <v>&gt;&gt;&gt; Enter 2 or more lab quotes &lt;&lt;&lt;</v>
      </c>
      <c r="AJ42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1.9400679072269227</v>
      </c>
      <c r="AL425" s="396">
        <f>IF(ISTEXT(RawMaterials[[#This Row],[Unit price in quote year]]),"Check calcs",RawMaterials[[#This Row],[Unit price in quote year]]/VLOOKUP(RawMaterials[[#This Row],[Quote Year]],ChemPPI[],14,FALSE)*VLOOKUP(BasisYear,ChemPPI[],14,FALSE))</f>
        <v>2.2706977017504957</v>
      </c>
      <c r="AM425" s="397" t="str">
        <f t="shared" si="6"/>
        <v>$/kg (2016)</v>
      </c>
    </row>
    <row r="426" spans="1:39">
      <c r="A426" s="259" t="s">
        <v>1513</v>
      </c>
      <c r="B426" s="260"/>
      <c r="C426" s="351"/>
      <c r="D426" s="351"/>
      <c r="E426" s="260">
        <v>100</v>
      </c>
      <c r="F426" s="260"/>
      <c r="G426" s="351"/>
      <c r="H426" s="351"/>
      <c r="I426" s="262"/>
      <c r="J426" s="351"/>
      <c r="K426" s="351"/>
      <c r="L426" s="351"/>
      <c r="M426" s="351"/>
      <c r="N426" s="351"/>
      <c r="O426" s="351"/>
      <c r="P426" s="261">
        <v>0.81499999999999995</v>
      </c>
      <c r="Q426" s="260">
        <v>1</v>
      </c>
      <c r="R426" s="260" t="s">
        <v>20</v>
      </c>
      <c r="S426" s="260">
        <v>2008</v>
      </c>
      <c r="T426" s="260" t="s">
        <v>161</v>
      </c>
      <c r="U426" s="386">
        <v>42653</v>
      </c>
      <c r="V426" s="387"/>
      <c r="W426" s="354">
        <f>COUNT(RawMaterials[[#This Row],[Lab Quantity 1]:[Lab Quantity 4]])</f>
        <v>0</v>
      </c>
      <c r="X42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6" s="392" t="e">
        <f>RawMaterials[[#This Row],[Lab Price 1]]/RawMaterials[[#This Row],[Lab Q Model Units 1]]</f>
        <v>#N/A</v>
      </c>
      <c r="AC426" s="392" t="e">
        <f>RawMaterials[[#This Row],[Lab Price 2]]/RawMaterials[[#This Row],[Lab Q Model Units 2]]</f>
        <v>#N/A</v>
      </c>
      <c r="AD426" s="392" t="e">
        <f>RawMaterials[[#This Row],[Lab Price 3]]/RawMaterials[[#This Row],[Lab Q Model Units 3]]</f>
        <v>#N/A</v>
      </c>
      <c r="AE426" s="392" t="e">
        <f>RawMaterials[[#This Row],[Lab Price 4]]/RawMaterials[[#This Row],[Lab Q Model Units 4]]</f>
        <v>#N/A</v>
      </c>
      <c r="AF426" s="392" t="str">
        <f ca="1">IF(RawMaterials[[#This Row],[Lab Quote Count]]&gt;1,SLOPE(LOG(INDIRECT("RawMaterials[@[Lab Unit P 1]:[Lab Unit P "&amp;RawMaterials[[#This Row],[Lab Quote Count]]&amp;"]]")),LOG(INDIRECT("RawMaterials[@[Lab Q Model Units 1]:[Lab Q Model Units "&amp;RawMaterials[[#This Row],[Lab Quote Count]]&amp;"]]"))),"")</f>
        <v/>
      </c>
      <c r="AG426" s="392" t="str">
        <f ca="1">IF(RawMaterials[[#This Row],[Lab Quote Count]]&gt;1,INTERCEPT(LOG(INDIRECT("RawMaterials[@[Lab Unit P 1]:[Lab Unit P "&amp;RawMaterials[[#This Row],[Lab Quote Count]]&amp;"]]")),LOG(INDIRECT("RawMaterials[@[Lab Q Model Units 1]:[Lab Q Model Units "&amp;RawMaterials[[#This Row],[Lab Quote Count]]&amp;"]]"))),"")</f>
        <v/>
      </c>
      <c r="AH426" s="393" t="str">
        <f>IF(RawMaterials[[#This Row],[Material Type]]="Metal Precursor","D13",IF(RawMaterials[[#This Row],[Material Type]]="Ligand","D13","D12"))</f>
        <v>D12</v>
      </c>
      <c r="AI426" s="394" t="str">
        <f ca="1">IF(RawMaterials[[#This Row],[Lab Quote Count]]&gt;1,10^RawMaterials[[#This Row],[Lab Log-Log Intercept]]*INDIRECT(RawMaterials[[#This Row],[Basis Cell]])^RawMaterials[[#This Row],[Lab Log-Log Slope]],"&gt;&gt;&gt; Enter 2 or more lab quotes &lt;&lt;&lt;")</f>
        <v>&gt;&gt;&gt; Enter 2 or more lab quotes &lt;&lt;&lt;</v>
      </c>
      <c r="AJ42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1.7967674368067521</v>
      </c>
      <c r="AL426" s="396">
        <f>IF(ISTEXT(RawMaterials[[#This Row],[Unit price in quote year]]),"Check calcs",RawMaterials[[#This Row],[Unit price in quote year]]/VLOOKUP(RawMaterials[[#This Row],[Quote Year]],ChemPPI[],14,FALSE)*VLOOKUP(BasisYear,ChemPPI[],14,FALSE))</f>
        <v>2.1029757124166522</v>
      </c>
      <c r="AM426" s="397" t="str">
        <f t="shared" si="6"/>
        <v>$/kg (2016)</v>
      </c>
    </row>
    <row r="427" spans="1:39">
      <c r="A427" s="259" t="s">
        <v>1514</v>
      </c>
      <c r="B427" s="260"/>
      <c r="C427" s="351"/>
      <c r="D427" s="351"/>
      <c r="E427" s="260">
        <v>100</v>
      </c>
      <c r="F427" s="260"/>
      <c r="G427" s="351"/>
      <c r="H427" s="351"/>
      <c r="I427" s="262"/>
      <c r="J427" s="351"/>
      <c r="K427" s="351"/>
      <c r="L427" s="351"/>
      <c r="M427" s="351"/>
      <c r="N427" s="351"/>
      <c r="O427" s="351"/>
      <c r="P427" s="261">
        <v>0.81499999999999995</v>
      </c>
      <c r="Q427" s="260">
        <v>1</v>
      </c>
      <c r="R427" s="260" t="s">
        <v>20</v>
      </c>
      <c r="S427" s="260">
        <v>2008</v>
      </c>
      <c r="T427" s="260" t="s">
        <v>161</v>
      </c>
      <c r="U427" s="386">
        <v>42653</v>
      </c>
      <c r="V427" s="387"/>
      <c r="W427" s="354">
        <f>COUNT(RawMaterials[[#This Row],[Lab Quantity 1]:[Lab Quantity 4]])</f>
        <v>0</v>
      </c>
      <c r="X42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7" s="392" t="e">
        <f>RawMaterials[[#This Row],[Lab Price 1]]/RawMaterials[[#This Row],[Lab Q Model Units 1]]</f>
        <v>#N/A</v>
      </c>
      <c r="AC427" s="392" t="e">
        <f>RawMaterials[[#This Row],[Lab Price 2]]/RawMaterials[[#This Row],[Lab Q Model Units 2]]</f>
        <v>#N/A</v>
      </c>
      <c r="AD427" s="392" t="e">
        <f>RawMaterials[[#This Row],[Lab Price 3]]/RawMaterials[[#This Row],[Lab Q Model Units 3]]</f>
        <v>#N/A</v>
      </c>
      <c r="AE427" s="392" t="e">
        <f>RawMaterials[[#This Row],[Lab Price 4]]/RawMaterials[[#This Row],[Lab Q Model Units 4]]</f>
        <v>#N/A</v>
      </c>
      <c r="AF427" s="392" t="str">
        <f ca="1">IF(RawMaterials[[#This Row],[Lab Quote Count]]&gt;1,SLOPE(LOG(INDIRECT("RawMaterials[@[Lab Unit P 1]:[Lab Unit P "&amp;RawMaterials[[#This Row],[Lab Quote Count]]&amp;"]]")),LOG(INDIRECT("RawMaterials[@[Lab Q Model Units 1]:[Lab Q Model Units "&amp;RawMaterials[[#This Row],[Lab Quote Count]]&amp;"]]"))),"")</f>
        <v/>
      </c>
      <c r="AG427" s="392" t="str">
        <f ca="1">IF(RawMaterials[[#This Row],[Lab Quote Count]]&gt;1,INTERCEPT(LOG(INDIRECT("RawMaterials[@[Lab Unit P 1]:[Lab Unit P "&amp;RawMaterials[[#This Row],[Lab Quote Count]]&amp;"]]")),LOG(INDIRECT("RawMaterials[@[Lab Q Model Units 1]:[Lab Q Model Units "&amp;RawMaterials[[#This Row],[Lab Quote Count]]&amp;"]]"))),"")</f>
        <v/>
      </c>
      <c r="AH427" s="393" t="str">
        <f>IF(RawMaterials[[#This Row],[Material Type]]="Metal Precursor","D13",IF(RawMaterials[[#This Row],[Material Type]]="Ligand","D13","D12"))</f>
        <v>D12</v>
      </c>
      <c r="AI427" s="394" t="str">
        <f ca="1">IF(RawMaterials[[#This Row],[Lab Quote Count]]&gt;1,10^RawMaterials[[#This Row],[Lab Log-Log Intercept]]*INDIRECT(RawMaterials[[#This Row],[Basis Cell]])^RawMaterials[[#This Row],[Lab Log-Log Slope]],"&gt;&gt;&gt; Enter 2 or more lab quotes &lt;&lt;&lt;")</f>
        <v>&gt;&gt;&gt; Enter 2 or more lab quotes &lt;&lt;&lt;</v>
      </c>
      <c r="AJ42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1.7967674368067521</v>
      </c>
      <c r="AL427" s="396">
        <f>IF(ISTEXT(RawMaterials[[#This Row],[Unit price in quote year]]),"Check calcs",RawMaterials[[#This Row],[Unit price in quote year]]/VLOOKUP(RawMaterials[[#This Row],[Quote Year]],ChemPPI[],14,FALSE)*VLOOKUP(BasisYear,ChemPPI[],14,FALSE))</f>
        <v>2.1029757124166522</v>
      </c>
      <c r="AM427" s="397" t="str">
        <f t="shared" si="6"/>
        <v>$/kg (2016)</v>
      </c>
    </row>
    <row r="428" spans="1:39">
      <c r="A428" s="259" t="s">
        <v>1515</v>
      </c>
      <c r="B428" s="260"/>
      <c r="C428" s="351"/>
      <c r="D428" s="351"/>
      <c r="E428" s="260">
        <v>100</v>
      </c>
      <c r="F428" s="260"/>
      <c r="G428" s="351"/>
      <c r="H428" s="351"/>
      <c r="I428" s="262"/>
      <c r="J428" s="351"/>
      <c r="K428" s="351"/>
      <c r="L428" s="351"/>
      <c r="M428" s="351"/>
      <c r="N428" s="351"/>
      <c r="O428" s="351"/>
      <c r="P428" s="261">
        <v>0.93</v>
      </c>
      <c r="Q428" s="260">
        <v>1</v>
      </c>
      <c r="R428" s="260" t="s">
        <v>20</v>
      </c>
      <c r="S428" s="260">
        <v>2008</v>
      </c>
      <c r="T428" s="260" t="s">
        <v>161</v>
      </c>
      <c r="U428" s="386">
        <v>42653</v>
      </c>
      <c r="V428" s="387"/>
      <c r="W428" s="354">
        <f>COUNT(RawMaterials[[#This Row],[Lab Quantity 1]:[Lab Quantity 4]])</f>
        <v>0</v>
      </c>
      <c r="X42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8" s="392" t="e">
        <f>RawMaterials[[#This Row],[Lab Price 1]]/RawMaterials[[#This Row],[Lab Q Model Units 1]]</f>
        <v>#N/A</v>
      </c>
      <c r="AC428" s="392" t="e">
        <f>RawMaterials[[#This Row],[Lab Price 2]]/RawMaterials[[#This Row],[Lab Q Model Units 2]]</f>
        <v>#N/A</v>
      </c>
      <c r="AD428" s="392" t="e">
        <f>RawMaterials[[#This Row],[Lab Price 3]]/RawMaterials[[#This Row],[Lab Q Model Units 3]]</f>
        <v>#N/A</v>
      </c>
      <c r="AE428" s="392" t="e">
        <f>RawMaterials[[#This Row],[Lab Price 4]]/RawMaterials[[#This Row],[Lab Q Model Units 4]]</f>
        <v>#N/A</v>
      </c>
      <c r="AF428" s="392" t="str">
        <f ca="1">IF(RawMaterials[[#This Row],[Lab Quote Count]]&gt;1,SLOPE(LOG(INDIRECT("RawMaterials[@[Lab Unit P 1]:[Lab Unit P "&amp;RawMaterials[[#This Row],[Lab Quote Count]]&amp;"]]")),LOG(INDIRECT("RawMaterials[@[Lab Q Model Units 1]:[Lab Q Model Units "&amp;RawMaterials[[#This Row],[Lab Quote Count]]&amp;"]]"))),"")</f>
        <v/>
      </c>
      <c r="AG428" s="392" t="str">
        <f ca="1">IF(RawMaterials[[#This Row],[Lab Quote Count]]&gt;1,INTERCEPT(LOG(INDIRECT("RawMaterials[@[Lab Unit P 1]:[Lab Unit P "&amp;RawMaterials[[#This Row],[Lab Quote Count]]&amp;"]]")),LOG(INDIRECT("RawMaterials[@[Lab Q Model Units 1]:[Lab Q Model Units "&amp;RawMaterials[[#This Row],[Lab Quote Count]]&amp;"]]"))),"")</f>
        <v/>
      </c>
      <c r="AH428" s="393" t="str">
        <f>IF(RawMaterials[[#This Row],[Material Type]]="Metal Precursor","D13",IF(RawMaterials[[#This Row],[Material Type]]="Ligand","D13","D12"))</f>
        <v>D12</v>
      </c>
      <c r="AI428" s="394" t="str">
        <f ca="1">IF(RawMaterials[[#This Row],[Lab Quote Count]]&gt;1,10^RawMaterials[[#This Row],[Lab Log-Log Intercept]]*INDIRECT(RawMaterials[[#This Row],[Basis Cell]])^RawMaterials[[#This Row],[Lab Log-Log Slope]],"&gt;&gt;&gt; Enter 2 or more lab quotes &lt;&lt;&lt;")</f>
        <v>&gt;&gt;&gt; Enter 2 or more lab quotes &lt;&lt;&lt;</v>
      </c>
      <c r="AJ42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2.0502990383193613</v>
      </c>
      <c r="AL428" s="396">
        <f>IF(ISTEXT(RawMaterials[[#This Row],[Unit price in quote year]]),"Check calcs",RawMaterials[[#This Row],[Unit price in quote year]]/VLOOKUP(RawMaterials[[#This Row],[Quote Year]],ChemPPI[],14,FALSE)*VLOOKUP(BasisYear,ChemPPI[],14,FALSE))</f>
        <v>2.399714616622683</v>
      </c>
      <c r="AM428" s="397" t="str">
        <f t="shared" si="6"/>
        <v>$/kg (2016)</v>
      </c>
    </row>
    <row r="429" spans="1:39">
      <c r="A429" s="259" t="s">
        <v>1516</v>
      </c>
      <c r="B429" s="260"/>
      <c r="C429" s="351"/>
      <c r="D429" s="351"/>
      <c r="E429" s="260">
        <v>100</v>
      </c>
      <c r="F429" s="260"/>
      <c r="G429" s="351"/>
      <c r="H429" s="351"/>
      <c r="I429" s="262"/>
      <c r="J429" s="351"/>
      <c r="K429" s="351"/>
      <c r="L429" s="351"/>
      <c r="M429" s="351"/>
      <c r="N429" s="351"/>
      <c r="O429" s="351"/>
      <c r="P429" s="261">
        <v>0.95</v>
      </c>
      <c r="Q429" s="260">
        <v>1</v>
      </c>
      <c r="R429" s="260" t="s">
        <v>20</v>
      </c>
      <c r="S429" s="260">
        <v>2008</v>
      </c>
      <c r="T429" s="260" t="s">
        <v>161</v>
      </c>
      <c r="U429" s="386">
        <v>42653</v>
      </c>
      <c r="V429" s="387"/>
      <c r="W429" s="354">
        <f>COUNT(RawMaterials[[#This Row],[Lab Quantity 1]:[Lab Quantity 4]])</f>
        <v>0</v>
      </c>
      <c r="X42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9" s="392" t="e">
        <f>RawMaterials[[#This Row],[Lab Price 1]]/RawMaterials[[#This Row],[Lab Q Model Units 1]]</f>
        <v>#N/A</v>
      </c>
      <c r="AC429" s="392" t="e">
        <f>RawMaterials[[#This Row],[Lab Price 2]]/RawMaterials[[#This Row],[Lab Q Model Units 2]]</f>
        <v>#N/A</v>
      </c>
      <c r="AD429" s="392" t="e">
        <f>RawMaterials[[#This Row],[Lab Price 3]]/RawMaterials[[#This Row],[Lab Q Model Units 3]]</f>
        <v>#N/A</v>
      </c>
      <c r="AE429" s="392" t="e">
        <f>RawMaterials[[#This Row],[Lab Price 4]]/RawMaterials[[#This Row],[Lab Q Model Units 4]]</f>
        <v>#N/A</v>
      </c>
      <c r="AF429" s="392" t="str">
        <f ca="1">IF(RawMaterials[[#This Row],[Lab Quote Count]]&gt;1,SLOPE(LOG(INDIRECT("RawMaterials[@[Lab Unit P 1]:[Lab Unit P "&amp;RawMaterials[[#This Row],[Lab Quote Count]]&amp;"]]")),LOG(INDIRECT("RawMaterials[@[Lab Q Model Units 1]:[Lab Q Model Units "&amp;RawMaterials[[#This Row],[Lab Quote Count]]&amp;"]]"))),"")</f>
        <v/>
      </c>
      <c r="AG429" s="392" t="str">
        <f ca="1">IF(RawMaterials[[#This Row],[Lab Quote Count]]&gt;1,INTERCEPT(LOG(INDIRECT("RawMaterials[@[Lab Unit P 1]:[Lab Unit P "&amp;RawMaterials[[#This Row],[Lab Quote Count]]&amp;"]]")),LOG(INDIRECT("RawMaterials[@[Lab Q Model Units 1]:[Lab Q Model Units "&amp;RawMaterials[[#This Row],[Lab Quote Count]]&amp;"]]"))),"")</f>
        <v/>
      </c>
      <c r="AH429" s="393" t="str">
        <f>IF(RawMaterials[[#This Row],[Material Type]]="Metal Precursor","D13",IF(RawMaterials[[#This Row],[Material Type]]="Ligand","D13","D12"))</f>
        <v>D12</v>
      </c>
      <c r="AI429" s="394" t="str">
        <f ca="1">IF(RawMaterials[[#This Row],[Lab Quote Count]]&gt;1,10^RawMaterials[[#This Row],[Lab Log-Log Intercept]]*INDIRECT(RawMaterials[[#This Row],[Basis Cell]])^RawMaterials[[#This Row],[Lab Log-Log Slope]],"&gt;&gt;&gt; Enter 2 or more lab quotes &lt;&lt;&lt;")</f>
        <v>&gt;&gt;&gt; Enter 2 or more lab quotes &lt;&lt;&lt;</v>
      </c>
      <c r="AJ42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2.0943914907563368</v>
      </c>
      <c r="AL429" s="396">
        <f>IF(ISTEXT(RawMaterials[[#This Row],[Unit price in quote year]]),"Check calcs",RawMaterials[[#This Row],[Unit price in quote year]]/VLOOKUP(RawMaterials[[#This Row],[Quote Year]],ChemPPI[],14,FALSE)*VLOOKUP(BasisYear,ChemPPI[],14,FALSE))</f>
        <v>2.4513213825715581</v>
      </c>
      <c r="AM429" s="397" t="str">
        <f t="shared" si="6"/>
        <v>$/kg (2016)</v>
      </c>
    </row>
    <row r="430" spans="1:39">
      <c r="A430" s="259" t="s">
        <v>1517</v>
      </c>
      <c r="B430" s="260"/>
      <c r="C430" s="351"/>
      <c r="D430" s="351"/>
      <c r="E430" s="260">
        <v>100</v>
      </c>
      <c r="F430" s="260"/>
      <c r="G430" s="351"/>
      <c r="H430" s="351"/>
      <c r="I430" s="262"/>
      <c r="J430" s="351"/>
      <c r="K430" s="351"/>
      <c r="L430" s="351"/>
      <c r="M430" s="351"/>
      <c r="N430" s="351"/>
      <c r="O430" s="351"/>
      <c r="P430" s="261">
        <v>0.89500000000000002</v>
      </c>
      <c r="Q430" s="260">
        <v>1</v>
      </c>
      <c r="R430" s="260" t="s">
        <v>20</v>
      </c>
      <c r="S430" s="260">
        <v>2008</v>
      </c>
      <c r="T430" s="260" t="s">
        <v>161</v>
      </c>
      <c r="U430" s="386">
        <v>42653</v>
      </c>
      <c r="V430" s="387"/>
      <c r="W430" s="354">
        <f>COUNT(RawMaterials[[#This Row],[Lab Quantity 1]:[Lab Quantity 4]])</f>
        <v>0</v>
      </c>
      <c r="X43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0" s="392" t="e">
        <f>RawMaterials[[#This Row],[Lab Price 1]]/RawMaterials[[#This Row],[Lab Q Model Units 1]]</f>
        <v>#N/A</v>
      </c>
      <c r="AC430" s="392" t="e">
        <f>RawMaterials[[#This Row],[Lab Price 2]]/RawMaterials[[#This Row],[Lab Q Model Units 2]]</f>
        <v>#N/A</v>
      </c>
      <c r="AD430" s="392" t="e">
        <f>RawMaterials[[#This Row],[Lab Price 3]]/RawMaterials[[#This Row],[Lab Q Model Units 3]]</f>
        <v>#N/A</v>
      </c>
      <c r="AE430" s="392" t="e">
        <f>RawMaterials[[#This Row],[Lab Price 4]]/RawMaterials[[#This Row],[Lab Q Model Units 4]]</f>
        <v>#N/A</v>
      </c>
      <c r="AF430" s="392" t="str">
        <f ca="1">IF(RawMaterials[[#This Row],[Lab Quote Count]]&gt;1,SLOPE(LOG(INDIRECT("RawMaterials[@[Lab Unit P 1]:[Lab Unit P "&amp;RawMaterials[[#This Row],[Lab Quote Count]]&amp;"]]")),LOG(INDIRECT("RawMaterials[@[Lab Q Model Units 1]:[Lab Q Model Units "&amp;RawMaterials[[#This Row],[Lab Quote Count]]&amp;"]]"))),"")</f>
        <v/>
      </c>
      <c r="AG430" s="392" t="str">
        <f ca="1">IF(RawMaterials[[#This Row],[Lab Quote Count]]&gt;1,INTERCEPT(LOG(INDIRECT("RawMaterials[@[Lab Unit P 1]:[Lab Unit P "&amp;RawMaterials[[#This Row],[Lab Quote Count]]&amp;"]]")),LOG(INDIRECT("RawMaterials[@[Lab Q Model Units 1]:[Lab Q Model Units "&amp;RawMaterials[[#This Row],[Lab Quote Count]]&amp;"]]"))),"")</f>
        <v/>
      </c>
      <c r="AH430" s="393" t="str">
        <f>IF(RawMaterials[[#This Row],[Material Type]]="Metal Precursor","D13",IF(RawMaterials[[#This Row],[Material Type]]="Ligand","D13","D12"))</f>
        <v>D12</v>
      </c>
      <c r="AI430" s="394" t="str">
        <f ca="1">IF(RawMaterials[[#This Row],[Lab Quote Count]]&gt;1,10^RawMaterials[[#This Row],[Lab Log-Log Intercept]]*INDIRECT(RawMaterials[[#This Row],[Basis Cell]])^RawMaterials[[#This Row],[Lab Log-Log Slope]],"&gt;&gt;&gt; Enter 2 or more lab quotes &lt;&lt;&lt;")</f>
        <v>&gt;&gt;&gt; Enter 2 or more lab quotes &lt;&lt;&lt;</v>
      </c>
      <c r="AJ43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1.9731372465546544</v>
      </c>
      <c r="AL430" s="396">
        <f>IF(ISTEXT(RawMaterials[[#This Row],[Unit price in quote year]]),"Check calcs",RawMaterials[[#This Row],[Unit price in quote year]]/VLOOKUP(RawMaterials[[#This Row],[Quote Year]],ChemPPI[],14,FALSE)*VLOOKUP(BasisYear,ChemPPI[],14,FALSE))</f>
        <v>2.3094027762121518</v>
      </c>
      <c r="AM430" s="397" t="str">
        <f t="shared" si="6"/>
        <v>$/kg (2016)</v>
      </c>
    </row>
    <row r="431" spans="1:39">
      <c r="A431" s="259" t="s">
        <v>1518</v>
      </c>
      <c r="B431" s="260"/>
      <c r="C431" s="351"/>
      <c r="D431" s="351"/>
      <c r="E431" s="260">
        <v>100</v>
      </c>
      <c r="F431" s="260"/>
      <c r="G431" s="351"/>
      <c r="H431" s="351"/>
      <c r="I431" s="262"/>
      <c r="J431" s="351"/>
      <c r="K431" s="351"/>
      <c r="L431" s="351"/>
      <c r="M431" s="351"/>
      <c r="N431" s="351"/>
      <c r="O431" s="351"/>
      <c r="P431" s="261">
        <v>1.0149999999999999</v>
      </c>
      <c r="Q431" s="260">
        <v>1</v>
      </c>
      <c r="R431" s="260" t="s">
        <v>20</v>
      </c>
      <c r="S431" s="260">
        <v>2008</v>
      </c>
      <c r="T431" s="260" t="s">
        <v>161</v>
      </c>
      <c r="U431" s="386">
        <v>42653</v>
      </c>
      <c r="V431" s="387"/>
      <c r="W431" s="354">
        <f>COUNT(RawMaterials[[#This Row],[Lab Quantity 1]:[Lab Quantity 4]])</f>
        <v>0</v>
      </c>
      <c r="X43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1" s="392" t="e">
        <f>RawMaterials[[#This Row],[Lab Price 1]]/RawMaterials[[#This Row],[Lab Q Model Units 1]]</f>
        <v>#N/A</v>
      </c>
      <c r="AC431" s="392" t="e">
        <f>RawMaterials[[#This Row],[Lab Price 2]]/RawMaterials[[#This Row],[Lab Q Model Units 2]]</f>
        <v>#N/A</v>
      </c>
      <c r="AD431" s="392" t="e">
        <f>RawMaterials[[#This Row],[Lab Price 3]]/RawMaterials[[#This Row],[Lab Q Model Units 3]]</f>
        <v>#N/A</v>
      </c>
      <c r="AE431" s="392" t="e">
        <f>RawMaterials[[#This Row],[Lab Price 4]]/RawMaterials[[#This Row],[Lab Q Model Units 4]]</f>
        <v>#N/A</v>
      </c>
      <c r="AF431" s="392" t="str">
        <f ca="1">IF(RawMaterials[[#This Row],[Lab Quote Count]]&gt;1,SLOPE(LOG(INDIRECT("RawMaterials[@[Lab Unit P 1]:[Lab Unit P "&amp;RawMaterials[[#This Row],[Lab Quote Count]]&amp;"]]")),LOG(INDIRECT("RawMaterials[@[Lab Q Model Units 1]:[Lab Q Model Units "&amp;RawMaterials[[#This Row],[Lab Quote Count]]&amp;"]]"))),"")</f>
        <v/>
      </c>
      <c r="AG431" s="392" t="str">
        <f ca="1">IF(RawMaterials[[#This Row],[Lab Quote Count]]&gt;1,INTERCEPT(LOG(INDIRECT("RawMaterials[@[Lab Unit P 1]:[Lab Unit P "&amp;RawMaterials[[#This Row],[Lab Quote Count]]&amp;"]]")),LOG(INDIRECT("RawMaterials[@[Lab Q Model Units 1]:[Lab Q Model Units "&amp;RawMaterials[[#This Row],[Lab Quote Count]]&amp;"]]"))),"")</f>
        <v/>
      </c>
      <c r="AH431" s="393" t="str">
        <f>IF(RawMaterials[[#This Row],[Material Type]]="Metal Precursor","D13",IF(RawMaterials[[#This Row],[Material Type]]="Ligand","D13","D12"))</f>
        <v>D12</v>
      </c>
      <c r="AI431" s="394" t="str">
        <f ca="1">IF(RawMaterials[[#This Row],[Lab Quote Count]]&gt;1,10^RawMaterials[[#This Row],[Lab Log-Log Intercept]]*INDIRECT(RawMaterials[[#This Row],[Basis Cell]])^RawMaterials[[#This Row],[Lab Log-Log Slope]],"&gt;&gt;&gt; Enter 2 or more lab quotes &lt;&lt;&lt;")</f>
        <v>&gt;&gt;&gt; Enter 2 or more lab quotes &lt;&lt;&lt;</v>
      </c>
      <c r="AJ43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2.2376919611765071</v>
      </c>
      <c r="AL431" s="396">
        <f>IF(ISTEXT(RawMaterials[[#This Row],[Unit price in quote year]]),"Check calcs",RawMaterials[[#This Row],[Unit price in quote year]]/VLOOKUP(RawMaterials[[#This Row],[Quote Year]],ChemPPI[],14,FALSE)*VLOOKUP(BasisYear,ChemPPI[],14,FALSE))</f>
        <v>2.6190433719054012</v>
      </c>
      <c r="AM431" s="397" t="str">
        <f t="shared" si="6"/>
        <v>$/kg (2016)</v>
      </c>
    </row>
    <row r="432" spans="1:39">
      <c r="A432" s="259" t="s">
        <v>1519</v>
      </c>
      <c r="B432" s="260"/>
      <c r="C432" s="351"/>
      <c r="D432" s="351"/>
      <c r="E432" s="260">
        <v>100</v>
      </c>
      <c r="F432" s="260"/>
      <c r="G432" s="351"/>
      <c r="H432" s="351"/>
      <c r="I432" s="262"/>
      <c r="J432" s="351"/>
      <c r="K432" s="351"/>
      <c r="L432" s="351"/>
      <c r="M432" s="351"/>
      <c r="N432" s="351"/>
      <c r="O432" s="351"/>
      <c r="P432" s="261">
        <v>1.0349999999999999</v>
      </c>
      <c r="Q432" s="260">
        <v>1</v>
      </c>
      <c r="R432" s="260" t="s">
        <v>20</v>
      </c>
      <c r="S432" s="260">
        <v>2008</v>
      </c>
      <c r="T432" s="260" t="s">
        <v>161</v>
      </c>
      <c r="U432" s="386">
        <v>42653</v>
      </c>
      <c r="V432" s="387"/>
      <c r="W432" s="354">
        <f>COUNT(RawMaterials[[#This Row],[Lab Quantity 1]:[Lab Quantity 4]])</f>
        <v>0</v>
      </c>
      <c r="X43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2" s="392" t="e">
        <f>RawMaterials[[#This Row],[Lab Price 1]]/RawMaterials[[#This Row],[Lab Q Model Units 1]]</f>
        <v>#N/A</v>
      </c>
      <c r="AC432" s="392" t="e">
        <f>RawMaterials[[#This Row],[Lab Price 2]]/RawMaterials[[#This Row],[Lab Q Model Units 2]]</f>
        <v>#N/A</v>
      </c>
      <c r="AD432" s="392" t="e">
        <f>RawMaterials[[#This Row],[Lab Price 3]]/RawMaterials[[#This Row],[Lab Q Model Units 3]]</f>
        <v>#N/A</v>
      </c>
      <c r="AE432" s="392" t="e">
        <f>RawMaterials[[#This Row],[Lab Price 4]]/RawMaterials[[#This Row],[Lab Q Model Units 4]]</f>
        <v>#N/A</v>
      </c>
      <c r="AF432" s="392" t="str">
        <f ca="1">IF(RawMaterials[[#This Row],[Lab Quote Count]]&gt;1,SLOPE(LOG(INDIRECT("RawMaterials[@[Lab Unit P 1]:[Lab Unit P "&amp;RawMaterials[[#This Row],[Lab Quote Count]]&amp;"]]")),LOG(INDIRECT("RawMaterials[@[Lab Q Model Units 1]:[Lab Q Model Units "&amp;RawMaterials[[#This Row],[Lab Quote Count]]&amp;"]]"))),"")</f>
        <v/>
      </c>
      <c r="AG432" s="392" t="str">
        <f ca="1">IF(RawMaterials[[#This Row],[Lab Quote Count]]&gt;1,INTERCEPT(LOG(INDIRECT("RawMaterials[@[Lab Unit P 1]:[Lab Unit P "&amp;RawMaterials[[#This Row],[Lab Quote Count]]&amp;"]]")),LOG(INDIRECT("RawMaterials[@[Lab Q Model Units 1]:[Lab Q Model Units "&amp;RawMaterials[[#This Row],[Lab Quote Count]]&amp;"]]"))),"")</f>
        <v/>
      </c>
      <c r="AH432" s="393" t="str">
        <f>IF(RawMaterials[[#This Row],[Material Type]]="Metal Precursor","D13",IF(RawMaterials[[#This Row],[Material Type]]="Ligand","D13","D12"))</f>
        <v>D12</v>
      </c>
      <c r="AI432" s="394" t="str">
        <f ca="1">IF(RawMaterials[[#This Row],[Lab Quote Count]]&gt;1,10^RawMaterials[[#This Row],[Lab Log-Log Intercept]]*INDIRECT(RawMaterials[[#This Row],[Basis Cell]])^RawMaterials[[#This Row],[Lab Log-Log Slope]],"&gt;&gt;&gt; Enter 2 or more lab quotes &lt;&lt;&lt;")</f>
        <v>&gt;&gt;&gt; Enter 2 or more lab quotes &lt;&lt;&lt;</v>
      </c>
      <c r="AJ43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2.2817844136134826</v>
      </c>
      <c r="AL432" s="396">
        <f>IF(ISTEXT(RawMaterials[[#This Row],[Unit price in quote year]]),"Check calcs",RawMaterials[[#This Row],[Unit price in quote year]]/VLOOKUP(RawMaterials[[#This Row],[Quote Year]],ChemPPI[],14,FALSE)*VLOOKUP(BasisYear,ChemPPI[],14,FALSE))</f>
        <v>2.6706501378542757</v>
      </c>
      <c r="AM432" s="397" t="str">
        <f t="shared" si="6"/>
        <v>$/kg (2016)</v>
      </c>
    </row>
    <row r="433" spans="1:39">
      <c r="A433" s="259" t="s">
        <v>1520</v>
      </c>
      <c r="B433" s="260"/>
      <c r="C433" s="351"/>
      <c r="D433" s="351"/>
      <c r="E433" s="260">
        <v>100</v>
      </c>
      <c r="F433" s="260"/>
      <c r="G433" s="351"/>
      <c r="H433" s="351"/>
      <c r="I433" s="262"/>
      <c r="J433" s="351"/>
      <c r="K433" s="351"/>
      <c r="L433" s="351"/>
      <c r="M433" s="351"/>
      <c r="N433" s="351"/>
      <c r="O433" s="351"/>
      <c r="P433" s="261">
        <v>1.0549999999999999</v>
      </c>
      <c r="Q433" s="260">
        <v>1</v>
      </c>
      <c r="R433" s="260" t="s">
        <v>20</v>
      </c>
      <c r="S433" s="260">
        <v>2008</v>
      </c>
      <c r="T433" s="260" t="s">
        <v>161</v>
      </c>
      <c r="U433" s="386">
        <v>42653</v>
      </c>
      <c r="V433" s="387"/>
      <c r="W433" s="354">
        <f>COUNT(RawMaterials[[#This Row],[Lab Quantity 1]:[Lab Quantity 4]])</f>
        <v>0</v>
      </c>
      <c r="X43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3" s="392" t="e">
        <f>RawMaterials[[#This Row],[Lab Price 1]]/RawMaterials[[#This Row],[Lab Q Model Units 1]]</f>
        <v>#N/A</v>
      </c>
      <c r="AC433" s="392" t="e">
        <f>RawMaterials[[#This Row],[Lab Price 2]]/RawMaterials[[#This Row],[Lab Q Model Units 2]]</f>
        <v>#N/A</v>
      </c>
      <c r="AD433" s="392" t="e">
        <f>RawMaterials[[#This Row],[Lab Price 3]]/RawMaterials[[#This Row],[Lab Q Model Units 3]]</f>
        <v>#N/A</v>
      </c>
      <c r="AE433" s="392" t="e">
        <f>RawMaterials[[#This Row],[Lab Price 4]]/RawMaterials[[#This Row],[Lab Q Model Units 4]]</f>
        <v>#N/A</v>
      </c>
      <c r="AF433" s="392" t="str">
        <f ca="1">IF(RawMaterials[[#This Row],[Lab Quote Count]]&gt;1,SLOPE(LOG(INDIRECT("RawMaterials[@[Lab Unit P 1]:[Lab Unit P "&amp;RawMaterials[[#This Row],[Lab Quote Count]]&amp;"]]")),LOG(INDIRECT("RawMaterials[@[Lab Q Model Units 1]:[Lab Q Model Units "&amp;RawMaterials[[#This Row],[Lab Quote Count]]&amp;"]]"))),"")</f>
        <v/>
      </c>
      <c r="AG433" s="392" t="str">
        <f ca="1">IF(RawMaterials[[#This Row],[Lab Quote Count]]&gt;1,INTERCEPT(LOG(INDIRECT("RawMaterials[@[Lab Unit P 1]:[Lab Unit P "&amp;RawMaterials[[#This Row],[Lab Quote Count]]&amp;"]]")),LOG(INDIRECT("RawMaterials[@[Lab Q Model Units 1]:[Lab Q Model Units "&amp;RawMaterials[[#This Row],[Lab Quote Count]]&amp;"]]"))),"")</f>
        <v/>
      </c>
      <c r="AH433" s="393" t="str">
        <f>IF(RawMaterials[[#This Row],[Material Type]]="Metal Precursor","D13",IF(RawMaterials[[#This Row],[Material Type]]="Ligand","D13","D12"))</f>
        <v>D12</v>
      </c>
      <c r="AI433" s="394" t="str">
        <f ca="1">IF(RawMaterials[[#This Row],[Lab Quote Count]]&gt;1,10^RawMaterials[[#This Row],[Lab Log-Log Intercept]]*INDIRECT(RawMaterials[[#This Row],[Basis Cell]])^RawMaterials[[#This Row],[Lab Log-Log Slope]],"&gt;&gt;&gt; Enter 2 or more lab quotes &lt;&lt;&lt;")</f>
        <v>&gt;&gt;&gt; Enter 2 or more lab quotes &lt;&lt;&lt;</v>
      </c>
      <c r="AJ43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2.3258768660504581</v>
      </c>
      <c r="AL433" s="396">
        <f>IF(ISTEXT(RawMaterials[[#This Row],[Unit price in quote year]]),"Check calcs",RawMaterials[[#This Row],[Unit price in quote year]]/VLOOKUP(RawMaterials[[#This Row],[Quote Year]],ChemPPI[],14,FALSE)*VLOOKUP(BasisYear,ChemPPI[],14,FALSE))</f>
        <v>2.7222569038031508</v>
      </c>
      <c r="AM433" s="397" t="str">
        <f t="shared" si="6"/>
        <v>$/kg (2016)</v>
      </c>
    </row>
    <row r="434" spans="1:39">
      <c r="A434" s="259" t="s">
        <v>1521</v>
      </c>
      <c r="B434" s="260"/>
      <c r="C434" s="351"/>
      <c r="D434" s="351"/>
      <c r="E434" s="260">
        <v>100</v>
      </c>
      <c r="F434" s="260"/>
      <c r="G434" s="351"/>
      <c r="H434" s="351"/>
      <c r="I434" s="262"/>
      <c r="J434" s="351"/>
      <c r="K434" s="351"/>
      <c r="L434" s="351"/>
      <c r="M434" s="351"/>
      <c r="N434" s="351"/>
      <c r="O434" s="351"/>
      <c r="P434" s="261">
        <v>0.92</v>
      </c>
      <c r="Q434" s="260">
        <v>1</v>
      </c>
      <c r="R434" s="260" t="s">
        <v>20</v>
      </c>
      <c r="S434" s="260">
        <v>2008</v>
      </c>
      <c r="T434" s="260" t="s">
        <v>161</v>
      </c>
      <c r="U434" s="386">
        <v>42653</v>
      </c>
      <c r="V434" s="387"/>
      <c r="W434" s="354">
        <f>COUNT(RawMaterials[[#This Row],[Lab Quantity 1]:[Lab Quantity 4]])</f>
        <v>0</v>
      </c>
      <c r="X43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4" s="392" t="e">
        <f>RawMaterials[[#This Row],[Lab Price 1]]/RawMaterials[[#This Row],[Lab Q Model Units 1]]</f>
        <v>#N/A</v>
      </c>
      <c r="AC434" s="392" t="e">
        <f>RawMaterials[[#This Row],[Lab Price 2]]/RawMaterials[[#This Row],[Lab Q Model Units 2]]</f>
        <v>#N/A</v>
      </c>
      <c r="AD434" s="392" t="e">
        <f>RawMaterials[[#This Row],[Lab Price 3]]/RawMaterials[[#This Row],[Lab Q Model Units 3]]</f>
        <v>#N/A</v>
      </c>
      <c r="AE434" s="392" t="e">
        <f>RawMaterials[[#This Row],[Lab Price 4]]/RawMaterials[[#This Row],[Lab Q Model Units 4]]</f>
        <v>#N/A</v>
      </c>
      <c r="AF434" s="392" t="str">
        <f ca="1">IF(RawMaterials[[#This Row],[Lab Quote Count]]&gt;1,SLOPE(LOG(INDIRECT("RawMaterials[@[Lab Unit P 1]:[Lab Unit P "&amp;RawMaterials[[#This Row],[Lab Quote Count]]&amp;"]]")),LOG(INDIRECT("RawMaterials[@[Lab Q Model Units 1]:[Lab Q Model Units "&amp;RawMaterials[[#This Row],[Lab Quote Count]]&amp;"]]"))),"")</f>
        <v/>
      </c>
      <c r="AG434" s="392" t="str">
        <f ca="1">IF(RawMaterials[[#This Row],[Lab Quote Count]]&gt;1,INTERCEPT(LOG(INDIRECT("RawMaterials[@[Lab Unit P 1]:[Lab Unit P "&amp;RawMaterials[[#This Row],[Lab Quote Count]]&amp;"]]")),LOG(INDIRECT("RawMaterials[@[Lab Q Model Units 1]:[Lab Q Model Units "&amp;RawMaterials[[#This Row],[Lab Quote Count]]&amp;"]]"))),"")</f>
        <v/>
      </c>
      <c r="AH434" s="393" t="str">
        <f>IF(RawMaterials[[#This Row],[Material Type]]="Metal Precursor","D13",IF(RawMaterials[[#This Row],[Material Type]]="Ligand","D13","D12"))</f>
        <v>D12</v>
      </c>
      <c r="AI434" s="394" t="str">
        <f ca="1">IF(RawMaterials[[#This Row],[Lab Quote Count]]&gt;1,10^RawMaterials[[#This Row],[Lab Log-Log Intercept]]*INDIRECT(RawMaterials[[#This Row],[Basis Cell]])^RawMaterials[[#This Row],[Lab Log-Log Slope]],"&gt;&gt;&gt; Enter 2 or more lab quotes &lt;&lt;&lt;")</f>
        <v>&gt;&gt;&gt; Enter 2 or more lab quotes &lt;&lt;&lt;</v>
      </c>
      <c r="AJ43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2.0282528121008738</v>
      </c>
      <c r="AL434" s="396">
        <f>IF(ISTEXT(RawMaterials[[#This Row],[Unit price in quote year]]),"Check calcs",RawMaterials[[#This Row],[Unit price in quote year]]/VLOOKUP(RawMaterials[[#This Row],[Quote Year]],ChemPPI[],14,FALSE)*VLOOKUP(BasisYear,ChemPPI[],14,FALSE))</f>
        <v>2.3739112336482457</v>
      </c>
      <c r="AM434" s="397" t="str">
        <f t="shared" si="6"/>
        <v>$/kg (2016)</v>
      </c>
    </row>
    <row r="435" spans="1:39">
      <c r="A435" s="259" t="s">
        <v>1522</v>
      </c>
      <c r="B435" s="260"/>
      <c r="C435" s="351"/>
      <c r="D435" s="351"/>
      <c r="E435" s="260">
        <v>100</v>
      </c>
      <c r="F435" s="260"/>
      <c r="G435" s="351"/>
      <c r="H435" s="351"/>
      <c r="I435" s="262"/>
      <c r="J435" s="351"/>
      <c r="K435" s="351"/>
      <c r="L435" s="351"/>
      <c r="M435" s="351"/>
      <c r="N435" s="351"/>
      <c r="O435" s="351"/>
      <c r="P435" s="261">
        <v>0.64999999999999902</v>
      </c>
      <c r="Q435" s="260">
        <v>1</v>
      </c>
      <c r="R435" s="260" t="s">
        <v>20</v>
      </c>
      <c r="S435" s="260">
        <v>2008</v>
      </c>
      <c r="T435" s="260" t="s">
        <v>161</v>
      </c>
      <c r="U435" s="386">
        <v>42653</v>
      </c>
      <c r="V435" s="387"/>
      <c r="W435" s="354">
        <f>COUNT(RawMaterials[[#This Row],[Lab Quantity 1]:[Lab Quantity 4]])</f>
        <v>0</v>
      </c>
      <c r="X43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5" s="392" t="e">
        <f>RawMaterials[[#This Row],[Lab Price 1]]/RawMaterials[[#This Row],[Lab Q Model Units 1]]</f>
        <v>#N/A</v>
      </c>
      <c r="AC435" s="392" t="e">
        <f>RawMaterials[[#This Row],[Lab Price 2]]/RawMaterials[[#This Row],[Lab Q Model Units 2]]</f>
        <v>#N/A</v>
      </c>
      <c r="AD435" s="392" t="e">
        <f>RawMaterials[[#This Row],[Lab Price 3]]/RawMaterials[[#This Row],[Lab Q Model Units 3]]</f>
        <v>#N/A</v>
      </c>
      <c r="AE435" s="392" t="e">
        <f>RawMaterials[[#This Row],[Lab Price 4]]/RawMaterials[[#This Row],[Lab Q Model Units 4]]</f>
        <v>#N/A</v>
      </c>
      <c r="AF435" s="392" t="str">
        <f ca="1">IF(RawMaterials[[#This Row],[Lab Quote Count]]&gt;1,SLOPE(LOG(INDIRECT("RawMaterials[@[Lab Unit P 1]:[Lab Unit P "&amp;RawMaterials[[#This Row],[Lab Quote Count]]&amp;"]]")),LOG(INDIRECT("RawMaterials[@[Lab Q Model Units 1]:[Lab Q Model Units "&amp;RawMaterials[[#This Row],[Lab Quote Count]]&amp;"]]"))),"")</f>
        <v/>
      </c>
      <c r="AG435" s="392" t="str">
        <f ca="1">IF(RawMaterials[[#This Row],[Lab Quote Count]]&gt;1,INTERCEPT(LOG(INDIRECT("RawMaterials[@[Lab Unit P 1]:[Lab Unit P "&amp;RawMaterials[[#This Row],[Lab Quote Count]]&amp;"]]")),LOG(INDIRECT("RawMaterials[@[Lab Q Model Units 1]:[Lab Q Model Units "&amp;RawMaterials[[#This Row],[Lab Quote Count]]&amp;"]]"))),"")</f>
        <v/>
      </c>
      <c r="AH435" s="393" t="str">
        <f>IF(RawMaterials[[#This Row],[Material Type]]="Metal Precursor","D13",IF(RawMaterials[[#This Row],[Material Type]]="Ligand","D13","D12"))</f>
        <v>D12</v>
      </c>
      <c r="AI435" s="394" t="str">
        <f ca="1">IF(RawMaterials[[#This Row],[Lab Quote Count]]&gt;1,10^RawMaterials[[#This Row],[Lab Log-Log Intercept]]*INDIRECT(RawMaterials[[#This Row],[Basis Cell]])^RawMaterials[[#This Row],[Lab Log-Log Slope]],"&gt;&gt;&gt; Enter 2 or more lab quotes &lt;&lt;&lt;")</f>
        <v>&gt;&gt;&gt; Enter 2 or more lab quotes &lt;&lt;&lt;</v>
      </c>
      <c r="AJ43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1.433004704201702</v>
      </c>
      <c r="AL435" s="396">
        <f>IF(ISTEXT(RawMaterials[[#This Row],[Unit price in quote year]]),"Check calcs",RawMaterials[[#This Row],[Unit price in quote year]]/VLOOKUP(RawMaterials[[#This Row],[Quote Year]],ChemPPI[],14,FALSE)*VLOOKUP(BasisYear,ChemPPI[],14,FALSE))</f>
        <v>1.6772198933384319</v>
      </c>
      <c r="AM435" s="397" t="str">
        <f t="shared" si="6"/>
        <v>$/kg (2016)</v>
      </c>
    </row>
    <row r="436" spans="1:39">
      <c r="A436" s="259" t="s">
        <v>1523</v>
      </c>
      <c r="B436" s="260"/>
      <c r="C436" s="351"/>
      <c r="D436" s="351"/>
      <c r="E436" s="260">
        <v>100</v>
      </c>
      <c r="F436" s="260"/>
      <c r="G436" s="351"/>
      <c r="H436" s="351"/>
      <c r="I436" s="262"/>
      <c r="J436" s="351"/>
      <c r="K436" s="351"/>
      <c r="L436" s="351"/>
      <c r="M436" s="351"/>
      <c r="N436" s="351"/>
      <c r="O436" s="351"/>
      <c r="P436" s="261">
        <v>0.61</v>
      </c>
      <c r="Q436" s="260">
        <v>1</v>
      </c>
      <c r="R436" s="260" t="s">
        <v>20</v>
      </c>
      <c r="S436" s="260">
        <v>2008</v>
      </c>
      <c r="T436" s="260" t="s">
        <v>161</v>
      </c>
      <c r="U436" s="386">
        <v>42653</v>
      </c>
      <c r="V436" s="387"/>
      <c r="W436" s="354">
        <f>COUNT(RawMaterials[[#This Row],[Lab Quantity 1]:[Lab Quantity 4]])</f>
        <v>0</v>
      </c>
      <c r="X43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6" s="392" t="e">
        <f>RawMaterials[[#This Row],[Lab Price 1]]/RawMaterials[[#This Row],[Lab Q Model Units 1]]</f>
        <v>#N/A</v>
      </c>
      <c r="AC436" s="392" t="e">
        <f>RawMaterials[[#This Row],[Lab Price 2]]/RawMaterials[[#This Row],[Lab Q Model Units 2]]</f>
        <v>#N/A</v>
      </c>
      <c r="AD436" s="392" t="e">
        <f>RawMaterials[[#This Row],[Lab Price 3]]/RawMaterials[[#This Row],[Lab Q Model Units 3]]</f>
        <v>#N/A</v>
      </c>
      <c r="AE436" s="392" t="e">
        <f>RawMaterials[[#This Row],[Lab Price 4]]/RawMaterials[[#This Row],[Lab Q Model Units 4]]</f>
        <v>#N/A</v>
      </c>
      <c r="AF436" s="392" t="str">
        <f ca="1">IF(RawMaterials[[#This Row],[Lab Quote Count]]&gt;1,SLOPE(LOG(INDIRECT("RawMaterials[@[Lab Unit P 1]:[Lab Unit P "&amp;RawMaterials[[#This Row],[Lab Quote Count]]&amp;"]]")),LOG(INDIRECT("RawMaterials[@[Lab Q Model Units 1]:[Lab Q Model Units "&amp;RawMaterials[[#This Row],[Lab Quote Count]]&amp;"]]"))),"")</f>
        <v/>
      </c>
      <c r="AG436" s="392" t="str">
        <f ca="1">IF(RawMaterials[[#This Row],[Lab Quote Count]]&gt;1,INTERCEPT(LOG(INDIRECT("RawMaterials[@[Lab Unit P 1]:[Lab Unit P "&amp;RawMaterials[[#This Row],[Lab Quote Count]]&amp;"]]")),LOG(INDIRECT("RawMaterials[@[Lab Q Model Units 1]:[Lab Q Model Units "&amp;RawMaterials[[#This Row],[Lab Quote Count]]&amp;"]]"))),"")</f>
        <v/>
      </c>
      <c r="AH436" s="393" t="str">
        <f>IF(RawMaterials[[#This Row],[Material Type]]="Metal Precursor","D13",IF(RawMaterials[[#This Row],[Material Type]]="Ligand","D13","D12"))</f>
        <v>D12</v>
      </c>
      <c r="AI436" s="394" t="str">
        <f ca="1">IF(RawMaterials[[#This Row],[Lab Quote Count]]&gt;1,10^RawMaterials[[#This Row],[Lab Log-Log Intercept]]*INDIRECT(RawMaterials[[#This Row],[Basis Cell]])^RawMaterials[[#This Row],[Lab Log-Log Slope]],"&gt;&gt;&gt; Enter 2 or more lab quotes &lt;&lt;&lt;")</f>
        <v>&gt;&gt;&gt; Enter 2 or more lab quotes &lt;&lt;&lt;</v>
      </c>
      <c r="AJ43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1.3448197993277531</v>
      </c>
      <c r="AL436" s="396">
        <f>IF(ISTEXT(RawMaterials[[#This Row],[Unit price in quote year]]),"Check calcs",RawMaterials[[#This Row],[Unit price in quote year]]/VLOOKUP(RawMaterials[[#This Row],[Quote Year]],ChemPPI[],14,FALSE)*VLOOKUP(BasisYear,ChemPPI[],14,FALSE))</f>
        <v>1.5740063614406845</v>
      </c>
      <c r="AM436" s="397" t="str">
        <f t="shared" si="6"/>
        <v>$/kg (2016)</v>
      </c>
    </row>
    <row r="437" spans="1:39">
      <c r="A437" s="259" t="s">
        <v>1524</v>
      </c>
      <c r="B437" s="260"/>
      <c r="C437" s="351"/>
      <c r="D437" s="351"/>
      <c r="E437" s="260">
        <v>100</v>
      </c>
      <c r="F437" s="260"/>
      <c r="G437" s="351"/>
      <c r="H437" s="351"/>
      <c r="I437" s="262"/>
      <c r="J437" s="351"/>
      <c r="K437" s="351"/>
      <c r="L437" s="351"/>
      <c r="M437" s="351"/>
      <c r="N437" s="351"/>
      <c r="O437" s="351"/>
      <c r="P437" s="261">
        <v>1.08</v>
      </c>
      <c r="Q437" s="260">
        <v>1</v>
      </c>
      <c r="R437" s="260" t="s">
        <v>20</v>
      </c>
      <c r="S437" s="260">
        <v>2008</v>
      </c>
      <c r="T437" s="260" t="s">
        <v>161</v>
      </c>
      <c r="U437" s="386">
        <v>42653</v>
      </c>
      <c r="V437" s="387"/>
      <c r="W437" s="354">
        <f>COUNT(RawMaterials[[#This Row],[Lab Quantity 1]:[Lab Quantity 4]])</f>
        <v>0</v>
      </c>
      <c r="X43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7" s="392" t="e">
        <f>RawMaterials[[#This Row],[Lab Price 1]]/RawMaterials[[#This Row],[Lab Q Model Units 1]]</f>
        <v>#N/A</v>
      </c>
      <c r="AC437" s="392" t="e">
        <f>RawMaterials[[#This Row],[Lab Price 2]]/RawMaterials[[#This Row],[Lab Q Model Units 2]]</f>
        <v>#N/A</v>
      </c>
      <c r="AD437" s="392" t="e">
        <f>RawMaterials[[#This Row],[Lab Price 3]]/RawMaterials[[#This Row],[Lab Q Model Units 3]]</f>
        <v>#N/A</v>
      </c>
      <c r="AE437" s="392" t="e">
        <f>RawMaterials[[#This Row],[Lab Price 4]]/RawMaterials[[#This Row],[Lab Q Model Units 4]]</f>
        <v>#N/A</v>
      </c>
      <c r="AF437" s="392" t="str">
        <f ca="1">IF(RawMaterials[[#This Row],[Lab Quote Count]]&gt;1,SLOPE(LOG(INDIRECT("RawMaterials[@[Lab Unit P 1]:[Lab Unit P "&amp;RawMaterials[[#This Row],[Lab Quote Count]]&amp;"]]")),LOG(INDIRECT("RawMaterials[@[Lab Q Model Units 1]:[Lab Q Model Units "&amp;RawMaterials[[#This Row],[Lab Quote Count]]&amp;"]]"))),"")</f>
        <v/>
      </c>
      <c r="AG437" s="392" t="str">
        <f ca="1">IF(RawMaterials[[#This Row],[Lab Quote Count]]&gt;1,INTERCEPT(LOG(INDIRECT("RawMaterials[@[Lab Unit P 1]:[Lab Unit P "&amp;RawMaterials[[#This Row],[Lab Quote Count]]&amp;"]]")),LOG(INDIRECT("RawMaterials[@[Lab Q Model Units 1]:[Lab Q Model Units "&amp;RawMaterials[[#This Row],[Lab Quote Count]]&amp;"]]"))),"")</f>
        <v/>
      </c>
      <c r="AH437" s="393" t="str">
        <f>IF(RawMaterials[[#This Row],[Material Type]]="Metal Precursor","D13",IF(RawMaterials[[#This Row],[Material Type]]="Ligand","D13","D12"))</f>
        <v>D12</v>
      </c>
      <c r="AI437" s="394" t="str">
        <f ca="1">IF(RawMaterials[[#This Row],[Lab Quote Count]]&gt;1,10^RawMaterials[[#This Row],[Lab Log-Log Intercept]]*INDIRECT(RawMaterials[[#This Row],[Basis Cell]])^RawMaterials[[#This Row],[Lab Log-Log Slope]],"&gt;&gt;&gt; Enter 2 or more lab quotes &lt;&lt;&lt;")</f>
        <v>&gt;&gt;&gt; Enter 2 or more lab quotes &lt;&lt;&lt;</v>
      </c>
      <c r="AJ43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2.3809924315966779</v>
      </c>
      <c r="AL437" s="396">
        <f>IF(ISTEXT(RawMaterials[[#This Row],[Unit price in quote year]]),"Check calcs",RawMaterials[[#This Row],[Unit price in quote year]]/VLOOKUP(RawMaterials[[#This Row],[Quote Year]],ChemPPI[],14,FALSE)*VLOOKUP(BasisYear,ChemPPI[],14,FALSE))</f>
        <v>2.7867653612392451</v>
      </c>
      <c r="AM437" s="397" t="str">
        <f t="shared" si="6"/>
        <v>$/kg (2016)</v>
      </c>
    </row>
    <row r="438" spans="1:39">
      <c r="A438" s="259" t="s">
        <v>1525</v>
      </c>
      <c r="B438" s="260"/>
      <c r="C438" s="351"/>
      <c r="D438" s="351"/>
      <c r="E438" s="260">
        <v>100</v>
      </c>
      <c r="F438" s="260"/>
      <c r="G438" s="351"/>
      <c r="H438" s="351"/>
      <c r="I438" s="262"/>
      <c r="J438" s="351"/>
      <c r="K438" s="351"/>
      <c r="L438" s="351"/>
      <c r="M438" s="351"/>
      <c r="N438" s="351"/>
      <c r="O438" s="351"/>
      <c r="P438" s="261">
        <v>40</v>
      </c>
      <c r="Q438" s="260">
        <v>100</v>
      </c>
      <c r="R438" s="260" t="s">
        <v>20</v>
      </c>
      <c r="S438" s="260">
        <v>2006</v>
      </c>
      <c r="T438" s="260" t="s">
        <v>161</v>
      </c>
      <c r="U438" s="386">
        <v>42653</v>
      </c>
      <c r="V438" s="387"/>
      <c r="W438" s="354">
        <f>COUNT(RawMaterials[[#This Row],[Lab Quantity 1]:[Lab Quantity 4]])</f>
        <v>0</v>
      </c>
      <c r="X43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8" s="392" t="e">
        <f>RawMaterials[[#This Row],[Lab Price 1]]/RawMaterials[[#This Row],[Lab Q Model Units 1]]</f>
        <v>#N/A</v>
      </c>
      <c r="AC438" s="392" t="e">
        <f>RawMaterials[[#This Row],[Lab Price 2]]/RawMaterials[[#This Row],[Lab Q Model Units 2]]</f>
        <v>#N/A</v>
      </c>
      <c r="AD438" s="392" t="e">
        <f>RawMaterials[[#This Row],[Lab Price 3]]/RawMaterials[[#This Row],[Lab Q Model Units 3]]</f>
        <v>#N/A</v>
      </c>
      <c r="AE438" s="392" t="e">
        <f>RawMaterials[[#This Row],[Lab Price 4]]/RawMaterials[[#This Row],[Lab Q Model Units 4]]</f>
        <v>#N/A</v>
      </c>
      <c r="AF438" s="392" t="str">
        <f ca="1">IF(RawMaterials[[#This Row],[Lab Quote Count]]&gt;1,SLOPE(LOG(INDIRECT("RawMaterials[@[Lab Unit P 1]:[Lab Unit P "&amp;RawMaterials[[#This Row],[Lab Quote Count]]&amp;"]]")),LOG(INDIRECT("RawMaterials[@[Lab Q Model Units 1]:[Lab Q Model Units "&amp;RawMaterials[[#This Row],[Lab Quote Count]]&amp;"]]"))),"")</f>
        <v/>
      </c>
      <c r="AG438" s="392" t="str">
        <f ca="1">IF(RawMaterials[[#This Row],[Lab Quote Count]]&gt;1,INTERCEPT(LOG(INDIRECT("RawMaterials[@[Lab Unit P 1]:[Lab Unit P "&amp;RawMaterials[[#This Row],[Lab Quote Count]]&amp;"]]")),LOG(INDIRECT("RawMaterials[@[Lab Q Model Units 1]:[Lab Q Model Units "&amp;RawMaterials[[#This Row],[Lab Quote Count]]&amp;"]]"))),"")</f>
        <v/>
      </c>
      <c r="AH438" s="393" t="str">
        <f>IF(RawMaterials[[#This Row],[Material Type]]="Metal Precursor","D13",IF(RawMaterials[[#This Row],[Material Type]]="Ligand","D13","D12"))</f>
        <v>D12</v>
      </c>
      <c r="AI438" s="394" t="str">
        <f ca="1">IF(RawMaterials[[#This Row],[Lab Quote Count]]&gt;1,10^RawMaterials[[#This Row],[Lab Log-Log Intercept]]*INDIRECT(RawMaterials[[#This Row],[Basis Cell]])^RawMaterials[[#This Row],[Lab Log-Log Slope]],"&gt;&gt;&gt; Enter 2 or more lab quotes &lt;&lt;&lt;")</f>
        <v>&gt;&gt;&gt; Enter 2 or more lab quotes &lt;&lt;&lt;</v>
      </c>
      <c r="AJ43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3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0.88184904873951031</v>
      </c>
      <c r="AL438" s="396">
        <f>IF(ISTEXT(RawMaterials[[#This Row],[Unit price in quote year]]),"Check calcs",RawMaterials[[#This Row],[Unit price in quote year]]/VLOOKUP(RawMaterials[[#This Row],[Quote Year]],ChemPPI[],14,FALSE)*VLOOKUP(BasisYear,ChemPPI[],14,FALSE))</f>
        <v>1.1968591510077402</v>
      </c>
      <c r="AM438" s="397" t="str">
        <f t="shared" si="6"/>
        <v>$/kg (2016)</v>
      </c>
    </row>
    <row r="439" spans="1:39">
      <c r="A439" s="259" t="s">
        <v>1526</v>
      </c>
      <c r="B439" s="260"/>
      <c r="C439" s="351"/>
      <c r="D439" s="351"/>
      <c r="E439" s="260">
        <v>100</v>
      </c>
      <c r="F439" s="260"/>
      <c r="G439" s="351"/>
      <c r="H439" s="351"/>
      <c r="I439" s="262"/>
      <c r="J439" s="351"/>
      <c r="K439" s="351"/>
      <c r="L439" s="351"/>
      <c r="M439" s="351"/>
      <c r="N439" s="351"/>
      <c r="O439" s="351"/>
      <c r="P439" s="261">
        <v>39</v>
      </c>
      <c r="Q439" s="260">
        <v>100</v>
      </c>
      <c r="R439" s="260" t="s">
        <v>20</v>
      </c>
      <c r="S439" s="260">
        <v>2006</v>
      </c>
      <c r="T439" s="260" t="s">
        <v>161</v>
      </c>
      <c r="U439" s="386">
        <v>42653</v>
      </c>
      <c r="V439" s="387"/>
      <c r="W439" s="354">
        <f>COUNT(RawMaterials[[#This Row],[Lab Quantity 1]:[Lab Quantity 4]])</f>
        <v>0</v>
      </c>
      <c r="X43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9" s="392" t="e">
        <f>RawMaterials[[#This Row],[Lab Price 1]]/RawMaterials[[#This Row],[Lab Q Model Units 1]]</f>
        <v>#N/A</v>
      </c>
      <c r="AC439" s="392" t="e">
        <f>RawMaterials[[#This Row],[Lab Price 2]]/RawMaterials[[#This Row],[Lab Q Model Units 2]]</f>
        <v>#N/A</v>
      </c>
      <c r="AD439" s="392" t="e">
        <f>RawMaterials[[#This Row],[Lab Price 3]]/RawMaterials[[#This Row],[Lab Q Model Units 3]]</f>
        <v>#N/A</v>
      </c>
      <c r="AE439" s="392" t="e">
        <f>RawMaterials[[#This Row],[Lab Price 4]]/RawMaterials[[#This Row],[Lab Q Model Units 4]]</f>
        <v>#N/A</v>
      </c>
      <c r="AF439" s="392" t="str">
        <f ca="1">IF(RawMaterials[[#This Row],[Lab Quote Count]]&gt;1,SLOPE(LOG(INDIRECT("RawMaterials[@[Lab Unit P 1]:[Lab Unit P "&amp;RawMaterials[[#This Row],[Lab Quote Count]]&amp;"]]")),LOG(INDIRECT("RawMaterials[@[Lab Q Model Units 1]:[Lab Q Model Units "&amp;RawMaterials[[#This Row],[Lab Quote Count]]&amp;"]]"))),"")</f>
        <v/>
      </c>
      <c r="AG439" s="392" t="str">
        <f ca="1">IF(RawMaterials[[#This Row],[Lab Quote Count]]&gt;1,INTERCEPT(LOG(INDIRECT("RawMaterials[@[Lab Unit P 1]:[Lab Unit P "&amp;RawMaterials[[#This Row],[Lab Quote Count]]&amp;"]]")),LOG(INDIRECT("RawMaterials[@[Lab Q Model Units 1]:[Lab Q Model Units "&amp;RawMaterials[[#This Row],[Lab Quote Count]]&amp;"]]"))),"")</f>
        <v/>
      </c>
      <c r="AH439" s="393" t="str">
        <f>IF(RawMaterials[[#This Row],[Material Type]]="Metal Precursor","D13",IF(RawMaterials[[#This Row],[Material Type]]="Ligand","D13","D12"))</f>
        <v>D12</v>
      </c>
      <c r="AI439" s="394" t="str">
        <f ca="1">IF(RawMaterials[[#This Row],[Lab Quote Count]]&gt;1,10^RawMaterials[[#This Row],[Lab Log-Log Intercept]]*INDIRECT(RawMaterials[[#This Row],[Basis Cell]])^RawMaterials[[#This Row],[Lab Log-Log Slope]],"&gt;&gt;&gt; Enter 2 or more lab quotes &lt;&lt;&lt;")</f>
        <v>&gt;&gt;&gt; Enter 2 or more lab quotes &lt;&lt;&lt;</v>
      </c>
      <c r="AJ43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3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0.85980282252102258</v>
      </c>
      <c r="AL439" s="396">
        <f>IF(ISTEXT(RawMaterials[[#This Row],[Unit price in quote year]]),"Check calcs",RawMaterials[[#This Row],[Unit price in quote year]]/VLOOKUP(RawMaterials[[#This Row],[Quote Year]],ChemPPI[],14,FALSE)*VLOOKUP(BasisYear,ChemPPI[],14,FALSE))</f>
        <v>1.1669376722325466</v>
      </c>
      <c r="AM439" s="397" t="str">
        <f t="shared" si="6"/>
        <v>$/kg (2016)</v>
      </c>
    </row>
    <row r="440" spans="1:39">
      <c r="A440" s="259" t="s">
        <v>1527</v>
      </c>
      <c r="B440" s="260"/>
      <c r="C440" s="351"/>
      <c r="D440" s="351"/>
      <c r="E440" s="260">
        <v>100</v>
      </c>
      <c r="F440" s="260"/>
      <c r="G440" s="351"/>
      <c r="H440" s="351"/>
      <c r="I440" s="262"/>
      <c r="J440" s="351"/>
      <c r="K440" s="351"/>
      <c r="L440" s="351"/>
      <c r="M440" s="351"/>
      <c r="N440" s="351"/>
      <c r="O440" s="351"/>
      <c r="P440" s="261">
        <v>18</v>
      </c>
      <c r="Q440" s="260">
        <v>100</v>
      </c>
      <c r="R440" s="260" t="s">
        <v>20</v>
      </c>
      <c r="S440" s="260">
        <v>2006</v>
      </c>
      <c r="T440" s="260" t="s">
        <v>161</v>
      </c>
      <c r="U440" s="386">
        <v>42653</v>
      </c>
      <c r="V440" s="387"/>
      <c r="W440" s="354">
        <f>COUNT(RawMaterials[[#This Row],[Lab Quantity 1]:[Lab Quantity 4]])</f>
        <v>0</v>
      </c>
      <c r="X44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0" s="392" t="e">
        <f>RawMaterials[[#This Row],[Lab Price 1]]/RawMaterials[[#This Row],[Lab Q Model Units 1]]</f>
        <v>#N/A</v>
      </c>
      <c r="AC440" s="392" t="e">
        <f>RawMaterials[[#This Row],[Lab Price 2]]/RawMaterials[[#This Row],[Lab Q Model Units 2]]</f>
        <v>#N/A</v>
      </c>
      <c r="AD440" s="392" t="e">
        <f>RawMaterials[[#This Row],[Lab Price 3]]/RawMaterials[[#This Row],[Lab Q Model Units 3]]</f>
        <v>#N/A</v>
      </c>
      <c r="AE440" s="392" t="e">
        <f>RawMaterials[[#This Row],[Lab Price 4]]/RawMaterials[[#This Row],[Lab Q Model Units 4]]</f>
        <v>#N/A</v>
      </c>
      <c r="AF440" s="392" t="str">
        <f ca="1">IF(RawMaterials[[#This Row],[Lab Quote Count]]&gt;1,SLOPE(LOG(INDIRECT("RawMaterials[@[Lab Unit P 1]:[Lab Unit P "&amp;RawMaterials[[#This Row],[Lab Quote Count]]&amp;"]]")),LOG(INDIRECT("RawMaterials[@[Lab Q Model Units 1]:[Lab Q Model Units "&amp;RawMaterials[[#This Row],[Lab Quote Count]]&amp;"]]"))),"")</f>
        <v/>
      </c>
      <c r="AG440" s="392" t="str">
        <f ca="1">IF(RawMaterials[[#This Row],[Lab Quote Count]]&gt;1,INTERCEPT(LOG(INDIRECT("RawMaterials[@[Lab Unit P 1]:[Lab Unit P "&amp;RawMaterials[[#This Row],[Lab Quote Count]]&amp;"]]")),LOG(INDIRECT("RawMaterials[@[Lab Q Model Units 1]:[Lab Q Model Units "&amp;RawMaterials[[#This Row],[Lab Quote Count]]&amp;"]]"))),"")</f>
        <v/>
      </c>
      <c r="AH440" s="393" t="str">
        <f>IF(RawMaterials[[#This Row],[Material Type]]="Metal Precursor","D13",IF(RawMaterials[[#This Row],[Material Type]]="Ligand","D13","D12"))</f>
        <v>D12</v>
      </c>
      <c r="AI440" s="394" t="str">
        <f ca="1">IF(RawMaterials[[#This Row],[Lab Quote Count]]&gt;1,10^RawMaterials[[#This Row],[Lab Log-Log Intercept]]*INDIRECT(RawMaterials[[#This Row],[Basis Cell]])^RawMaterials[[#This Row],[Lab Log-Log Slope]],"&gt;&gt;&gt; Enter 2 or more lab quotes &lt;&lt;&lt;")</f>
        <v>&gt;&gt;&gt; Enter 2 or more lab quotes &lt;&lt;&lt;</v>
      </c>
      <c r="AJ44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4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0.39683207193277964</v>
      </c>
      <c r="AL440" s="396">
        <f>IF(ISTEXT(RawMaterials[[#This Row],[Unit price in quote year]]),"Check calcs",RawMaterials[[#This Row],[Unit price in quote year]]/VLOOKUP(RawMaterials[[#This Row],[Quote Year]],ChemPPI[],14,FALSE)*VLOOKUP(BasisYear,ChemPPI[],14,FALSE))</f>
        <v>0.53858661795348295</v>
      </c>
      <c r="AM440" s="397" t="str">
        <f t="shared" si="6"/>
        <v>$/kg (2016)</v>
      </c>
    </row>
    <row r="441" spans="1:39">
      <c r="A441" s="259" t="s">
        <v>1528</v>
      </c>
      <c r="B441" s="260"/>
      <c r="C441" s="351"/>
      <c r="D441" s="351"/>
      <c r="E441" s="260">
        <v>100</v>
      </c>
      <c r="F441" s="260"/>
      <c r="G441" s="351"/>
      <c r="H441" s="351"/>
      <c r="I441" s="262"/>
      <c r="J441" s="351"/>
      <c r="K441" s="351"/>
      <c r="L441" s="351"/>
      <c r="M441" s="351"/>
      <c r="N441" s="351"/>
      <c r="O441" s="351"/>
      <c r="P441" s="261">
        <v>0.51</v>
      </c>
      <c r="Q441" s="260">
        <v>1</v>
      </c>
      <c r="R441" s="260" t="s">
        <v>20</v>
      </c>
      <c r="S441" s="260">
        <v>2006</v>
      </c>
      <c r="T441" s="260" t="s">
        <v>161</v>
      </c>
      <c r="U441" s="386">
        <v>42653</v>
      </c>
      <c r="V441" s="387"/>
      <c r="W441" s="354">
        <f>COUNT(RawMaterials[[#This Row],[Lab Quantity 1]:[Lab Quantity 4]])</f>
        <v>0</v>
      </c>
      <c r="X44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1" s="392" t="e">
        <f>RawMaterials[[#This Row],[Lab Price 1]]/RawMaterials[[#This Row],[Lab Q Model Units 1]]</f>
        <v>#N/A</v>
      </c>
      <c r="AC441" s="392" t="e">
        <f>RawMaterials[[#This Row],[Lab Price 2]]/RawMaterials[[#This Row],[Lab Q Model Units 2]]</f>
        <v>#N/A</v>
      </c>
      <c r="AD441" s="392" t="e">
        <f>RawMaterials[[#This Row],[Lab Price 3]]/RawMaterials[[#This Row],[Lab Q Model Units 3]]</f>
        <v>#N/A</v>
      </c>
      <c r="AE441" s="392" t="e">
        <f>RawMaterials[[#This Row],[Lab Price 4]]/RawMaterials[[#This Row],[Lab Q Model Units 4]]</f>
        <v>#N/A</v>
      </c>
      <c r="AF441" s="392" t="str">
        <f ca="1">IF(RawMaterials[[#This Row],[Lab Quote Count]]&gt;1,SLOPE(LOG(INDIRECT("RawMaterials[@[Lab Unit P 1]:[Lab Unit P "&amp;RawMaterials[[#This Row],[Lab Quote Count]]&amp;"]]")),LOG(INDIRECT("RawMaterials[@[Lab Q Model Units 1]:[Lab Q Model Units "&amp;RawMaterials[[#This Row],[Lab Quote Count]]&amp;"]]"))),"")</f>
        <v/>
      </c>
      <c r="AG441" s="392" t="str">
        <f ca="1">IF(RawMaterials[[#This Row],[Lab Quote Count]]&gt;1,INTERCEPT(LOG(INDIRECT("RawMaterials[@[Lab Unit P 1]:[Lab Unit P "&amp;RawMaterials[[#This Row],[Lab Quote Count]]&amp;"]]")),LOG(INDIRECT("RawMaterials[@[Lab Q Model Units 1]:[Lab Q Model Units "&amp;RawMaterials[[#This Row],[Lab Quote Count]]&amp;"]]"))),"")</f>
        <v/>
      </c>
      <c r="AH441" s="393" t="str">
        <f>IF(RawMaterials[[#This Row],[Material Type]]="Metal Precursor","D13",IF(RawMaterials[[#This Row],[Material Type]]="Ligand","D13","D12"))</f>
        <v>D12</v>
      </c>
      <c r="AI441" s="394" t="str">
        <f ca="1">IF(RawMaterials[[#This Row],[Lab Quote Count]]&gt;1,10^RawMaterials[[#This Row],[Lab Log-Log Intercept]]*INDIRECT(RawMaterials[[#This Row],[Basis Cell]])^RawMaterials[[#This Row],[Lab Log-Log Slope]],"&gt;&gt;&gt; Enter 2 or more lab quotes &lt;&lt;&lt;")</f>
        <v>&gt;&gt;&gt; Enter 2 or more lab quotes &lt;&lt;&lt;</v>
      </c>
      <c r="AJ44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1.1243575371428756</v>
      </c>
      <c r="AL441" s="396">
        <f>IF(ISTEXT(RawMaterials[[#This Row],[Unit price in quote year]]),"Check calcs",RawMaterials[[#This Row],[Unit price in quote year]]/VLOOKUP(RawMaterials[[#This Row],[Quote Year]],ChemPPI[],14,FALSE)*VLOOKUP(BasisYear,ChemPPI[],14,FALSE))</f>
        <v>1.5259954175348684</v>
      </c>
      <c r="AM441" s="397" t="str">
        <f t="shared" si="6"/>
        <v>$/kg (2016)</v>
      </c>
    </row>
    <row r="442" spans="1:39">
      <c r="A442" s="259" t="s">
        <v>1529</v>
      </c>
      <c r="B442" s="260"/>
      <c r="C442" s="351"/>
      <c r="D442" s="351"/>
      <c r="E442" s="260">
        <v>100</v>
      </c>
      <c r="F442" s="260"/>
      <c r="G442" s="351"/>
      <c r="H442" s="351"/>
      <c r="I442" s="262"/>
      <c r="J442" s="351"/>
      <c r="K442" s="351"/>
      <c r="L442" s="351"/>
      <c r="M442" s="351"/>
      <c r="N442" s="351"/>
      <c r="O442" s="351"/>
      <c r="P442" s="261">
        <v>43</v>
      </c>
      <c r="Q442" s="260">
        <v>100</v>
      </c>
      <c r="R442" s="260" t="s">
        <v>20</v>
      </c>
      <c r="S442" s="260">
        <v>2006</v>
      </c>
      <c r="T442" s="260" t="s">
        <v>161</v>
      </c>
      <c r="U442" s="386">
        <v>42653</v>
      </c>
      <c r="V442" s="387"/>
      <c r="W442" s="354">
        <f>COUNT(RawMaterials[[#This Row],[Lab Quantity 1]:[Lab Quantity 4]])</f>
        <v>0</v>
      </c>
      <c r="X44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2" s="392" t="e">
        <f>RawMaterials[[#This Row],[Lab Price 1]]/RawMaterials[[#This Row],[Lab Q Model Units 1]]</f>
        <v>#N/A</v>
      </c>
      <c r="AC442" s="392" t="e">
        <f>RawMaterials[[#This Row],[Lab Price 2]]/RawMaterials[[#This Row],[Lab Q Model Units 2]]</f>
        <v>#N/A</v>
      </c>
      <c r="AD442" s="392" t="e">
        <f>RawMaterials[[#This Row],[Lab Price 3]]/RawMaterials[[#This Row],[Lab Q Model Units 3]]</f>
        <v>#N/A</v>
      </c>
      <c r="AE442" s="392" t="e">
        <f>RawMaterials[[#This Row],[Lab Price 4]]/RawMaterials[[#This Row],[Lab Q Model Units 4]]</f>
        <v>#N/A</v>
      </c>
      <c r="AF442" s="392" t="str">
        <f ca="1">IF(RawMaterials[[#This Row],[Lab Quote Count]]&gt;1,SLOPE(LOG(INDIRECT("RawMaterials[@[Lab Unit P 1]:[Lab Unit P "&amp;RawMaterials[[#This Row],[Lab Quote Count]]&amp;"]]")),LOG(INDIRECT("RawMaterials[@[Lab Q Model Units 1]:[Lab Q Model Units "&amp;RawMaterials[[#This Row],[Lab Quote Count]]&amp;"]]"))),"")</f>
        <v/>
      </c>
      <c r="AG442" s="392" t="str">
        <f ca="1">IF(RawMaterials[[#This Row],[Lab Quote Count]]&gt;1,INTERCEPT(LOG(INDIRECT("RawMaterials[@[Lab Unit P 1]:[Lab Unit P "&amp;RawMaterials[[#This Row],[Lab Quote Count]]&amp;"]]")),LOG(INDIRECT("RawMaterials[@[Lab Q Model Units 1]:[Lab Q Model Units "&amp;RawMaterials[[#This Row],[Lab Quote Count]]&amp;"]]"))),"")</f>
        <v/>
      </c>
      <c r="AH442" s="393" t="str">
        <f>IF(RawMaterials[[#This Row],[Material Type]]="Metal Precursor","D13",IF(RawMaterials[[#This Row],[Material Type]]="Ligand","D13","D12"))</f>
        <v>D12</v>
      </c>
      <c r="AI442" s="394" t="str">
        <f ca="1">IF(RawMaterials[[#This Row],[Lab Quote Count]]&gt;1,10^RawMaterials[[#This Row],[Lab Log-Log Intercept]]*INDIRECT(RawMaterials[[#This Row],[Basis Cell]])^RawMaterials[[#This Row],[Lab Log-Log Slope]],"&gt;&gt;&gt; Enter 2 or more lab quotes &lt;&lt;&lt;")</f>
        <v>&gt;&gt;&gt; Enter 2 or more lab quotes &lt;&lt;&lt;</v>
      </c>
      <c r="AJ44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4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0.94798772739497361</v>
      </c>
      <c r="AL442" s="396">
        <f>IF(ISTEXT(RawMaterials[[#This Row],[Unit price in quote year]]),"Check calcs",RawMaterials[[#This Row],[Unit price in quote year]]/VLOOKUP(RawMaterials[[#This Row],[Quote Year]],ChemPPI[],14,FALSE)*VLOOKUP(BasisYear,ChemPPI[],14,FALSE))</f>
        <v>1.2866235873333205</v>
      </c>
      <c r="AM442" s="397" t="str">
        <f t="shared" si="6"/>
        <v>$/kg (2016)</v>
      </c>
    </row>
    <row r="443" spans="1:39">
      <c r="A443" s="259" t="s">
        <v>1530</v>
      </c>
      <c r="B443" s="260"/>
      <c r="C443" s="351"/>
      <c r="D443" s="351"/>
      <c r="E443" s="260">
        <v>100</v>
      </c>
      <c r="F443" s="260"/>
      <c r="G443" s="351"/>
      <c r="H443" s="351"/>
      <c r="I443" s="262"/>
      <c r="J443" s="351"/>
      <c r="K443" s="351"/>
      <c r="L443" s="351"/>
      <c r="M443" s="351"/>
      <c r="N443" s="351"/>
      <c r="O443" s="351"/>
      <c r="P443" s="261">
        <v>115</v>
      </c>
      <c r="Q443" s="260">
        <v>1</v>
      </c>
      <c r="R443" s="260" t="s">
        <v>401</v>
      </c>
      <c r="S443" s="260">
        <v>2006</v>
      </c>
      <c r="T443" s="260" t="s">
        <v>161</v>
      </c>
      <c r="U443" s="386">
        <v>42653</v>
      </c>
      <c r="V443" s="387"/>
      <c r="W443" s="354">
        <f>COUNT(RawMaterials[[#This Row],[Lab Quantity 1]:[Lab Quantity 4]])</f>
        <v>0</v>
      </c>
      <c r="X44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3" s="392" t="e">
        <f>RawMaterials[[#This Row],[Lab Price 1]]/RawMaterials[[#This Row],[Lab Q Model Units 1]]</f>
        <v>#N/A</v>
      </c>
      <c r="AC443" s="392" t="e">
        <f>RawMaterials[[#This Row],[Lab Price 2]]/RawMaterials[[#This Row],[Lab Q Model Units 2]]</f>
        <v>#N/A</v>
      </c>
      <c r="AD443" s="392" t="e">
        <f>RawMaterials[[#This Row],[Lab Price 3]]/RawMaterials[[#This Row],[Lab Q Model Units 3]]</f>
        <v>#N/A</v>
      </c>
      <c r="AE443" s="392" t="e">
        <f>RawMaterials[[#This Row],[Lab Price 4]]/RawMaterials[[#This Row],[Lab Q Model Units 4]]</f>
        <v>#N/A</v>
      </c>
      <c r="AF443" s="392" t="str">
        <f ca="1">IF(RawMaterials[[#This Row],[Lab Quote Count]]&gt;1,SLOPE(LOG(INDIRECT("RawMaterials[@[Lab Unit P 1]:[Lab Unit P "&amp;RawMaterials[[#This Row],[Lab Quote Count]]&amp;"]]")),LOG(INDIRECT("RawMaterials[@[Lab Q Model Units 1]:[Lab Q Model Units "&amp;RawMaterials[[#This Row],[Lab Quote Count]]&amp;"]]"))),"")</f>
        <v/>
      </c>
      <c r="AG443" s="392" t="str">
        <f ca="1">IF(RawMaterials[[#This Row],[Lab Quote Count]]&gt;1,INTERCEPT(LOG(INDIRECT("RawMaterials[@[Lab Unit P 1]:[Lab Unit P "&amp;RawMaterials[[#This Row],[Lab Quote Count]]&amp;"]]")),LOG(INDIRECT("RawMaterials[@[Lab Q Model Units 1]:[Lab Q Model Units "&amp;RawMaterials[[#This Row],[Lab Quote Count]]&amp;"]]"))),"")</f>
        <v/>
      </c>
      <c r="AH443" s="393" t="str">
        <f>IF(RawMaterials[[#This Row],[Material Type]]="Metal Precursor","D13",IF(RawMaterials[[#This Row],[Material Type]]="Ligand","D13","D12"))</f>
        <v>D12</v>
      </c>
      <c r="AI443" s="394" t="str">
        <f ca="1">IF(RawMaterials[[#This Row],[Lab Quote Count]]&gt;1,10^RawMaterials[[#This Row],[Lab Log-Log Intercept]]*INDIRECT(RawMaterials[[#This Row],[Basis Cell]])^RawMaterials[[#This Row],[Lab Log-Log Slope]],"&gt;&gt;&gt; Enter 2 or more lab quotes &lt;&lt;&lt;")</f>
        <v>&gt;&gt;&gt; Enter 2 or more lab quotes &lt;&lt;&lt;</v>
      </c>
      <c r="AJ44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4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0.12676580075630461</v>
      </c>
      <c r="AL443" s="396">
        <f>IF(ISTEXT(RawMaterials[[#This Row],[Unit price in quote year]]),"Check calcs",RawMaterials[[#This Row],[Unit price in quote year]]/VLOOKUP(RawMaterials[[#This Row],[Quote Year]],ChemPPI[],14,FALSE)*VLOOKUP(BasisYear,ChemPPI[],14,FALSE))</f>
        <v>0.17204850295736265</v>
      </c>
      <c r="AM443" s="397" t="str">
        <f t="shared" si="6"/>
        <v>$/kg (2016)</v>
      </c>
    </row>
    <row r="444" spans="1:39">
      <c r="A444" s="259" t="s">
        <v>1531</v>
      </c>
      <c r="B444" s="260"/>
      <c r="C444" s="351"/>
      <c r="D444" s="351"/>
      <c r="E444" s="260">
        <v>100</v>
      </c>
      <c r="F444" s="260"/>
      <c r="G444" s="351"/>
      <c r="H444" s="351"/>
      <c r="I444" s="262"/>
      <c r="J444" s="351"/>
      <c r="K444" s="351"/>
      <c r="L444" s="351"/>
      <c r="M444" s="351"/>
      <c r="N444" s="351"/>
      <c r="O444" s="351"/>
      <c r="P444" s="261">
        <v>0.54</v>
      </c>
      <c r="Q444" s="260">
        <v>1</v>
      </c>
      <c r="R444" s="260" t="s">
        <v>20</v>
      </c>
      <c r="S444" s="260">
        <v>2006</v>
      </c>
      <c r="T444" s="260" t="s">
        <v>161</v>
      </c>
      <c r="U444" s="386">
        <v>42653</v>
      </c>
      <c r="V444" s="387"/>
      <c r="W444" s="354">
        <f>COUNT(RawMaterials[[#This Row],[Lab Quantity 1]:[Lab Quantity 4]])</f>
        <v>0</v>
      </c>
      <c r="X44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4" s="392" t="e">
        <f>RawMaterials[[#This Row],[Lab Price 1]]/RawMaterials[[#This Row],[Lab Q Model Units 1]]</f>
        <v>#N/A</v>
      </c>
      <c r="AC444" s="392" t="e">
        <f>RawMaterials[[#This Row],[Lab Price 2]]/RawMaterials[[#This Row],[Lab Q Model Units 2]]</f>
        <v>#N/A</v>
      </c>
      <c r="AD444" s="392" t="e">
        <f>RawMaterials[[#This Row],[Lab Price 3]]/RawMaterials[[#This Row],[Lab Q Model Units 3]]</f>
        <v>#N/A</v>
      </c>
      <c r="AE444" s="392" t="e">
        <f>RawMaterials[[#This Row],[Lab Price 4]]/RawMaterials[[#This Row],[Lab Q Model Units 4]]</f>
        <v>#N/A</v>
      </c>
      <c r="AF444" s="392" t="str">
        <f ca="1">IF(RawMaterials[[#This Row],[Lab Quote Count]]&gt;1,SLOPE(LOG(INDIRECT("RawMaterials[@[Lab Unit P 1]:[Lab Unit P "&amp;RawMaterials[[#This Row],[Lab Quote Count]]&amp;"]]")),LOG(INDIRECT("RawMaterials[@[Lab Q Model Units 1]:[Lab Q Model Units "&amp;RawMaterials[[#This Row],[Lab Quote Count]]&amp;"]]"))),"")</f>
        <v/>
      </c>
      <c r="AG444" s="392" t="str">
        <f ca="1">IF(RawMaterials[[#This Row],[Lab Quote Count]]&gt;1,INTERCEPT(LOG(INDIRECT("RawMaterials[@[Lab Unit P 1]:[Lab Unit P "&amp;RawMaterials[[#This Row],[Lab Quote Count]]&amp;"]]")),LOG(INDIRECT("RawMaterials[@[Lab Q Model Units 1]:[Lab Q Model Units "&amp;RawMaterials[[#This Row],[Lab Quote Count]]&amp;"]]"))),"")</f>
        <v/>
      </c>
      <c r="AH444" s="393" t="str">
        <f>IF(RawMaterials[[#This Row],[Material Type]]="Metal Precursor","D13",IF(RawMaterials[[#This Row],[Material Type]]="Ligand","D13","D12"))</f>
        <v>D12</v>
      </c>
      <c r="AI444" s="394" t="str">
        <f ca="1">IF(RawMaterials[[#This Row],[Lab Quote Count]]&gt;1,10^RawMaterials[[#This Row],[Lab Log-Log Intercept]]*INDIRECT(RawMaterials[[#This Row],[Basis Cell]])^RawMaterials[[#This Row],[Lab Log-Log Slope]],"&gt;&gt;&gt; Enter 2 or more lab quotes &lt;&lt;&lt;")</f>
        <v>&gt;&gt;&gt; Enter 2 or more lab quotes &lt;&lt;&lt;</v>
      </c>
      <c r="AJ44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1.190496215798339</v>
      </c>
      <c r="AL444" s="396">
        <f>IF(ISTEXT(RawMaterials[[#This Row],[Unit price in quote year]]),"Check calcs",RawMaterials[[#This Row],[Unit price in quote year]]/VLOOKUP(RawMaterials[[#This Row],[Quote Year]],ChemPPI[],14,FALSE)*VLOOKUP(BasisYear,ChemPPI[],14,FALSE))</f>
        <v>1.6157598538604492</v>
      </c>
      <c r="AM444" s="397" t="str">
        <f t="shared" si="6"/>
        <v>$/kg (2016)</v>
      </c>
    </row>
    <row r="445" spans="1:39">
      <c r="A445" s="259" t="s">
        <v>1532</v>
      </c>
      <c r="B445" s="260"/>
      <c r="C445" s="351"/>
      <c r="D445" s="351"/>
      <c r="E445" s="260">
        <v>100</v>
      </c>
      <c r="F445" s="260"/>
      <c r="G445" s="351"/>
      <c r="H445" s="351"/>
      <c r="I445" s="262"/>
      <c r="J445" s="351"/>
      <c r="K445" s="351"/>
      <c r="L445" s="351"/>
      <c r="M445" s="351"/>
      <c r="N445" s="351"/>
      <c r="O445" s="351"/>
      <c r="P445" s="261">
        <v>0.54</v>
      </c>
      <c r="Q445" s="260">
        <v>1</v>
      </c>
      <c r="R445" s="260" t="s">
        <v>20</v>
      </c>
      <c r="S445" s="260">
        <v>2006</v>
      </c>
      <c r="T445" s="260" t="s">
        <v>161</v>
      </c>
      <c r="U445" s="386">
        <v>42653</v>
      </c>
      <c r="V445" s="387"/>
      <c r="W445" s="354">
        <f>COUNT(RawMaterials[[#This Row],[Lab Quantity 1]:[Lab Quantity 4]])</f>
        <v>0</v>
      </c>
      <c r="X44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5" s="392" t="e">
        <f>RawMaterials[[#This Row],[Lab Price 1]]/RawMaterials[[#This Row],[Lab Q Model Units 1]]</f>
        <v>#N/A</v>
      </c>
      <c r="AC445" s="392" t="e">
        <f>RawMaterials[[#This Row],[Lab Price 2]]/RawMaterials[[#This Row],[Lab Q Model Units 2]]</f>
        <v>#N/A</v>
      </c>
      <c r="AD445" s="392" t="e">
        <f>RawMaterials[[#This Row],[Lab Price 3]]/RawMaterials[[#This Row],[Lab Q Model Units 3]]</f>
        <v>#N/A</v>
      </c>
      <c r="AE445" s="392" t="e">
        <f>RawMaterials[[#This Row],[Lab Price 4]]/RawMaterials[[#This Row],[Lab Q Model Units 4]]</f>
        <v>#N/A</v>
      </c>
      <c r="AF445" s="392" t="str">
        <f ca="1">IF(RawMaterials[[#This Row],[Lab Quote Count]]&gt;1,SLOPE(LOG(INDIRECT("RawMaterials[@[Lab Unit P 1]:[Lab Unit P "&amp;RawMaterials[[#This Row],[Lab Quote Count]]&amp;"]]")),LOG(INDIRECT("RawMaterials[@[Lab Q Model Units 1]:[Lab Q Model Units "&amp;RawMaterials[[#This Row],[Lab Quote Count]]&amp;"]]"))),"")</f>
        <v/>
      </c>
      <c r="AG445" s="392" t="str">
        <f ca="1">IF(RawMaterials[[#This Row],[Lab Quote Count]]&gt;1,INTERCEPT(LOG(INDIRECT("RawMaterials[@[Lab Unit P 1]:[Lab Unit P "&amp;RawMaterials[[#This Row],[Lab Quote Count]]&amp;"]]")),LOG(INDIRECT("RawMaterials[@[Lab Q Model Units 1]:[Lab Q Model Units "&amp;RawMaterials[[#This Row],[Lab Quote Count]]&amp;"]]"))),"")</f>
        <v/>
      </c>
      <c r="AH445" s="393" t="str">
        <f>IF(RawMaterials[[#This Row],[Material Type]]="Metal Precursor","D13",IF(RawMaterials[[#This Row],[Material Type]]="Ligand","D13","D12"))</f>
        <v>D12</v>
      </c>
      <c r="AI445" s="394" t="str">
        <f ca="1">IF(RawMaterials[[#This Row],[Lab Quote Count]]&gt;1,10^RawMaterials[[#This Row],[Lab Log-Log Intercept]]*INDIRECT(RawMaterials[[#This Row],[Basis Cell]])^RawMaterials[[#This Row],[Lab Log-Log Slope]],"&gt;&gt;&gt; Enter 2 or more lab quotes &lt;&lt;&lt;")</f>
        <v>&gt;&gt;&gt; Enter 2 or more lab quotes &lt;&lt;&lt;</v>
      </c>
      <c r="AJ44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1.190496215798339</v>
      </c>
      <c r="AL445" s="396">
        <f>IF(ISTEXT(RawMaterials[[#This Row],[Unit price in quote year]]),"Check calcs",RawMaterials[[#This Row],[Unit price in quote year]]/VLOOKUP(RawMaterials[[#This Row],[Quote Year]],ChemPPI[],14,FALSE)*VLOOKUP(BasisYear,ChemPPI[],14,FALSE))</f>
        <v>1.6157598538604492</v>
      </c>
      <c r="AM445" s="397" t="str">
        <f t="shared" si="6"/>
        <v>$/kg (2016)</v>
      </c>
    </row>
    <row r="446" spans="1:39">
      <c r="A446" s="259" t="s">
        <v>1533</v>
      </c>
      <c r="B446" s="260"/>
      <c r="C446" s="351"/>
      <c r="D446" s="351"/>
      <c r="E446" s="260">
        <v>100</v>
      </c>
      <c r="F446" s="260"/>
      <c r="G446" s="351"/>
      <c r="H446" s="351"/>
      <c r="I446" s="262"/>
      <c r="J446" s="351"/>
      <c r="K446" s="351"/>
      <c r="L446" s="351"/>
      <c r="M446" s="351"/>
      <c r="N446" s="351"/>
      <c r="O446" s="351"/>
      <c r="P446" s="261">
        <v>0.56000000000000005</v>
      </c>
      <c r="Q446" s="260">
        <v>1</v>
      </c>
      <c r="R446" s="260" t="s">
        <v>20</v>
      </c>
      <c r="S446" s="260">
        <v>2006</v>
      </c>
      <c r="T446" s="260" t="s">
        <v>161</v>
      </c>
      <c r="U446" s="386">
        <v>42653</v>
      </c>
      <c r="V446" s="387"/>
      <c r="W446" s="354">
        <f>COUNT(RawMaterials[[#This Row],[Lab Quantity 1]:[Lab Quantity 4]])</f>
        <v>0</v>
      </c>
      <c r="X44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6" s="392" t="e">
        <f>RawMaterials[[#This Row],[Lab Price 1]]/RawMaterials[[#This Row],[Lab Q Model Units 1]]</f>
        <v>#N/A</v>
      </c>
      <c r="AC446" s="392" t="e">
        <f>RawMaterials[[#This Row],[Lab Price 2]]/RawMaterials[[#This Row],[Lab Q Model Units 2]]</f>
        <v>#N/A</v>
      </c>
      <c r="AD446" s="392" t="e">
        <f>RawMaterials[[#This Row],[Lab Price 3]]/RawMaterials[[#This Row],[Lab Q Model Units 3]]</f>
        <v>#N/A</v>
      </c>
      <c r="AE446" s="392" t="e">
        <f>RawMaterials[[#This Row],[Lab Price 4]]/RawMaterials[[#This Row],[Lab Q Model Units 4]]</f>
        <v>#N/A</v>
      </c>
      <c r="AF446" s="392" t="str">
        <f ca="1">IF(RawMaterials[[#This Row],[Lab Quote Count]]&gt;1,SLOPE(LOG(INDIRECT("RawMaterials[@[Lab Unit P 1]:[Lab Unit P "&amp;RawMaterials[[#This Row],[Lab Quote Count]]&amp;"]]")),LOG(INDIRECT("RawMaterials[@[Lab Q Model Units 1]:[Lab Q Model Units "&amp;RawMaterials[[#This Row],[Lab Quote Count]]&amp;"]]"))),"")</f>
        <v/>
      </c>
      <c r="AG446" s="392" t="str">
        <f ca="1">IF(RawMaterials[[#This Row],[Lab Quote Count]]&gt;1,INTERCEPT(LOG(INDIRECT("RawMaterials[@[Lab Unit P 1]:[Lab Unit P "&amp;RawMaterials[[#This Row],[Lab Quote Count]]&amp;"]]")),LOG(INDIRECT("RawMaterials[@[Lab Q Model Units 1]:[Lab Q Model Units "&amp;RawMaterials[[#This Row],[Lab Quote Count]]&amp;"]]"))),"")</f>
        <v/>
      </c>
      <c r="AH446" s="393" t="str">
        <f>IF(RawMaterials[[#This Row],[Material Type]]="Metal Precursor","D13",IF(RawMaterials[[#This Row],[Material Type]]="Ligand","D13","D12"))</f>
        <v>D12</v>
      </c>
      <c r="AI446" s="394" t="str">
        <f ca="1">IF(RawMaterials[[#This Row],[Lab Quote Count]]&gt;1,10^RawMaterials[[#This Row],[Lab Log-Log Intercept]]*INDIRECT(RawMaterials[[#This Row],[Basis Cell]])^RawMaterials[[#This Row],[Lab Log-Log Slope]],"&gt;&gt;&gt; Enter 2 or more lab quotes &lt;&lt;&lt;")</f>
        <v>&gt;&gt;&gt; Enter 2 or more lab quotes &lt;&lt;&lt;</v>
      </c>
      <c r="AJ44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1.2345886682353144</v>
      </c>
      <c r="AL446" s="396">
        <f>IF(ISTEXT(RawMaterials[[#This Row],[Unit price in quote year]]),"Check calcs",RawMaterials[[#This Row],[Unit price in quote year]]/VLOOKUP(RawMaterials[[#This Row],[Quote Year]],ChemPPI[],14,FALSE)*VLOOKUP(BasisYear,ChemPPI[],14,FALSE))</f>
        <v>1.6756028114108361</v>
      </c>
      <c r="AM446" s="397" t="str">
        <f t="shared" si="6"/>
        <v>$/kg (2016)</v>
      </c>
    </row>
    <row r="447" spans="1:39">
      <c r="A447" s="259" t="s">
        <v>1534</v>
      </c>
      <c r="B447" s="260"/>
      <c r="C447" s="351"/>
      <c r="D447" s="351"/>
      <c r="E447" s="260">
        <v>100</v>
      </c>
      <c r="F447" s="260"/>
      <c r="G447" s="351"/>
      <c r="H447" s="351"/>
      <c r="I447" s="262"/>
      <c r="J447" s="351"/>
      <c r="K447" s="351"/>
      <c r="L447" s="351"/>
      <c r="M447" s="351"/>
      <c r="N447" s="351"/>
      <c r="O447" s="351"/>
      <c r="P447" s="261">
        <v>2.06</v>
      </c>
      <c r="Q447" s="260">
        <v>1</v>
      </c>
      <c r="R447" s="260" t="s">
        <v>20</v>
      </c>
      <c r="S447" s="260">
        <v>2006</v>
      </c>
      <c r="T447" s="260" t="s">
        <v>161</v>
      </c>
      <c r="U447" s="386">
        <v>42653</v>
      </c>
      <c r="V447" s="387"/>
      <c r="W447" s="354">
        <f>COUNT(RawMaterials[[#This Row],[Lab Quantity 1]:[Lab Quantity 4]])</f>
        <v>0</v>
      </c>
      <c r="X44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7" s="392" t="e">
        <f>RawMaterials[[#This Row],[Lab Price 1]]/RawMaterials[[#This Row],[Lab Q Model Units 1]]</f>
        <v>#N/A</v>
      </c>
      <c r="AC447" s="392" t="e">
        <f>RawMaterials[[#This Row],[Lab Price 2]]/RawMaterials[[#This Row],[Lab Q Model Units 2]]</f>
        <v>#N/A</v>
      </c>
      <c r="AD447" s="392" t="e">
        <f>RawMaterials[[#This Row],[Lab Price 3]]/RawMaterials[[#This Row],[Lab Q Model Units 3]]</f>
        <v>#N/A</v>
      </c>
      <c r="AE447" s="392" t="e">
        <f>RawMaterials[[#This Row],[Lab Price 4]]/RawMaterials[[#This Row],[Lab Q Model Units 4]]</f>
        <v>#N/A</v>
      </c>
      <c r="AF447" s="392" t="str">
        <f ca="1">IF(RawMaterials[[#This Row],[Lab Quote Count]]&gt;1,SLOPE(LOG(INDIRECT("RawMaterials[@[Lab Unit P 1]:[Lab Unit P "&amp;RawMaterials[[#This Row],[Lab Quote Count]]&amp;"]]")),LOG(INDIRECT("RawMaterials[@[Lab Q Model Units 1]:[Lab Q Model Units "&amp;RawMaterials[[#This Row],[Lab Quote Count]]&amp;"]]"))),"")</f>
        <v/>
      </c>
      <c r="AG447" s="392" t="str">
        <f ca="1">IF(RawMaterials[[#This Row],[Lab Quote Count]]&gt;1,INTERCEPT(LOG(INDIRECT("RawMaterials[@[Lab Unit P 1]:[Lab Unit P "&amp;RawMaterials[[#This Row],[Lab Quote Count]]&amp;"]]")),LOG(INDIRECT("RawMaterials[@[Lab Q Model Units 1]:[Lab Q Model Units "&amp;RawMaterials[[#This Row],[Lab Quote Count]]&amp;"]]"))),"")</f>
        <v/>
      </c>
      <c r="AH447" s="393" t="str">
        <f>IF(RawMaterials[[#This Row],[Material Type]]="Metal Precursor","D13",IF(RawMaterials[[#This Row],[Material Type]]="Ligand","D13","D12"))</f>
        <v>D12</v>
      </c>
      <c r="AI447" s="394" t="str">
        <f ca="1">IF(RawMaterials[[#This Row],[Lab Quote Count]]&gt;1,10^RawMaterials[[#This Row],[Lab Log-Log Intercept]]*INDIRECT(RawMaterials[[#This Row],[Basis Cell]])^RawMaterials[[#This Row],[Lab Log-Log Slope]],"&gt;&gt;&gt; Enter 2 or more lab quotes &lt;&lt;&lt;")</f>
        <v>&gt;&gt;&gt; Enter 2 or more lab quotes &lt;&lt;&lt;</v>
      </c>
      <c r="AJ44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4.5415226010084782</v>
      </c>
      <c r="AL447" s="396">
        <f>IF(ISTEXT(RawMaterials[[#This Row],[Unit price in quote year]]),"Check calcs",RawMaterials[[#This Row],[Unit price in quote year]]/VLOOKUP(RawMaterials[[#This Row],[Quote Year]],ChemPPI[],14,FALSE)*VLOOKUP(BasisYear,ChemPPI[],14,FALSE))</f>
        <v>6.1638246276898618</v>
      </c>
      <c r="AM447" s="397" t="str">
        <f t="shared" si="6"/>
        <v>$/kg (2016)</v>
      </c>
    </row>
    <row r="448" spans="1:39">
      <c r="A448" s="259" t="s">
        <v>1535</v>
      </c>
      <c r="B448" s="260"/>
      <c r="C448" s="351"/>
      <c r="D448" s="351"/>
      <c r="E448" s="260">
        <v>100</v>
      </c>
      <c r="F448" s="260"/>
      <c r="G448" s="351"/>
      <c r="H448" s="351"/>
      <c r="I448" s="262"/>
      <c r="J448" s="351"/>
      <c r="K448" s="351"/>
      <c r="L448" s="351"/>
      <c r="M448" s="351"/>
      <c r="N448" s="351"/>
      <c r="O448" s="351"/>
      <c r="P448" s="261">
        <v>2</v>
      </c>
      <c r="Q448" s="260">
        <v>1</v>
      </c>
      <c r="R448" s="260" t="s">
        <v>20</v>
      </c>
      <c r="S448" s="260">
        <v>2006</v>
      </c>
      <c r="T448" s="260" t="s">
        <v>161</v>
      </c>
      <c r="U448" s="386">
        <v>42653</v>
      </c>
      <c r="V448" s="387"/>
      <c r="W448" s="354">
        <f>COUNT(RawMaterials[[#This Row],[Lab Quantity 1]:[Lab Quantity 4]])</f>
        <v>0</v>
      </c>
      <c r="X44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8" s="392" t="e">
        <f>RawMaterials[[#This Row],[Lab Price 1]]/RawMaterials[[#This Row],[Lab Q Model Units 1]]</f>
        <v>#N/A</v>
      </c>
      <c r="AC448" s="392" t="e">
        <f>RawMaterials[[#This Row],[Lab Price 2]]/RawMaterials[[#This Row],[Lab Q Model Units 2]]</f>
        <v>#N/A</v>
      </c>
      <c r="AD448" s="392" t="e">
        <f>RawMaterials[[#This Row],[Lab Price 3]]/RawMaterials[[#This Row],[Lab Q Model Units 3]]</f>
        <v>#N/A</v>
      </c>
      <c r="AE448" s="392" t="e">
        <f>RawMaterials[[#This Row],[Lab Price 4]]/RawMaterials[[#This Row],[Lab Q Model Units 4]]</f>
        <v>#N/A</v>
      </c>
      <c r="AF448" s="392" t="str">
        <f ca="1">IF(RawMaterials[[#This Row],[Lab Quote Count]]&gt;1,SLOPE(LOG(INDIRECT("RawMaterials[@[Lab Unit P 1]:[Lab Unit P "&amp;RawMaterials[[#This Row],[Lab Quote Count]]&amp;"]]")),LOG(INDIRECT("RawMaterials[@[Lab Q Model Units 1]:[Lab Q Model Units "&amp;RawMaterials[[#This Row],[Lab Quote Count]]&amp;"]]"))),"")</f>
        <v/>
      </c>
      <c r="AG448" s="392" t="str">
        <f ca="1">IF(RawMaterials[[#This Row],[Lab Quote Count]]&gt;1,INTERCEPT(LOG(INDIRECT("RawMaterials[@[Lab Unit P 1]:[Lab Unit P "&amp;RawMaterials[[#This Row],[Lab Quote Count]]&amp;"]]")),LOG(INDIRECT("RawMaterials[@[Lab Q Model Units 1]:[Lab Q Model Units "&amp;RawMaterials[[#This Row],[Lab Quote Count]]&amp;"]]"))),"")</f>
        <v/>
      </c>
      <c r="AH448" s="393" t="str">
        <f>IF(RawMaterials[[#This Row],[Material Type]]="Metal Precursor","D13",IF(RawMaterials[[#This Row],[Material Type]]="Ligand","D13","D12"))</f>
        <v>D12</v>
      </c>
      <c r="AI448" s="394" t="str">
        <f ca="1">IF(RawMaterials[[#This Row],[Lab Quote Count]]&gt;1,10^RawMaterials[[#This Row],[Lab Log-Log Intercept]]*INDIRECT(RawMaterials[[#This Row],[Basis Cell]])^RawMaterials[[#This Row],[Lab Log-Log Slope]],"&gt;&gt;&gt; Enter 2 or more lab quotes &lt;&lt;&lt;")</f>
        <v>&gt;&gt;&gt; Enter 2 or more lab quotes &lt;&lt;&lt;</v>
      </c>
      <c r="AJ44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4.4092452436975513</v>
      </c>
      <c r="AL448" s="396">
        <f>IF(ISTEXT(RawMaterials[[#This Row],[Unit price in quote year]]),"Check calcs",RawMaterials[[#This Row],[Unit price in quote year]]/VLOOKUP(RawMaterials[[#This Row],[Quote Year]],ChemPPI[],14,FALSE)*VLOOKUP(BasisYear,ChemPPI[],14,FALSE))</f>
        <v>5.9842957550386995</v>
      </c>
      <c r="AM448" s="397" t="str">
        <f t="shared" si="6"/>
        <v>$/kg (2016)</v>
      </c>
    </row>
    <row r="449" spans="1:39">
      <c r="A449" s="259" t="s">
        <v>1536</v>
      </c>
      <c r="B449" s="260"/>
      <c r="C449" s="351"/>
      <c r="D449" s="351"/>
      <c r="E449" s="260">
        <v>100</v>
      </c>
      <c r="F449" s="260"/>
      <c r="G449" s="351"/>
      <c r="H449" s="351"/>
      <c r="I449" s="262"/>
      <c r="J449" s="351"/>
      <c r="K449" s="351"/>
      <c r="L449" s="351"/>
      <c r="M449" s="351"/>
      <c r="N449" s="351"/>
      <c r="O449" s="351"/>
      <c r="P449" s="261">
        <v>1.8</v>
      </c>
      <c r="Q449" s="260">
        <v>1</v>
      </c>
      <c r="R449" s="260" t="s">
        <v>20</v>
      </c>
      <c r="S449" s="260">
        <v>2006</v>
      </c>
      <c r="T449" s="260" t="s">
        <v>161</v>
      </c>
      <c r="U449" s="386">
        <v>42653</v>
      </c>
      <c r="V449" s="387"/>
      <c r="W449" s="354">
        <f>COUNT(RawMaterials[[#This Row],[Lab Quantity 1]:[Lab Quantity 4]])</f>
        <v>0</v>
      </c>
      <c r="X44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9" s="392" t="e">
        <f>RawMaterials[[#This Row],[Lab Price 1]]/RawMaterials[[#This Row],[Lab Q Model Units 1]]</f>
        <v>#N/A</v>
      </c>
      <c r="AC449" s="392" t="e">
        <f>RawMaterials[[#This Row],[Lab Price 2]]/RawMaterials[[#This Row],[Lab Q Model Units 2]]</f>
        <v>#N/A</v>
      </c>
      <c r="AD449" s="392" t="e">
        <f>RawMaterials[[#This Row],[Lab Price 3]]/RawMaterials[[#This Row],[Lab Q Model Units 3]]</f>
        <v>#N/A</v>
      </c>
      <c r="AE449" s="392" t="e">
        <f>RawMaterials[[#This Row],[Lab Price 4]]/RawMaterials[[#This Row],[Lab Q Model Units 4]]</f>
        <v>#N/A</v>
      </c>
      <c r="AF449" s="392" t="str">
        <f ca="1">IF(RawMaterials[[#This Row],[Lab Quote Count]]&gt;1,SLOPE(LOG(INDIRECT("RawMaterials[@[Lab Unit P 1]:[Lab Unit P "&amp;RawMaterials[[#This Row],[Lab Quote Count]]&amp;"]]")),LOG(INDIRECT("RawMaterials[@[Lab Q Model Units 1]:[Lab Q Model Units "&amp;RawMaterials[[#This Row],[Lab Quote Count]]&amp;"]]"))),"")</f>
        <v/>
      </c>
      <c r="AG449" s="392" t="str">
        <f ca="1">IF(RawMaterials[[#This Row],[Lab Quote Count]]&gt;1,INTERCEPT(LOG(INDIRECT("RawMaterials[@[Lab Unit P 1]:[Lab Unit P "&amp;RawMaterials[[#This Row],[Lab Quote Count]]&amp;"]]")),LOG(INDIRECT("RawMaterials[@[Lab Q Model Units 1]:[Lab Q Model Units "&amp;RawMaterials[[#This Row],[Lab Quote Count]]&amp;"]]"))),"")</f>
        <v/>
      </c>
      <c r="AH449" s="393" t="str">
        <f>IF(RawMaterials[[#This Row],[Material Type]]="Metal Precursor","D13",IF(RawMaterials[[#This Row],[Material Type]]="Ligand","D13","D12"))</f>
        <v>D12</v>
      </c>
      <c r="AI449" s="394" t="str">
        <f ca="1">IF(RawMaterials[[#This Row],[Lab Quote Count]]&gt;1,10^RawMaterials[[#This Row],[Lab Log-Log Intercept]]*INDIRECT(RawMaterials[[#This Row],[Basis Cell]])^RawMaterials[[#This Row],[Lab Log-Log Slope]],"&gt;&gt;&gt; Enter 2 or more lab quotes &lt;&lt;&lt;")</f>
        <v>&gt;&gt;&gt; Enter 2 or more lab quotes &lt;&lt;&lt;</v>
      </c>
      <c r="AJ44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3.9683207193277963</v>
      </c>
      <c r="AL449" s="396">
        <f>IF(ISTEXT(RawMaterials[[#This Row],[Unit price in quote year]]),"Check calcs",RawMaterials[[#This Row],[Unit price in quote year]]/VLOOKUP(RawMaterials[[#This Row],[Quote Year]],ChemPPI[],14,FALSE)*VLOOKUP(BasisYear,ChemPPI[],14,FALSE))</f>
        <v>5.3858661795348297</v>
      </c>
      <c r="AM449" s="397" t="str">
        <f t="shared" si="6"/>
        <v>$/kg (2016)</v>
      </c>
    </row>
    <row r="450" spans="1:39">
      <c r="A450" s="259" t="s">
        <v>1537</v>
      </c>
      <c r="B450" s="260"/>
      <c r="C450" s="351"/>
      <c r="D450" s="351"/>
      <c r="E450" s="260">
        <v>100</v>
      </c>
      <c r="F450" s="260"/>
      <c r="G450" s="351"/>
      <c r="H450" s="351"/>
      <c r="I450" s="262"/>
      <c r="J450" s="351"/>
      <c r="K450" s="351"/>
      <c r="L450" s="351"/>
      <c r="M450" s="351"/>
      <c r="N450" s="351"/>
      <c r="O450" s="351"/>
      <c r="P450" s="261">
        <v>1.95</v>
      </c>
      <c r="Q450" s="260">
        <v>1</v>
      </c>
      <c r="R450" s="260" t="s">
        <v>20</v>
      </c>
      <c r="S450" s="260">
        <v>2006</v>
      </c>
      <c r="T450" s="260" t="s">
        <v>161</v>
      </c>
      <c r="U450" s="386">
        <v>42653</v>
      </c>
      <c r="V450" s="387"/>
      <c r="W450" s="354">
        <f>COUNT(RawMaterials[[#This Row],[Lab Quantity 1]:[Lab Quantity 4]])</f>
        <v>0</v>
      </c>
      <c r="X45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0" s="392" t="e">
        <f>RawMaterials[[#This Row],[Lab Price 1]]/RawMaterials[[#This Row],[Lab Q Model Units 1]]</f>
        <v>#N/A</v>
      </c>
      <c r="AC450" s="392" t="e">
        <f>RawMaterials[[#This Row],[Lab Price 2]]/RawMaterials[[#This Row],[Lab Q Model Units 2]]</f>
        <v>#N/A</v>
      </c>
      <c r="AD450" s="392" t="e">
        <f>RawMaterials[[#This Row],[Lab Price 3]]/RawMaterials[[#This Row],[Lab Q Model Units 3]]</f>
        <v>#N/A</v>
      </c>
      <c r="AE450" s="392" t="e">
        <f>RawMaterials[[#This Row],[Lab Price 4]]/RawMaterials[[#This Row],[Lab Q Model Units 4]]</f>
        <v>#N/A</v>
      </c>
      <c r="AF450" s="392" t="str">
        <f ca="1">IF(RawMaterials[[#This Row],[Lab Quote Count]]&gt;1,SLOPE(LOG(INDIRECT("RawMaterials[@[Lab Unit P 1]:[Lab Unit P "&amp;RawMaterials[[#This Row],[Lab Quote Count]]&amp;"]]")),LOG(INDIRECT("RawMaterials[@[Lab Q Model Units 1]:[Lab Q Model Units "&amp;RawMaterials[[#This Row],[Lab Quote Count]]&amp;"]]"))),"")</f>
        <v/>
      </c>
      <c r="AG450" s="392" t="str">
        <f ca="1">IF(RawMaterials[[#This Row],[Lab Quote Count]]&gt;1,INTERCEPT(LOG(INDIRECT("RawMaterials[@[Lab Unit P 1]:[Lab Unit P "&amp;RawMaterials[[#This Row],[Lab Quote Count]]&amp;"]]")),LOG(INDIRECT("RawMaterials[@[Lab Q Model Units 1]:[Lab Q Model Units "&amp;RawMaterials[[#This Row],[Lab Quote Count]]&amp;"]]"))),"")</f>
        <v/>
      </c>
      <c r="AH450" s="393" t="str">
        <f>IF(RawMaterials[[#This Row],[Material Type]]="Metal Precursor","D13",IF(RawMaterials[[#This Row],[Material Type]]="Ligand","D13","D12"))</f>
        <v>D12</v>
      </c>
      <c r="AI450" s="394" t="str">
        <f ca="1">IF(RawMaterials[[#This Row],[Lab Quote Count]]&gt;1,10^RawMaterials[[#This Row],[Lab Log-Log Intercept]]*INDIRECT(RawMaterials[[#This Row],[Basis Cell]])^RawMaterials[[#This Row],[Lab Log-Log Slope]],"&gt;&gt;&gt; Enter 2 or more lab quotes &lt;&lt;&lt;")</f>
        <v>&gt;&gt;&gt; Enter 2 or more lab quotes &lt;&lt;&lt;</v>
      </c>
      <c r="AJ45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4.2990141126051125</v>
      </c>
      <c r="AL450" s="396">
        <f>IF(ISTEXT(RawMaterials[[#This Row],[Unit price in quote year]]),"Check calcs",RawMaterials[[#This Row],[Unit price in quote year]]/VLOOKUP(RawMaterials[[#This Row],[Quote Year]],ChemPPI[],14,FALSE)*VLOOKUP(BasisYear,ChemPPI[],14,FALSE))</f>
        <v>5.8346883611627325</v>
      </c>
      <c r="AM450" s="397" t="str">
        <f t="shared" si="6"/>
        <v>$/kg (2016)</v>
      </c>
    </row>
    <row r="451" spans="1:39">
      <c r="A451" s="259" t="s">
        <v>1538</v>
      </c>
      <c r="B451" s="260"/>
      <c r="C451" s="351"/>
      <c r="D451" s="351"/>
      <c r="E451" s="260">
        <v>100</v>
      </c>
      <c r="F451" s="260"/>
      <c r="G451" s="351"/>
      <c r="H451" s="351"/>
      <c r="I451" s="262"/>
      <c r="J451" s="351"/>
      <c r="K451" s="351"/>
      <c r="L451" s="351"/>
      <c r="M451" s="351"/>
      <c r="N451" s="351"/>
      <c r="O451" s="351"/>
      <c r="P451" s="261">
        <v>1.86</v>
      </c>
      <c r="Q451" s="260">
        <v>1</v>
      </c>
      <c r="R451" s="260" t="s">
        <v>71</v>
      </c>
      <c r="S451" s="260">
        <v>2006</v>
      </c>
      <c r="T451" s="260" t="s">
        <v>161</v>
      </c>
      <c r="U451" s="386">
        <v>42653</v>
      </c>
      <c r="V451" s="387"/>
      <c r="W451" s="354">
        <f>COUNT(RawMaterials[[#This Row],[Lab Quantity 1]:[Lab Quantity 4]])</f>
        <v>0</v>
      </c>
      <c r="X45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1" s="392" t="e">
        <f>RawMaterials[[#This Row],[Lab Price 1]]/RawMaterials[[#This Row],[Lab Q Model Units 1]]</f>
        <v>#N/A</v>
      </c>
      <c r="AC451" s="392" t="e">
        <f>RawMaterials[[#This Row],[Lab Price 2]]/RawMaterials[[#This Row],[Lab Q Model Units 2]]</f>
        <v>#N/A</v>
      </c>
      <c r="AD451" s="392" t="e">
        <f>RawMaterials[[#This Row],[Lab Price 3]]/RawMaterials[[#This Row],[Lab Q Model Units 3]]</f>
        <v>#N/A</v>
      </c>
      <c r="AE451" s="392" t="e">
        <f>RawMaterials[[#This Row],[Lab Price 4]]/RawMaterials[[#This Row],[Lab Q Model Units 4]]</f>
        <v>#N/A</v>
      </c>
      <c r="AF451" s="392" t="str">
        <f ca="1">IF(RawMaterials[[#This Row],[Lab Quote Count]]&gt;1,SLOPE(LOG(INDIRECT("RawMaterials[@[Lab Unit P 1]:[Lab Unit P "&amp;RawMaterials[[#This Row],[Lab Quote Count]]&amp;"]]")),LOG(INDIRECT("RawMaterials[@[Lab Q Model Units 1]:[Lab Q Model Units "&amp;RawMaterials[[#This Row],[Lab Quote Count]]&amp;"]]"))),"")</f>
        <v/>
      </c>
      <c r="AG451" s="392" t="str">
        <f ca="1">IF(RawMaterials[[#This Row],[Lab Quote Count]]&gt;1,INTERCEPT(LOG(INDIRECT("RawMaterials[@[Lab Unit P 1]:[Lab Unit P "&amp;RawMaterials[[#This Row],[Lab Quote Count]]&amp;"]]")),LOG(INDIRECT("RawMaterials[@[Lab Q Model Units 1]:[Lab Q Model Units "&amp;RawMaterials[[#This Row],[Lab Quote Count]]&amp;"]]"))),"")</f>
        <v/>
      </c>
      <c r="AH451" s="393" t="str">
        <f>IF(RawMaterials[[#This Row],[Material Type]]="Metal Precursor","D13",IF(RawMaterials[[#This Row],[Material Type]]="Ligand","D13","D12"))</f>
        <v>D12</v>
      </c>
      <c r="AI451" s="394" t="str">
        <f ca="1">IF(RawMaterials[[#This Row],[Lab Quote Count]]&gt;1,10^RawMaterials[[#This Row],[Lab Log-Log Intercept]]*INDIRECT(RawMaterials[[#This Row],[Basis Cell]])^RawMaterials[[#This Row],[Lab Log-Log Slope]],"&gt;&gt;&gt; Enter 2 or more lab quotes &lt;&lt;&lt;")</f>
        <v>&gt;&gt;&gt; Enter 2 or more lab quotes &lt;&lt;&lt;</v>
      </c>
      <c r="AJ45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1.86</v>
      </c>
      <c r="AL451" s="396">
        <f>IF(ISTEXT(RawMaterials[[#This Row],[Unit price in quote year]]),"Check calcs",RawMaterials[[#This Row],[Unit price in quote year]]/VLOOKUP(RawMaterials[[#This Row],[Quote Year]],ChemPPI[],14,FALSE)*VLOOKUP(BasisYear,ChemPPI[],14,FALSE))</f>
        <v>2.5244207317073175</v>
      </c>
      <c r="AM451" s="397" t="str">
        <f t="shared" si="6"/>
        <v>$/kg (2016)</v>
      </c>
    </row>
    <row r="452" spans="1:39">
      <c r="A452" s="259" t="s">
        <v>1539</v>
      </c>
      <c r="B452" s="260"/>
      <c r="C452" s="351"/>
      <c r="D452" s="351"/>
      <c r="E452" s="260">
        <v>100</v>
      </c>
      <c r="F452" s="260"/>
      <c r="G452" s="351"/>
      <c r="H452" s="351"/>
      <c r="I452" s="262"/>
      <c r="J452" s="351"/>
      <c r="K452" s="351"/>
      <c r="L452" s="351"/>
      <c r="M452" s="351"/>
      <c r="N452" s="351"/>
      <c r="O452" s="351"/>
      <c r="P452" s="261">
        <v>1.2</v>
      </c>
      <c r="Q452" s="260">
        <v>1</v>
      </c>
      <c r="R452" s="260" t="s">
        <v>20</v>
      </c>
      <c r="S452" s="260">
        <v>2006</v>
      </c>
      <c r="T452" s="260" t="s">
        <v>161</v>
      </c>
      <c r="U452" s="386">
        <v>42653</v>
      </c>
      <c r="V452" s="387"/>
      <c r="W452" s="354">
        <f>COUNT(RawMaterials[[#This Row],[Lab Quantity 1]:[Lab Quantity 4]])</f>
        <v>0</v>
      </c>
      <c r="X45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2" s="392" t="e">
        <f>RawMaterials[[#This Row],[Lab Price 1]]/RawMaterials[[#This Row],[Lab Q Model Units 1]]</f>
        <v>#N/A</v>
      </c>
      <c r="AC452" s="392" t="e">
        <f>RawMaterials[[#This Row],[Lab Price 2]]/RawMaterials[[#This Row],[Lab Q Model Units 2]]</f>
        <v>#N/A</v>
      </c>
      <c r="AD452" s="392" t="e">
        <f>RawMaterials[[#This Row],[Lab Price 3]]/RawMaterials[[#This Row],[Lab Q Model Units 3]]</f>
        <v>#N/A</v>
      </c>
      <c r="AE452" s="392" t="e">
        <f>RawMaterials[[#This Row],[Lab Price 4]]/RawMaterials[[#This Row],[Lab Q Model Units 4]]</f>
        <v>#N/A</v>
      </c>
      <c r="AF452" s="392" t="str">
        <f ca="1">IF(RawMaterials[[#This Row],[Lab Quote Count]]&gt;1,SLOPE(LOG(INDIRECT("RawMaterials[@[Lab Unit P 1]:[Lab Unit P "&amp;RawMaterials[[#This Row],[Lab Quote Count]]&amp;"]]")),LOG(INDIRECT("RawMaterials[@[Lab Q Model Units 1]:[Lab Q Model Units "&amp;RawMaterials[[#This Row],[Lab Quote Count]]&amp;"]]"))),"")</f>
        <v/>
      </c>
      <c r="AG452" s="392" t="str">
        <f ca="1">IF(RawMaterials[[#This Row],[Lab Quote Count]]&gt;1,INTERCEPT(LOG(INDIRECT("RawMaterials[@[Lab Unit P 1]:[Lab Unit P "&amp;RawMaterials[[#This Row],[Lab Quote Count]]&amp;"]]")),LOG(INDIRECT("RawMaterials[@[Lab Q Model Units 1]:[Lab Q Model Units "&amp;RawMaterials[[#This Row],[Lab Quote Count]]&amp;"]]"))),"")</f>
        <v/>
      </c>
      <c r="AH452" s="393" t="str">
        <f>IF(RawMaterials[[#This Row],[Material Type]]="Metal Precursor","D13",IF(RawMaterials[[#This Row],[Material Type]]="Ligand","D13","D12"))</f>
        <v>D12</v>
      </c>
      <c r="AI452" s="394" t="str">
        <f ca="1">IF(RawMaterials[[#This Row],[Lab Quote Count]]&gt;1,10^RawMaterials[[#This Row],[Lab Log-Log Intercept]]*INDIRECT(RawMaterials[[#This Row],[Basis Cell]])^RawMaterials[[#This Row],[Lab Log-Log Slope]],"&gt;&gt;&gt; Enter 2 or more lab quotes &lt;&lt;&lt;")</f>
        <v>&gt;&gt;&gt; Enter 2 or more lab quotes &lt;&lt;&lt;</v>
      </c>
      <c r="AJ45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2.6455471462185307</v>
      </c>
      <c r="AL452" s="396">
        <f>IF(ISTEXT(RawMaterials[[#This Row],[Unit price in quote year]]),"Check calcs",RawMaterials[[#This Row],[Unit price in quote year]]/VLOOKUP(RawMaterials[[#This Row],[Quote Year]],ChemPPI[],14,FALSE)*VLOOKUP(BasisYear,ChemPPI[],14,FALSE))</f>
        <v>3.59057745302322</v>
      </c>
      <c r="AM452" s="397" t="str">
        <f t="shared" si="6"/>
        <v>$/kg (2016)</v>
      </c>
    </row>
    <row r="453" spans="1:39">
      <c r="A453" s="259" t="s">
        <v>1540</v>
      </c>
      <c r="B453" s="260"/>
      <c r="C453" s="351"/>
      <c r="D453" s="351"/>
      <c r="E453" s="260">
        <v>100</v>
      </c>
      <c r="F453" s="260"/>
      <c r="G453" s="351"/>
      <c r="H453" s="351"/>
      <c r="I453" s="262"/>
      <c r="J453" s="351"/>
      <c r="K453" s="351"/>
      <c r="L453" s="351"/>
      <c r="M453" s="351"/>
      <c r="N453" s="351"/>
      <c r="O453" s="351"/>
      <c r="P453" s="261">
        <v>79</v>
      </c>
      <c r="Q453" s="260">
        <v>100</v>
      </c>
      <c r="R453" s="260" t="s">
        <v>20</v>
      </c>
      <c r="S453" s="260">
        <v>2006</v>
      </c>
      <c r="T453" s="260" t="s">
        <v>161</v>
      </c>
      <c r="U453" s="386">
        <v>42653</v>
      </c>
      <c r="V453" s="387"/>
      <c r="W453" s="354">
        <f>COUNT(RawMaterials[[#This Row],[Lab Quantity 1]:[Lab Quantity 4]])</f>
        <v>0</v>
      </c>
      <c r="X45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3" s="392" t="e">
        <f>RawMaterials[[#This Row],[Lab Price 1]]/RawMaterials[[#This Row],[Lab Q Model Units 1]]</f>
        <v>#N/A</v>
      </c>
      <c r="AC453" s="392" t="e">
        <f>RawMaterials[[#This Row],[Lab Price 2]]/RawMaterials[[#This Row],[Lab Q Model Units 2]]</f>
        <v>#N/A</v>
      </c>
      <c r="AD453" s="392" t="e">
        <f>RawMaterials[[#This Row],[Lab Price 3]]/RawMaterials[[#This Row],[Lab Q Model Units 3]]</f>
        <v>#N/A</v>
      </c>
      <c r="AE453" s="392" t="e">
        <f>RawMaterials[[#This Row],[Lab Price 4]]/RawMaterials[[#This Row],[Lab Q Model Units 4]]</f>
        <v>#N/A</v>
      </c>
      <c r="AF453" s="392" t="str">
        <f ca="1">IF(RawMaterials[[#This Row],[Lab Quote Count]]&gt;1,SLOPE(LOG(INDIRECT("RawMaterials[@[Lab Unit P 1]:[Lab Unit P "&amp;RawMaterials[[#This Row],[Lab Quote Count]]&amp;"]]")),LOG(INDIRECT("RawMaterials[@[Lab Q Model Units 1]:[Lab Q Model Units "&amp;RawMaterials[[#This Row],[Lab Quote Count]]&amp;"]]"))),"")</f>
        <v/>
      </c>
      <c r="AG453" s="392" t="str">
        <f ca="1">IF(RawMaterials[[#This Row],[Lab Quote Count]]&gt;1,INTERCEPT(LOG(INDIRECT("RawMaterials[@[Lab Unit P 1]:[Lab Unit P "&amp;RawMaterials[[#This Row],[Lab Quote Count]]&amp;"]]")),LOG(INDIRECT("RawMaterials[@[Lab Q Model Units 1]:[Lab Q Model Units "&amp;RawMaterials[[#This Row],[Lab Quote Count]]&amp;"]]"))),"")</f>
        <v/>
      </c>
      <c r="AH453" s="393" t="str">
        <f>IF(RawMaterials[[#This Row],[Material Type]]="Metal Precursor","D13",IF(RawMaterials[[#This Row],[Material Type]]="Ligand","D13","D12"))</f>
        <v>D12</v>
      </c>
      <c r="AI453" s="394" t="str">
        <f ca="1">IF(RawMaterials[[#This Row],[Lab Quote Count]]&gt;1,10^RawMaterials[[#This Row],[Lab Log-Log Intercept]]*INDIRECT(RawMaterials[[#This Row],[Basis Cell]])^RawMaterials[[#This Row],[Lab Log-Log Slope]],"&gt;&gt;&gt; Enter 2 or more lab quotes &lt;&lt;&lt;")</f>
        <v>&gt;&gt;&gt; Enter 2 or more lab quotes &lt;&lt;&lt;</v>
      </c>
      <c r="AJ45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5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1.7416518712605329</v>
      </c>
      <c r="AL453" s="396">
        <f>IF(ISTEXT(RawMaterials[[#This Row],[Unit price in quote year]]),"Check calcs",RawMaterials[[#This Row],[Unit price in quote year]]/VLOOKUP(RawMaterials[[#This Row],[Quote Year]],ChemPPI[],14,FALSE)*VLOOKUP(BasisYear,ChemPPI[],14,FALSE))</f>
        <v>2.3637968232402868</v>
      </c>
      <c r="AM453" s="397" t="str">
        <f t="shared" si="6"/>
        <v>$/kg (2016)</v>
      </c>
    </row>
    <row r="454" spans="1:39">
      <c r="A454" s="259" t="s">
        <v>1541</v>
      </c>
      <c r="B454" s="260"/>
      <c r="C454" s="351"/>
      <c r="D454" s="351"/>
      <c r="E454" s="260">
        <v>100</v>
      </c>
      <c r="F454" s="260"/>
      <c r="G454" s="351"/>
      <c r="H454" s="351"/>
      <c r="I454" s="262"/>
      <c r="J454" s="351"/>
      <c r="K454" s="351"/>
      <c r="L454" s="351"/>
      <c r="M454" s="351"/>
      <c r="N454" s="351"/>
      <c r="O454" s="351"/>
      <c r="P454" s="261">
        <v>82.5</v>
      </c>
      <c r="Q454" s="260">
        <v>100</v>
      </c>
      <c r="R454" s="260" t="s">
        <v>20</v>
      </c>
      <c r="S454" s="260">
        <v>2006</v>
      </c>
      <c r="T454" s="260" t="s">
        <v>161</v>
      </c>
      <c r="U454" s="386">
        <v>42653</v>
      </c>
      <c r="V454" s="387"/>
      <c r="W454" s="354">
        <f>COUNT(RawMaterials[[#This Row],[Lab Quantity 1]:[Lab Quantity 4]])</f>
        <v>0</v>
      </c>
      <c r="X45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4" s="392" t="e">
        <f>RawMaterials[[#This Row],[Lab Price 1]]/RawMaterials[[#This Row],[Lab Q Model Units 1]]</f>
        <v>#N/A</v>
      </c>
      <c r="AC454" s="392" t="e">
        <f>RawMaterials[[#This Row],[Lab Price 2]]/RawMaterials[[#This Row],[Lab Q Model Units 2]]</f>
        <v>#N/A</v>
      </c>
      <c r="AD454" s="392" t="e">
        <f>RawMaterials[[#This Row],[Lab Price 3]]/RawMaterials[[#This Row],[Lab Q Model Units 3]]</f>
        <v>#N/A</v>
      </c>
      <c r="AE454" s="392" t="e">
        <f>RawMaterials[[#This Row],[Lab Price 4]]/RawMaterials[[#This Row],[Lab Q Model Units 4]]</f>
        <v>#N/A</v>
      </c>
      <c r="AF454" s="392" t="str">
        <f ca="1">IF(RawMaterials[[#This Row],[Lab Quote Count]]&gt;1,SLOPE(LOG(INDIRECT("RawMaterials[@[Lab Unit P 1]:[Lab Unit P "&amp;RawMaterials[[#This Row],[Lab Quote Count]]&amp;"]]")),LOG(INDIRECT("RawMaterials[@[Lab Q Model Units 1]:[Lab Q Model Units "&amp;RawMaterials[[#This Row],[Lab Quote Count]]&amp;"]]"))),"")</f>
        <v/>
      </c>
      <c r="AG454" s="392" t="str">
        <f ca="1">IF(RawMaterials[[#This Row],[Lab Quote Count]]&gt;1,INTERCEPT(LOG(INDIRECT("RawMaterials[@[Lab Unit P 1]:[Lab Unit P "&amp;RawMaterials[[#This Row],[Lab Quote Count]]&amp;"]]")),LOG(INDIRECT("RawMaterials[@[Lab Q Model Units 1]:[Lab Q Model Units "&amp;RawMaterials[[#This Row],[Lab Quote Count]]&amp;"]]"))),"")</f>
        <v/>
      </c>
      <c r="AH454" s="393" t="str">
        <f>IF(RawMaterials[[#This Row],[Material Type]]="Metal Precursor","D13",IF(RawMaterials[[#This Row],[Material Type]]="Ligand","D13","D12"))</f>
        <v>D12</v>
      </c>
      <c r="AI454" s="394" t="str">
        <f ca="1">IF(RawMaterials[[#This Row],[Lab Quote Count]]&gt;1,10^RawMaterials[[#This Row],[Lab Log-Log Intercept]]*INDIRECT(RawMaterials[[#This Row],[Basis Cell]])^RawMaterials[[#This Row],[Lab Log-Log Slope]],"&gt;&gt;&gt; Enter 2 or more lab quotes &lt;&lt;&lt;")</f>
        <v>&gt;&gt;&gt; Enter 2 or more lab quotes &lt;&lt;&lt;</v>
      </c>
      <c r="AJ45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5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1.8188136630252401</v>
      </c>
      <c r="AL454" s="396">
        <f>IF(ISTEXT(RawMaterials[[#This Row],[Unit price in quote year]]),"Check calcs",RawMaterials[[#This Row],[Unit price in quote year]]/VLOOKUP(RawMaterials[[#This Row],[Quote Year]],ChemPPI[],14,FALSE)*VLOOKUP(BasisYear,ChemPPI[],14,FALSE))</f>
        <v>2.4685219989534639</v>
      </c>
      <c r="AM454" s="397" t="str">
        <f t="shared" si="6"/>
        <v>$/kg (2016)</v>
      </c>
    </row>
    <row r="455" spans="1:39">
      <c r="A455" s="259" t="s">
        <v>1542</v>
      </c>
      <c r="B455" s="260"/>
      <c r="C455" s="351"/>
      <c r="D455" s="351"/>
      <c r="E455" s="260">
        <v>100</v>
      </c>
      <c r="F455" s="260"/>
      <c r="G455" s="351"/>
      <c r="H455" s="351"/>
      <c r="I455" s="262"/>
      <c r="J455" s="351"/>
      <c r="K455" s="351"/>
      <c r="L455" s="351"/>
      <c r="M455" s="351"/>
      <c r="N455" s="351"/>
      <c r="O455" s="351"/>
      <c r="P455" s="261">
        <v>4.0999999999999996</v>
      </c>
      <c r="Q455" s="260">
        <v>1</v>
      </c>
      <c r="R455" s="260" t="s">
        <v>20</v>
      </c>
      <c r="S455" s="260">
        <v>2006</v>
      </c>
      <c r="T455" s="260" t="s">
        <v>161</v>
      </c>
      <c r="U455" s="386">
        <v>42653</v>
      </c>
      <c r="V455" s="387"/>
      <c r="W455" s="354">
        <f>COUNT(RawMaterials[[#This Row],[Lab Quantity 1]:[Lab Quantity 4]])</f>
        <v>0</v>
      </c>
      <c r="X45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5" s="392" t="e">
        <f>RawMaterials[[#This Row],[Lab Price 1]]/RawMaterials[[#This Row],[Lab Q Model Units 1]]</f>
        <v>#N/A</v>
      </c>
      <c r="AC455" s="392" t="e">
        <f>RawMaterials[[#This Row],[Lab Price 2]]/RawMaterials[[#This Row],[Lab Q Model Units 2]]</f>
        <v>#N/A</v>
      </c>
      <c r="AD455" s="392" t="e">
        <f>RawMaterials[[#This Row],[Lab Price 3]]/RawMaterials[[#This Row],[Lab Q Model Units 3]]</f>
        <v>#N/A</v>
      </c>
      <c r="AE455" s="392" t="e">
        <f>RawMaterials[[#This Row],[Lab Price 4]]/RawMaterials[[#This Row],[Lab Q Model Units 4]]</f>
        <v>#N/A</v>
      </c>
      <c r="AF455" s="392" t="str">
        <f ca="1">IF(RawMaterials[[#This Row],[Lab Quote Count]]&gt;1,SLOPE(LOG(INDIRECT("RawMaterials[@[Lab Unit P 1]:[Lab Unit P "&amp;RawMaterials[[#This Row],[Lab Quote Count]]&amp;"]]")),LOG(INDIRECT("RawMaterials[@[Lab Q Model Units 1]:[Lab Q Model Units "&amp;RawMaterials[[#This Row],[Lab Quote Count]]&amp;"]]"))),"")</f>
        <v/>
      </c>
      <c r="AG455" s="392" t="str">
        <f ca="1">IF(RawMaterials[[#This Row],[Lab Quote Count]]&gt;1,INTERCEPT(LOG(INDIRECT("RawMaterials[@[Lab Unit P 1]:[Lab Unit P "&amp;RawMaterials[[#This Row],[Lab Quote Count]]&amp;"]]")),LOG(INDIRECT("RawMaterials[@[Lab Q Model Units 1]:[Lab Q Model Units "&amp;RawMaterials[[#This Row],[Lab Quote Count]]&amp;"]]"))),"")</f>
        <v/>
      </c>
      <c r="AH455" s="393" t="str">
        <f>IF(RawMaterials[[#This Row],[Material Type]]="Metal Precursor","D13",IF(RawMaterials[[#This Row],[Material Type]]="Ligand","D13","D12"))</f>
        <v>D12</v>
      </c>
      <c r="AI455" s="394" t="str">
        <f ca="1">IF(RawMaterials[[#This Row],[Lab Quote Count]]&gt;1,10^RawMaterials[[#This Row],[Lab Log-Log Intercept]]*INDIRECT(RawMaterials[[#This Row],[Basis Cell]])^RawMaterials[[#This Row],[Lab Log-Log Slope]],"&gt;&gt;&gt; Enter 2 or more lab quotes &lt;&lt;&lt;")</f>
        <v>&gt;&gt;&gt; Enter 2 or more lab quotes &lt;&lt;&lt;</v>
      </c>
      <c r="AJ45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9.0389527495799804</v>
      </c>
      <c r="AL455" s="396">
        <f>IF(ISTEXT(RawMaterials[[#This Row],[Unit price in quote year]]),"Check calcs",RawMaterials[[#This Row],[Unit price in quote year]]/VLOOKUP(RawMaterials[[#This Row],[Quote Year]],ChemPPI[],14,FALSE)*VLOOKUP(BasisYear,ChemPPI[],14,FALSE))</f>
        <v>12.267806297829335</v>
      </c>
      <c r="AM455" s="397" t="str">
        <f t="shared" si="6"/>
        <v>$/kg (2016)</v>
      </c>
    </row>
    <row r="456" spans="1:39">
      <c r="A456" s="259" t="s">
        <v>1543</v>
      </c>
      <c r="B456" s="260"/>
      <c r="C456" s="351"/>
      <c r="D456" s="351"/>
      <c r="E456" s="260">
        <v>100</v>
      </c>
      <c r="F456" s="260"/>
      <c r="G456" s="351"/>
      <c r="H456" s="351"/>
      <c r="I456" s="262"/>
      <c r="J456" s="351"/>
      <c r="K456" s="351"/>
      <c r="L456" s="351"/>
      <c r="M456" s="351"/>
      <c r="N456" s="351"/>
      <c r="O456" s="351"/>
      <c r="P456" s="261">
        <v>195</v>
      </c>
      <c r="Q456" s="260">
        <v>1</v>
      </c>
      <c r="R456" s="260" t="s">
        <v>401</v>
      </c>
      <c r="S456" s="260">
        <v>2006</v>
      </c>
      <c r="T456" s="260" t="s">
        <v>161</v>
      </c>
      <c r="U456" s="386">
        <v>42653</v>
      </c>
      <c r="V456" s="387"/>
      <c r="W456" s="354">
        <f>COUNT(RawMaterials[[#This Row],[Lab Quantity 1]:[Lab Quantity 4]])</f>
        <v>0</v>
      </c>
      <c r="X45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6" s="392" t="e">
        <f>RawMaterials[[#This Row],[Lab Price 1]]/RawMaterials[[#This Row],[Lab Q Model Units 1]]</f>
        <v>#N/A</v>
      </c>
      <c r="AC456" s="392" t="e">
        <f>RawMaterials[[#This Row],[Lab Price 2]]/RawMaterials[[#This Row],[Lab Q Model Units 2]]</f>
        <v>#N/A</v>
      </c>
      <c r="AD456" s="392" t="e">
        <f>RawMaterials[[#This Row],[Lab Price 3]]/RawMaterials[[#This Row],[Lab Q Model Units 3]]</f>
        <v>#N/A</v>
      </c>
      <c r="AE456" s="392" t="e">
        <f>RawMaterials[[#This Row],[Lab Price 4]]/RawMaterials[[#This Row],[Lab Q Model Units 4]]</f>
        <v>#N/A</v>
      </c>
      <c r="AF456" s="392" t="str">
        <f ca="1">IF(RawMaterials[[#This Row],[Lab Quote Count]]&gt;1,SLOPE(LOG(INDIRECT("RawMaterials[@[Lab Unit P 1]:[Lab Unit P "&amp;RawMaterials[[#This Row],[Lab Quote Count]]&amp;"]]")),LOG(INDIRECT("RawMaterials[@[Lab Q Model Units 1]:[Lab Q Model Units "&amp;RawMaterials[[#This Row],[Lab Quote Count]]&amp;"]]"))),"")</f>
        <v/>
      </c>
      <c r="AG456" s="392" t="str">
        <f ca="1">IF(RawMaterials[[#This Row],[Lab Quote Count]]&gt;1,INTERCEPT(LOG(INDIRECT("RawMaterials[@[Lab Unit P 1]:[Lab Unit P "&amp;RawMaterials[[#This Row],[Lab Quote Count]]&amp;"]]")),LOG(INDIRECT("RawMaterials[@[Lab Q Model Units 1]:[Lab Q Model Units "&amp;RawMaterials[[#This Row],[Lab Quote Count]]&amp;"]]"))),"")</f>
        <v/>
      </c>
      <c r="AH456" s="393" t="str">
        <f>IF(RawMaterials[[#This Row],[Material Type]]="Metal Precursor","D13",IF(RawMaterials[[#This Row],[Material Type]]="Ligand","D13","D12"))</f>
        <v>D12</v>
      </c>
      <c r="AI456" s="394" t="str">
        <f ca="1">IF(RawMaterials[[#This Row],[Lab Quote Count]]&gt;1,10^RawMaterials[[#This Row],[Lab Log-Log Intercept]]*INDIRECT(RawMaterials[[#This Row],[Basis Cell]])^RawMaterials[[#This Row],[Lab Log-Log Slope]],"&gt;&gt;&gt; Enter 2 or more lab quotes &lt;&lt;&lt;")</f>
        <v>&gt;&gt;&gt; Enter 2 or more lab quotes &lt;&lt;&lt;</v>
      </c>
      <c r="AJ45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5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0.21495070563025565</v>
      </c>
      <c r="AL456" s="396">
        <f>IF(ISTEXT(RawMaterials[[#This Row],[Unit price in quote year]]),"Check calcs",RawMaterials[[#This Row],[Unit price in quote year]]/VLOOKUP(RawMaterials[[#This Row],[Quote Year]],ChemPPI[],14,FALSE)*VLOOKUP(BasisYear,ChemPPI[],14,FALSE))</f>
        <v>0.29173441805813666</v>
      </c>
      <c r="AM456" s="397" t="str">
        <f t="shared" si="6"/>
        <v>$/kg (2016)</v>
      </c>
    </row>
    <row r="457" spans="1:39">
      <c r="A457" s="259" t="s">
        <v>1544</v>
      </c>
      <c r="B457" s="260"/>
      <c r="C457" s="351"/>
      <c r="D457" s="351"/>
      <c r="E457" s="260">
        <v>100</v>
      </c>
      <c r="F457" s="260"/>
      <c r="G457" s="351"/>
      <c r="H457" s="351"/>
      <c r="I457" s="262"/>
      <c r="J457" s="351"/>
      <c r="K457" s="351"/>
      <c r="L457" s="351"/>
      <c r="M457" s="351"/>
      <c r="N457" s="351"/>
      <c r="O457" s="351"/>
      <c r="P457" s="261">
        <v>1.94</v>
      </c>
      <c r="Q457" s="260">
        <v>1</v>
      </c>
      <c r="R457" s="260" t="s">
        <v>20</v>
      </c>
      <c r="S457" s="260">
        <v>2006</v>
      </c>
      <c r="T457" s="260" t="s">
        <v>161</v>
      </c>
      <c r="U457" s="386">
        <v>42653</v>
      </c>
      <c r="V457" s="387"/>
      <c r="W457" s="354">
        <f>COUNT(RawMaterials[[#This Row],[Lab Quantity 1]:[Lab Quantity 4]])</f>
        <v>0</v>
      </c>
      <c r="X45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7" s="392" t="e">
        <f>RawMaterials[[#This Row],[Lab Price 1]]/RawMaterials[[#This Row],[Lab Q Model Units 1]]</f>
        <v>#N/A</v>
      </c>
      <c r="AC457" s="392" t="e">
        <f>RawMaterials[[#This Row],[Lab Price 2]]/RawMaterials[[#This Row],[Lab Q Model Units 2]]</f>
        <v>#N/A</v>
      </c>
      <c r="AD457" s="392" t="e">
        <f>RawMaterials[[#This Row],[Lab Price 3]]/RawMaterials[[#This Row],[Lab Q Model Units 3]]</f>
        <v>#N/A</v>
      </c>
      <c r="AE457" s="392" t="e">
        <f>RawMaterials[[#This Row],[Lab Price 4]]/RawMaterials[[#This Row],[Lab Q Model Units 4]]</f>
        <v>#N/A</v>
      </c>
      <c r="AF457" s="392" t="str">
        <f ca="1">IF(RawMaterials[[#This Row],[Lab Quote Count]]&gt;1,SLOPE(LOG(INDIRECT("RawMaterials[@[Lab Unit P 1]:[Lab Unit P "&amp;RawMaterials[[#This Row],[Lab Quote Count]]&amp;"]]")),LOG(INDIRECT("RawMaterials[@[Lab Q Model Units 1]:[Lab Q Model Units "&amp;RawMaterials[[#This Row],[Lab Quote Count]]&amp;"]]"))),"")</f>
        <v/>
      </c>
      <c r="AG457" s="392" t="str">
        <f ca="1">IF(RawMaterials[[#This Row],[Lab Quote Count]]&gt;1,INTERCEPT(LOG(INDIRECT("RawMaterials[@[Lab Unit P 1]:[Lab Unit P "&amp;RawMaterials[[#This Row],[Lab Quote Count]]&amp;"]]")),LOG(INDIRECT("RawMaterials[@[Lab Q Model Units 1]:[Lab Q Model Units "&amp;RawMaterials[[#This Row],[Lab Quote Count]]&amp;"]]"))),"")</f>
        <v/>
      </c>
      <c r="AH457" s="393" t="str">
        <f>IF(RawMaterials[[#This Row],[Material Type]]="Metal Precursor","D13",IF(RawMaterials[[#This Row],[Material Type]]="Ligand","D13","D12"))</f>
        <v>D12</v>
      </c>
      <c r="AI457" s="394" t="str">
        <f ca="1">IF(RawMaterials[[#This Row],[Lab Quote Count]]&gt;1,10^RawMaterials[[#This Row],[Lab Log-Log Intercept]]*INDIRECT(RawMaterials[[#This Row],[Basis Cell]])^RawMaterials[[#This Row],[Lab Log-Log Slope]],"&gt;&gt;&gt; Enter 2 or more lab quotes &lt;&lt;&lt;")</f>
        <v>&gt;&gt;&gt; Enter 2 or more lab quotes &lt;&lt;&lt;</v>
      </c>
      <c r="AJ45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4.2769678863866245</v>
      </c>
      <c r="AL457" s="396">
        <f>IF(ISTEXT(RawMaterials[[#This Row],[Unit price in quote year]]),"Check calcs",RawMaterials[[#This Row],[Unit price in quote year]]/VLOOKUP(RawMaterials[[#This Row],[Quote Year]],ChemPPI[],14,FALSE)*VLOOKUP(BasisYear,ChemPPI[],14,FALSE))</f>
        <v>5.8047668823875389</v>
      </c>
      <c r="AM457" s="397" t="str">
        <f t="shared" si="6"/>
        <v>$/kg (2016)</v>
      </c>
    </row>
    <row r="458" spans="1:39">
      <c r="A458" s="259" t="s">
        <v>1545</v>
      </c>
      <c r="B458" s="260"/>
      <c r="C458" s="351"/>
      <c r="D458" s="351"/>
      <c r="E458" s="260">
        <v>100</v>
      </c>
      <c r="F458" s="260"/>
      <c r="G458" s="351"/>
      <c r="H458" s="351"/>
      <c r="I458" s="262"/>
      <c r="J458" s="351"/>
      <c r="K458" s="351"/>
      <c r="L458" s="351"/>
      <c r="M458" s="351"/>
      <c r="N458" s="351"/>
      <c r="O458" s="351"/>
      <c r="P458" s="261">
        <v>1.1499999999999999</v>
      </c>
      <c r="Q458" s="260">
        <v>1</v>
      </c>
      <c r="R458" s="260" t="s">
        <v>20</v>
      </c>
      <c r="S458" s="260">
        <v>2006</v>
      </c>
      <c r="T458" s="260" t="s">
        <v>161</v>
      </c>
      <c r="U458" s="386">
        <v>42653</v>
      </c>
      <c r="V458" s="387"/>
      <c r="W458" s="354">
        <f>COUNT(RawMaterials[[#This Row],[Lab Quantity 1]:[Lab Quantity 4]])</f>
        <v>0</v>
      </c>
      <c r="X45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8" s="392" t="e">
        <f>RawMaterials[[#This Row],[Lab Price 1]]/RawMaterials[[#This Row],[Lab Q Model Units 1]]</f>
        <v>#N/A</v>
      </c>
      <c r="AC458" s="392" t="e">
        <f>RawMaterials[[#This Row],[Lab Price 2]]/RawMaterials[[#This Row],[Lab Q Model Units 2]]</f>
        <v>#N/A</v>
      </c>
      <c r="AD458" s="392" t="e">
        <f>RawMaterials[[#This Row],[Lab Price 3]]/RawMaterials[[#This Row],[Lab Q Model Units 3]]</f>
        <v>#N/A</v>
      </c>
      <c r="AE458" s="392" t="e">
        <f>RawMaterials[[#This Row],[Lab Price 4]]/RawMaterials[[#This Row],[Lab Q Model Units 4]]</f>
        <v>#N/A</v>
      </c>
      <c r="AF458" s="392" t="str">
        <f ca="1">IF(RawMaterials[[#This Row],[Lab Quote Count]]&gt;1,SLOPE(LOG(INDIRECT("RawMaterials[@[Lab Unit P 1]:[Lab Unit P "&amp;RawMaterials[[#This Row],[Lab Quote Count]]&amp;"]]")),LOG(INDIRECT("RawMaterials[@[Lab Q Model Units 1]:[Lab Q Model Units "&amp;RawMaterials[[#This Row],[Lab Quote Count]]&amp;"]]"))),"")</f>
        <v/>
      </c>
      <c r="AG458" s="392" t="str">
        <f ca="1">IF(RawMaterials[[#This Row],[Lab Quote Count]]&gt;1,INTERCEPT(LOG(INDIRECT("RawMaterials[@[Lab Unit P 1]:[Lab Unit P "&amp;RawMaterials[[#This Row],[Lab Quote Count]]&amp;"]]")),LOG(INDIRECT("RawMaterials[@[Lab Q Model Units 1]:[Lab Q Model Units "&amp;RawMaterials[[#This Row],[Lab Quote Count]]&amp;"]]"))),"")</f>
        <v/>
      </c>
      <c r="AH458" s="393" t="str">
        <f>IF(RawMaterials[[#This Row],[Material Type]]="Metal Precursor","D13",IF(RawMaterials[[#This Row],[Material Type]]="Ligand","D13","D12"))</f>
        <v>D12</v>
      </c>
      <c r="AI458" s="394" t="str">
        <f ca="1">IF(RawMaterials[[#This Row],[Lab Quote Count]]&gt;1,10^RawMaterials[[#This Row],[Lab Log-Log Intercept]]*INDIRECT(RawMaterials[[#This Row],[Basis Cell]])^RawMaterials[[#This Row],[Lab Log-Log Slope]],"&gt;&gt;&gt; Enter 2 or more lab quotes &lt;&lt;&lt;")</f>
        <v>&gt;&gt;&gt; Enter 2 or more lab quotes &lt;&lt;&lt;</v>
      </c>
      <c r="AJ45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2.5353160151260918</v>
      </c>
      <c r="AL458" s="396">
        <f>IF(ISTEXT(RawMaterials[[#This Row],[Unit price in quote year]]),"Check calcs",RawMaterials[[#This Row],[Unit price in quote year]]/VLOOKUP(RawMaterials[[#This Row],[Quote Year]],ChemPPI[],14,FALSE)*VLOOKUP(BasisYear,ChemPPI[],14,FALSE))</f>
        <v>3.4409700591472521</v>
      </c>
      <c r="AM458" s="397" t="str">
        <f t="shared" si="6"/>
        <v>$/kg (2016)</v>
      </c>
    </row>
    <row r="459" spans="1:39">
      <c r="A459" s="259" t="s">
        <v>1546</v>
      </c>
      <c r="B459" s="260"/>
      <c r="C459" s="351"/>
      <c r="D459" s="351"/>
      <c r="E459" s="260">
        <v>100</v>
      </c>
      <c r="F459" s="260"/>
      <c r="G459" s="351"/>
      <c r="H459" s="351"/>
      <c r="I459" s="262"/>
      <c r="J459" s="351"/>
      <c r="K459" s="351"/>
      <c r="L459" s="351"/>
      <c r="M459" s="351"/>
      <c r="N459" s="351"/>
      <c r="O459" s="351"/>
      <c r="P459" s="261">
        <v>1.94</v>
      </c>
      <c r="Q459" s="260">
        <v>1</v>
      </c>
      <c r="R459" s="260" t="s">
        <v>20</v>
      </c>
      <c r="S459" s="260">
        <v>2006</v>
      </c>
      <c r="T459" s="260" t="s">
        <v>161</v>
      </c>
      <c r="U459" s="386">
        <v>42653</v>
      </c>
      <c r="V459" s="387"/>
      <c r="W459" s="354">
        <f>COUNT(RawMaterials[[#This Row],[Lab Quantity 1]:[Lab Quantity 4]])</f>
        <v>0</v>
      </c>
      <c r="X45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9" s="392" t="e">
        <f>RawMaterials[[#This Row],[Lab Price 1]]/RawMaterials[[#This Row],[Lab Q Model Units 1]]</f>
        <v>#N/A</v>
      </c>
      <c r="AC459" s="392" t="e">
        <f>RawMaterials[[#This Row],[Lab Price 2]]/RawMaterials[[#This Row],[Lab Q Model Units 2]]</f>
        <v>#N/A</v>
      </c>
      <c r="AD459" s="392" t="e">
        <f>RawMaterials[[#This Row],[Lab Price 3]]/RawMaterials[[#This Row],[Lab Q Model Units 3]]</f>
        <v>#N/A</v>
      </c>
      <c r="AE459" s="392" t="e">
        <f>RawMaterials[[#This Row],[Lab Price 4]]/RawMaterials[[#This Row],[Lab Q Model Units 4]]</f>
        <v>#N/A</v>
      </c>
      <c r="AF459" s="392" t="str">
        <f ca="1">IF(RawMaterials[[#This Row],[Lab Quote Count]]&gt;1,SLOPE(LOG(INDIRECT("RawMaterials[@[Lab Unit P 1]:[Lab Unit P "&amp;RawMaterials[[#This Row],[Lab Quote Count]]&amp;"]]")),LOG(INDIRECT("RawMaterials[@[Lab Q Model Units 1]:[Lab Q Model Units "&amp;RawMaterials[[#This Row],[Lab Quote Count]]&amp;"]]"))),"")</f>
        <v/>
      </c>
      <c r="AG459" s="392" t="str">
        <f ca="1">IF(RawMaterials[[#This Row],[Lab Quote Count]]&gt;1,INTERCEPT(LOG(INDIRECT("RawMaterials[@[Lab Unit P 1]:[Lab Unit P "&amp;RawMaterials[[#This Row],[Lab Quote Count]]&amp;"]]")),LOG(INDIRECT("RawMaterials[@[Lab Q Model Units 1]:[Lab Q Model Units "&amp;RawMaterials[[#This Row],[Lab Quote Count]]&amp;"]]"))),"")</f>
        <v/>
      </c>
      <c r="AH459" s="393" t="str">
        <f>IF(RawMaterials[[#This Row],[Material Type]]="Metal Precursor","D13",IF(RawMaterials[[#This Row],[Material Type]]="Ligand","D13","D12"))</f>
        <v>D12</v>
      </c>
      <c r="AI459" s="394" t="str">
        <f ca="1">IF(RawMaterials[[#This Row],[Lab Quote Count]]&gt;1,10^RawMaterials[[#This Row],[Lab Log-Log Intercept]]*INDIRECT(RawMaterials[[#This Row],[Basis Cell]])^RawMaterials[[#This Row],[Lab Log-Log Slope]],"&gt;&gt;&gt; Enter 2 or more lab quotes &lt;&lt;&lt;")</f>
        <v>&gt;&gt;&gt; Enter 2 or more lab quotes &lt;&lt;&lt;</v>
      </c>
      <c r="AJ45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4.2769678863866245</v>
      </c>
      <c r="AL459" s="396">
        <f>IF(ISTEXT(RawMaterials[[#This Row],[Unit price in quote year]]),"Check calcs",RawMaterials[[#This Row],[Unit price in quote year]]/VLOOKUP(RawMaterials[[#This Row],[Quote Year]],ChemPPI[],14,FALSE)*VLOOKUP(BasisYear,ChemPPI[],14,FALSE))</f>
        <v>5.8047668823875389</v>
      </c>
      <c r="AM459" s="397" t="str">
        <f t="shared" si="6"/>
        <v>$/kg (2016)</v>
      </c>
    </row>
    <row r="460" spans="1:39">
      <c r="A460" s="259" t="s">
        <v>1547</v>
      </c>
      <c r="B460" s="260"/>
      <c r="C460" s="351"/>
      <c r="D460" s="351"/>
      <c r="E460" s="260">
        <v>100</v>
      </c>
      <c r="F460" s="260"/>
      <c r="G460" s="351"/>
      <c r="H460" s="351"/>
      <c r="I460" s="262"/>
      <c r="J460" s="351"/>
      <c r="K460" s="351"/>
      <c r="L460" s="351"/>
      <c r="M460" s="351"/>
      <c r="N460" s="351"/>
      <c r="O460" s="351"/>
      <c r="P460" s="261">
        <v>2</v>
      </c>
      <c r="Q460" s="260">
        <v>1</v>
      </c>
      <c r="R460" s="260" t="s">
        <v>71</v>
      </c>
      <c r="S460" s="260">
        <v>2006</v>
      </c>
      <c r="T460" s="260" t="s">
        <v>161</v>
      </c>
      <c r="U460" s="386">
        <v>42653</v>
      </c>
      <c r="V460" s="387"/>
      <c r="W460" s="354">
        <f>COUNT(RawMaterials[[#This Row],[Lab Quantity 1]:[Lab Quantity 4]])</f>
        <v>0</v>
      </c>
      <c r="X46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0" s="392" t="e">
        <f>RawMaterials[[#This Row],[Lab Price 1]]/RawMaterials[[#This Row],[Lab Q Model Units 1]]</f>
        <v>#N/A</v>
      </c>
      <c r="AC460" s="392" t="e">
        <f>RawMaterials[[#This Row],[Lab Price 2]]/RawMaterials[[#This Row],[Lab Q Model Units 2]]</f>
        <v>#N/A</v>
      </c>
      <c r="AD460" s="392" t="e">
        <f>RawMaterials[[#This Row],[Lab Price 3]]/RawMaterials[[#This Row],[Lab Q Model Units 3]]</f>
        <v>#N/A</v>
      </c>
      <c r="AE460" s="392" t="e">
        <f>RawMaterials[[#This Row],[Lab Price 4]]/RawMaterials[[#This Row],[Lab Q Model Units 4]]</f>
        <v>#N/A</v>
      </c>
      <c r="AF460" s="392" t="str">
        <f ca="1">IF(RawMaterials[[#This Row],[Lab Quote Count]]&gt;1,SLOPE(LOG(INDIRECT("RawMaterials[@[Lab Unit P 1]:[Lab Unit P "&amp;RawMaterials[[#This Row],[Lab Quote Count]]&amp;"]]")),LOG(INDIRECT("RawMaterials[@[Lab Q Model Units 1]:[Lab Q Model Units "&amp;RawMaterials[[#This Row],[Lab Quote Count]]&amp;"]]"))),"")</f>
        <v/>
      </c>
      <c r="AG460" s="392" t="str">
        <f ca="1">IF(RawMaterials[[#This Row],[Lab Quote Count]]&gt;1,INTERCEPT(LOG(INDIRECT("RawMaterials[@[Lab Unit P 1]:[Lab Unit P "&amp;RawMaterials[[#This Row],[Lab Quote Count]]&amp;"]]")),LOG(INDIRECT("RawMaterials[@[Lab Q Model Units 1]:[Lab Q Model Units "&amp;RawMaterials[[#This Row],[Lab Quote Count]]&amp;"]]"))),"")</f>
        <v/>
      </c>
      <c r="AH460" s="393" t="str">
        <f>IF(RawMaterials[[#This Row],[Material Type]]="Metal Precursor","D13",IF(RawMaterials[[#This Row],[Material Type]]="Ligand","D13","D12"))</f>
        <v>D12</v>
      </c>
      <c r="AI460" s="394" t="str">
        <f ca="1">IF(RawMaterials[[#This Row],[Lab Quote Count]]&gt;1,10^RawMaterials[[#This Row],[Lab Log-Log Intercept]]*INDIRECT(RawMaterials[[#This Row],[Basis Cell]])^RawMaterials[[#This Row],[Lab Log-Log Slope]],"&gt;&gt;&gt; Enter 2 or more lab quotes &lt;&lt;&lt;")</f>
        <v>&gt;&gt;&gt; Enter 2 or more lab quotes &lt;&lt;&lt;</v>
      </c>
      <c r="AJ46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v>
      </c>
      <c r="AL460" s="396">
        <f>IF(ISTEXT(RawMaterials[[#This Row],[Unit price in quote year]]),"Check calcs",RawMaterials[[#This Row],[Unit price in quote year]]/VLOOKUP(RawMaterials[[#This Row],[Quote Year]],ChemPPI[],14,FALSE)*VLOOKUP(BasisYear,ChemPPI[],14,FALSE))</f>
        <v>2.7144308943089439</v>
      </c>
      <c r="AM460" s="397" t="str">
        <f t="shared" si="6"/>
        <v>$/kg (2016)</v>
      </c>
    </row>
    <row r="461" spans="1:39">
      <c r="A461" s="259" t="s">
        <v>1548</v>
      </c>
      <c r="B461" s="260"/>
      <c r="C461" s="351"/>
      <c r="D461" s="351"/>
      <c r="E461" s="260">
        <v>100</v>
      </c>
      <c r="F461" s="260"/>
      <c r="G461" s="351"/>
      <c r="H461" s="351"/>
      <c r="I461" s="262"/>
      <c r="J461" s="351"/>
      <c r="K461" s="351"/>
      <c r="L461" s="351"/>
      <c r="M461" s="351"/>
      <c r="N461" s="351"/>
      <c r="O461" s="351"/>
      <c r="P461" s="261">
        <v>87</v>
      </c>
      <c r="Q461" s="260">
        <v>1</v>
      </c>
      <c r="R461" s="260" t="s">
        <v>401</v>
      </c>
      <c r="S461" s="260">
        <v>2006</v>
      </c>
      <c r="T461" s="260" t="s">
        <v>161</v>
      </c>
      <c r="U461" s="386">
        <v>42653</v>
      </c>
      <c r="V461" s="387"/>
      <c r="W461" s="354">
        <f>COUNT(RawMaterials[[#This Row],[Lab Quantity 1]:[Lab Quantity 4]])</f>
        <v>0</v>
      </c>
      <c r="X46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1" s="392" t="e">
        <f>RawMaterials[[#This Row],[Lab Price 1]]/RawMaterials[[#This Row],[Lab Q Model Units 1]]</f>
        <v>#N/A</v>
      </c>
      <c r="AC461" s="392" t="e">
        <f>RawMaterials[[#This Row],[Lab Price 2]]/RawMaterials[[#This Row],[Lab Q Model Units 2]]</f>
        <v>#N/A</v>
      </c>
      <c r="AD461" s="392" t="e">
        <f>RawMaterials[[#This Row],[Lab Price 3]]/RawMaterials[[#This Row],[Lab Q Model Units 3]]</f>
        <v>#N/A</v>
      </c>
      <c r="AE461" s="392" t="e">
        <f>RawMaterials[[#This Row],[Lab Price 4]]/RawMaterials[[#This Row],[Lab Q Model Units 4]]</f>
        <v>#N/A</v>
      </c>
      <c r="AF461" s="392" t="str">
        <f ca="1">IF(RawMaterials[[#This Row],[Lab Quote Count]]&gt;1,SLOPE(LOG(INDIRECT("RawMaterials[@[Lab Unit P 1]:[Lab Unit P "&amp;RawMaterials[[#This Row],[Lab Quote Count]]&amp;"]]")),LOG(INDIRECT("RawMaterials[@[Lab Q Model Units 1]:[Lab Q Model Units "&amp;RawMaterials[[#This Row],[Lab Quote Count]]&amp;"]]"))),"")</f>
        <v/>
      </c>
      <c r="AG461" s="392" t="str">
        <f ca="1">IF(RawMaterials[[#This Row],[Lab Quote Count]]&gt;1,INTERCEPT(LOG(INDIRECT("RawMaterials[@[Lab Unit P 1]:[Lab Unit P "&amp;RawMaterials[[#This Row],[Lab Quote Count]]&amp;"]]")),LOG(INDIRECT("RawMaterials[@[Lab Q Model Units 1]:[Lab Q Model Units "&amp;RawMaterials[[#This Row],[Lab Quote Count]]&amp;"]]"))),"")</f>
        <v/>
      </c>
      <c r="AH461" s="393" t="str">
        <f>IF(RawMaterials[[#This Row],[Material Type]]="Metal Precursor","D13",IF(RawMaterials[[#This Row],[Material Type]]="Ligand","D13","D12"))</f>
        <v>D12</v>
      </c>
      <c r="AI461" s="394" t="str">
        <f ca="1">IF(RawMaterials[[#This Row],[Lab Quote Count]]&gt;1,10^RawMaterials[[#This Row],[Lab Log-Log Intercept]]*INDIRECT(RawMaterials[[#This Row],[Basis Cell]])^RawMaterials[[#This Row],[Lab Log-Log Slope]],"&gt;&gt;&gt; Enter 2 or more lab quotes &lt;&lt;&lt;")</f>
        <v>&gt;&gt;&gt; Enter 2 or more lab quotes &lt;&lt;&lt;</v>
      </c>
      <c r="AJ46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6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9.5901084050421748E-2</v>
      </c>
      <c r="AL461" s="396">
        <f>IF(ISTEXT(RawMaterials[[#This Row],[Unit price in quote year]]),"Check calcs",RawMaterials[[#This Row],[Unit price in quote year]]/VLOOKUP(RawMaterials[[#This Row],[Quote Year]],ChemPPI[],14,FALSE)*VLOOKUP(BasisYear,ChemPPI[],14,FALSE))</f>
        <v>0.13015843267209173</v>
      </c>
      <c r="AM461" s="397" t="str">
        <f t="shared" si="6"/>
        <v>$/kg (2016)</v>
      </c>
    </row>
    <row r="462" spans="1:39">
      <c r="A462" s="259" t="s">
        <v>1549</v>
      </c>
      <c r="B462" s="260"/>
      <c r="C462" s="351"/>
      <c r="D462" s="351"/>
      <c r="E462" s="260">
        <v>100</v>
      </c>
      <c r="F462" s="260"/>
      <c r="G462" s="351"/>
      <c r="H462" s="351"/>
      <c r="I462" s="262"/>
      <c r="J462" s="351"/>
      <c r="K462" s="351"/>
      <c r="L462" s="351"/>
      <c r="M462" s="351"/>
      <c r="N462" s="351"/>
      <c r="O462" s="351"/>
      <c r="P462" s="261">
        <v>0.55000000000000004</v>
      </c>
      <c r="Q462" s="260">
        <v>1</v>
      </c>
      <c r="R462" s="260" t="s">
        <v>20</v>
      </c>
      <c r="S462" s="260">
        <v>2006</v>
      </c>
      <c r="T462" s="260" t="s">
        <v>161</v>
      </c>
      <c r="U462" s="386">
        <v>42653</v>
      </c>
      <c r="V462" s="387"/>
      <c r="W462" s="354">
        <f>COUNT(RawMaterials[[#This Row],[Lab Quantity 1]:[Lab Quantity 4]])</f>
        <v>0</v>
      </c>
      <c r="X46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2" s="392" t="e">
        <f>RawMaterials[[#This Row],[Lab Price 1]]/RawMaterials[[#This Row],[Lab Q Model Units 1]]</f>
        <v>#N/A</v>
      </c>
      <c r="AC462" s="392" t="e">
        <f>RawMaterials[[#This Row],[Lab Price 2]]/RawMaterials[[#This Row],[Lab Q Model Units 2]]</f>
        <v>#N/A</v>
      </c>
      <c r="AD462" s="392" t="e">
        <f>RawMaterials[[#This Row],[Lab Price 3]]/RawMaterials[[#This Row],[Lab Q Model Units 3]]</f>
        <v>#N/A</v>
      </c>
      <c r="AE462" s="392" t="e">
        <f>RawMaterials[[#This Row],[Lab Price 4]]/RawMaterials[[#This Row],[Lab Q Model Units 4]]</f>
        <v>#N/A</v>
      </c>
      <c r="AF462" s="392" t="str">
        <f ca="1">IF(RawMaterials[[#This Row],[Lab Quote Count]]&gt;1,SLOPE(LOG(INDIRECT("RawMaterials[@[Lab Unit P 1]:[Lab Unit P "&amp;RawMaterials[[#This Row],[Lab Quote Count]]&amp;"]]")),LOG(INDIRECT("RawMaterials[@[Lab Q Model Units 1]:[Lab Q Model Units "&amp;RawMaterials[[#This Row],[Lab Quote Count]]&amp;"]]"))),"")</f>
        <v/>
      </c>
      <c r="AG462" s="392" t="str">
        <f ca="1">IF(RawMaterials[[#This Row],[Lab Quote Count]]&gt;1,INTERCEPT(LOG(INDIRECT("RawMaterials[@[Lab Unit P 1]:[Lab Unit P "&amp;RawMaterials[[#This Row],[Lab Quote Count]]&amp;"]]")),LOG(INDIRECT("RawMaterials[@[Lab Q Model Units 1]:[Lab Q Model Units "&amp;RawMaterials[[#This Row],[Lab Quote Count]]&amp;"]]"))),"")</f>
        <v/>
      </c>
      <c r="AH462" s="393" t="str">
        <f>IF(RawMaterials[[#This Row],[Material Type]]="Metal Precursor","D13",IF(RawMaterials[[#This Row],[Material Type]]="Ligand","D13","D12"))</f>
        <v>D12</v>
      </c>
      <c r="AI462" s="394" t="str">
        <f ca="1">IF(RawMaterials[[#This Row],[Lab Quote Count]]&gt;1,10^RawMaterials[[#This Row],[Lab Log-Log Intercept]]*INDIRECT(RawMaterials[[#This Row],[Basis Cell]])^RawMaterials[[#This Row],[Lab Log-Log Slope]],"&gt;&gt;&gt; Enter 2 or more lab quotes &lt;&lt;&lt;")</f>
        <v>&gt;&gt;&gt; Enter 2 or more lab quotes &lt;&lt;&lt;</v>
      </c>
      <c r="AJ46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1.2125424420168267</v>
      </c>
      <c r="AL462" s="396">
        <f>IF(ISTEXT(RawMaterials[[#This Row],[Unit price in quote year]]),"Check calcs",RawMaterials[[#This Row],[Unit price in quote year]]/VLOOKUP(RawMaterials[[#This Row],[Quote Year]],ChemPPI[],14,FALSE)*VLOOKUP(BasisYear,ChemPPI[],14,FALSE))</f>
        <v>1.6456813326356425</v>
      </c>
      <c r="AM462" s="397" t="str">
        <f t="shared" si="6"/>
        <v>$/kg (2016)</v>
      </c>
    </row>
    <row r="463" spans="1:39">
      <c r="A463" s="259" t="s">
        <v>1550</v>
      </c>
      <c r="B463" s="260"/>
      <c r="C463" s="351"/>
      <c r="D463" s="351"/>
      <c r="E463" s="260">
        <v>100</v>
      </c>
      <c r="F463" s="260"/>
      <c r="G463" s="351"/>
      <c r="H463" s="351"/>
      <c r="I463" s="262"/>
      <c r="J463" s="351"/>
      <c r="K463" s="351"/>
      <c r="L463" s="351"/>
      <c r="M463" s="351"/>
      <c r="N463" s="351"/>
      <c r="O463" s="351"/>
      <c r="P463" s="261">
        <v>0.60499999999999998</v>
      </c>
      <c r="Q463" s="260">
        <v>1</v>
      </c>
      <c r="R463" s="260" t="s">
        <v>20</v>
      </c>
      <c r="S463" s="260">
        <v>2006</v>
      </c>
      <c r="T463" s="260" t="s">
        <v>161</v>
      </c>
      <c r="U463" s="386">
        <v>42653</v>
      </c>
      <c r="V463" s="387"/>
      <c r="W463" s="354">
        <f>COUNT(RawMaterials[[#This Row],[Lab Quantity 1]:[Lab Quantity 4]])</f>
        <v>0</v>
      </c>
      <c r="X46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3" s="392" t="e">
        <f>RawMaterials[[#This Row],[Lab Price 1]]/RawMaterials[[#This Row],[Lab Q Model Units 1]]</f>
        <v>#N/A</v>
      </c>
      <c r="AC463" s="392" t="e">
        <f>RawMaterials[[#This Row],[Lab Price 2]]/RawMaterials[[#This Row],[Lab Q Model Units 2]]</f>
        <v>#N/A</v>
      </c>
      <c r="AD463" s="392" t="e">
        <f>RawMaterials[[#This Row],[Lab Price 3]]/RawMaterials[[#This Row],[Lab Q Model Units 3]]</f>
        <v>#N/A</v>
      </c>
      <c r="AE463" s="392" t="e">
        <f>RawMaterials[[#This Row],[Lab Price 4]]/RawMaterials[[#This Row],[Lab Q Model Units 4]]</f>
        <v>#N/A</v>
      </c>
      <c r="AF463" s="392" t="str">
        <f ca="1">IF(RawMaterials[[#This Row],[Lab Quote Count]]&gt;1,SLOPE(LOG(INDIRECT("RawMaterials[@[Lab Unit P 1]:[Lab Unit P "&amp;RawMaterials[[#This Row],[Lab Quote Count]]&amp;"]]")),LOG(INDIRECT("RawMaterials[@[Lab Q Model Units 1]:[Lab Q Model Units "&amp;RawMaterials[[#This Row],[Lab Quote Count]]&amp;"]]"))),"")</f>
        <v/>
      </c>
      <c r="AG463" s="392" t="str">
        <f ca="1">IF(RawMaterials[[#This Row],[Lab Quote Count]]&gt;1,INTERCEPT(LOG(INDIRECT("RawMaterials[@[Lab Unit P 1]:[Lab Unit P "&amp;RawMaterials[[#This Row],[Lab Quote Count]]&amp;"]]")),LOG(INDIRECT("RawMaterials[@[Lab Q Model Units 1]:[Lab Q Model Units "&amp;RawMaterials[[#This Row],[Lab Quote Count]]&amp;"]]"))),"")</f>
        <v/>
      </c>
      <c r="AH463" s="393" t="str">
        <f>IF(RawMaterials[[#This Row],[Material Type]]="Metal Precursor","D13",IF(RawMaterials[[#This Row],[Material Type]]="Ligand","D13","D12"))</f>
        <v>D12</v>
      </c>
      <c r="AI463" s="394" t="str">
        <f ca="1">IF(RawMaterials[[#This Row],[Lab Quote Count]]&gt;1,10^RawMaterials[[#This Row],[Lab Log-Log Intercept]]*INDIRECT(RawMaterials[[#This Row],[Basis Cell]])^RawMaterials[[#This Row],[Lab Log-Log Slope]],"&gt;&gt;&gt; Enter 2 or more lab quotes &lt;&lt;&lt;")</f>
        <v>&gt;&gt;&gt; Enter 2 or more lab quotes &lt;&lt;&lt;</v>
      </c>
      <c r="AJ46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1.3337966862185093</v>
      </c>
      <c r="AL463" s="396">
        <f>IF(ISTEXT(RawMaterials[[#This Row],[Unit price in quote year]]),"Check calcs",RawMaterials[[#This Row],[Unit price in quote year]]/VLOOKUP(RawMaterials[[#This Row],[Quote Year]],ChemPPI[],14,FALSE)*VLOOKUP(BasisYear,ChemPPI[],14,FALSE))</f>
        <v>1.810249465899207</v>
      </c>
      <c r="AM463" s="397" t="str">
        <f t="shared" si="6"/>
        <v>$/kg (2016)</v>
      </c>
    </row>
    <row r="464" spans="1:39">
      <c r="A464" s="259" t="s">
        <v>1551</v>
      </c>
      <c r="B464" s="260"/>
      <c r="C464" s="351"/>
      <c r="D464" s="351"/>
      <c r="E464" s="260">
        <v>100</v>
      </c>
      <c r="F464" s="260"/>
      <c r="G464" s="351"/>
      <c r="H464" s="351"/>
      <c r="I464" s="262"/>
      <c r="J464" s="351"/>
      <c r="K464" s="351"/>
      <c r="L464" s="351"/>
      <c r="M464" s="351"/>
      <c r="N464" s="351"/>
      <c r="O464" s="351"/>
      <c r="P464" s="261">
        <v>1.01</v>
      </c>
      <c r="Q464" s="260">
        <v>1</v>
      </c>
      <c r="R464" s="260" t="s">
        <v>20</v>
      </c>
      <c r="S464" s="260">
        <v>2008</v>
      </c>
      <c r="T464" s="260" t="s">
        <v>161</v>
      </c>
      <c r="U464" s="386">
        <v>42653</v>
      </c>
      <c r="V464" s="387"/>
      <c r="W464" s="354">
        <f>COUNT(RawMaterials[[#This Row],[Lab Quantity 1]:[Lab Quantity 4]])</f>
        <v>0</v>
      </c>
      <c r="X46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4" s="392" t="e">
        <f>RawMaterials[[#This Row],[Lab Price 1]]/RawMaterials[[#This Row],[Lab Q Model Units 1]]</f>
        <v>#N/A</v>
      </c>
      <c r="AC464" s="392" t="e">
        <f>RawMaterials[[#This Row],[Lab Price 2]]/RawMaterials[[#This Row],[Lab Q Model Units 2]]</f>
        <v>#N/A</v>
      </c>
      <c r="AD464" s="392" t="e">
        <f>RawMaterials[[#This Row],[Lab Price 3]]/RawMaterials[[#This Row],[Lab Q Model Units 3]]</f>
        <v>#N/A</v>
      </c>
      <c r="AE464" s="392" t="e">
        <f>RawMaterials[[#This Row],[Lab Price 4]]/RawMaterials[[#This Row],[Lab Q Model Units 4]]</f>
        <v>#N/A</v>
      </c>
      <c r="AF464" s="392" t="str">
        <f ca="1">IF(RawMaterials[[#This Row],[Lab Quote Count]]&gt;1,SLOPE(LOG(INDIRECT("RawMaterials[@[Lab Unit P 1]:[Lab Unit P "&amp;RawMaterials[[#This Row],[Lab Quote Count]]&amp;"]]")),LOG(INDIRECT("RawMaterials[@[Lab Q Model Units 1]:[Lab Q Model Units "&amp;RawMaterials[[#This Row],[Lab Quote Count]]&amp;"]]"))),"")</f>
        <v/>
      </c>
      <c r="AG464" s="392" t="str">
        <f ca="1">IF(RawMaterials[[#This Row],[Lab Quote Count]]&gt;1,INTERCEPT(LOG(INDIRECT("RawMaterials[@[Lab Unit P 1]:[Lab Unit P "&amp;RawMaterials[[#This Row],[Lab Quote Count]]&amp;"]]")),LOG(INDIRECT("RawMaterials[@[Lab Q Model Units 1]:[Lab Q Model Units "&amp;RawMaterials[[#This Row],[Lab Quote Count]]&amp;"]]"))),"")</f>
        <v/>
      </c>
      <c r="AH464" s="393" t="str">
        <f>IF(RawMaterials[[#This Row],[Material Type]]="Metal Precursor","D13",IF(RawMaterials[[#This Row],[Material Type]]="Ligand","D13","D12"))</f>
        <v>D12</v>
      </c>
      <c r="AI464" s="394" t="str">
        <f ca="1">IF(RawMaterials[[#This Row],[Lab Quote Count]]&gt;1,10^RawMaterials[[#This Row],[Lab Log-Log Intercept]]*INDIRECT(RawMaterials[[#This Row],[Basis Cell]])^RawMaterials[[#This Row],[Lab Log-Log Slope]],"&gt;&gt;&gt; Enter 2 or more lab quotes &lt;&lt;&lt;")</f>
        <v>&gt;&gt;&gt; Enter 2 or more lab quotes &lt;&lt;&lt;</v>
      </c>
      <c r="AJ46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2.2266688480672636</v>
      </c>
      <c r="AL464" s="396">
        <f>IF(ISTEXT(RawMaterials[[#This Row],[Unit price in quote year]]),"Check calcs",RawMaterials[[#This Row],[Unit price in quote year]]/VLOOKUP(RawMaterials[[#This Row],[Quote Year]],ChemPPI[],14,FALSE)*VLOOKUP(BasisYear,ChemPPI[],14,FALSE))</f>
        <v>2.6061416804181832</v>
      </c>
      <c r="AM464" s="397" t="str">
        <f t="shared" ref="AM464:AM527" si="7">CurrencySymbol&amp;"/"&amp;OutMassUnit&amp;" ("&amp;BasisYear&amp;")"</f>
        <v>$/kg (2016)</v>
      </c>
    </row>
    <row r="465" spans="1:39">
      <c r="A465" s="259" t="s">
        <v>1552</v>
      </c>
      <c r="B465" s="260"/>
      <c r="C465" s="351"/>
      <c r="D465" s="351"/>
      <c r="E465" s="260">
        <v>100</v>
      </c>
      <c r="F465" s="260"/>
      <c r="G465" s="351"/>
      <c r="H465" s="351"/>
      <c r="I465" s="262"/>
      <c r="J465" s="351"/>
      <c r="K465" s="351"/>
      <c r="L465" s="351"/>
      <c r="M465" s="351"/>
      <c r="N465" s="351"/>
      <c r="O465" s="351"/>
      <c r="P465" s="261">
        <v>0.47499999999999998</v>
      </c>
      <c r="Q465" s="260">
        <v>1</v>
      </c>
      <c r="R465" s="260" t="s">
        <v>20</v>
      </c>
      <c r="S465" s="260">
        <v>2008</v>
      </c>
      <c r="T465" s="260" t="s">
        <v>161</v>
      </c>
      <c r="U465" s="386">
        <v>42653</v>
      </c>
      <c r="V465" s="387"/>
      <c r="W465" s="354">
        <f>COUNT(RawMaterials[[#This Row],[Lab Quantity 1]:[Lab Quantity 4]])</f>
        <v>0</v>
      </c>
      <c r="X46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5" s="392" t="e">
        <f>RawMaterials[[#This Row],[Lab Price 1]]/RawMaterials[[#This Row],[Lab Q Model Units 1]]</f>
        <v>#N/A</v>
      </c>
      <c r="AC465" s="392" t="e">
        <f>RawMaterials[[#This Row],[Lab Price 2]]/RawMaterials[[#This Row],[Lab Q Model Units 2]]</f>
        <v>#N/A</v>
      </c>
      <c r="AD465" s="392" t="e">
        <f>RawMaterials[[#This Row],[Lab Price 3]]/RawMaterials[[#This Row],[Lab Q Model Units 3]]</f>
        <v>#N/A</v>
      </c>
      <c r="AE465" s="392" t="e">
        <f>RawMaterials[[#This Row],[Lab Price 4]]/RawMaterials[[#This Row],[Lab Q Model Units 4]]</f>
        <v>#N/A</v>
      </c>
      <c r="AF465" s="392" t="str">
        <f ca="1">IF(RawMaterials[[#This Row],[Lab Quote Count]]&gt;1,SLOPE(LOG(INDIRECT("RawMaterials[@[Lab Unit P 1]:[Lab Unit P "&amp;RawMaterials[[#This Row],[Lab Quote Count]]&amp;"]]")),LOG(INDIRECT("RawMaterials[@[Lab Q Model Units 1]:[Lab Q Model Units "&amp;RawMaterials[[#This Row],[Lab Quote Count]]&amp;"]]"))),"")</f>
        <v/>
      </c>
      <c r="AG465" s="392" t="str">
        <f ca="1">IF(RawMaterials[[#This Row],[Lab Quote Count]]&gt;1,INTERCEPT(LOG(INDIRECT("RawMaterials[@[Lab Unit P 1]:[Lab Unit P "&amp;RawMaterials[[#This Row],[Lab Quote Count]]&amp;"]]")),LOG(INDIRECT("RawMaterials[@[Lab Q Model Units 1]:[Lab Q Model Units "&amp;RawMaterials[[#This Row],[Lab Quote Count]]&amp;"]]"))),"")</f>
        <v/>
      </c>
      <c r="AH465" s="393" t="str">
        <f>IF(RawMaterials[[#This Row],[Material Type]]="Metal Precursor","D13",IF(RawMaterials[[#This Row],[Material Type]]="Ligand","D13","D12"))</f>
        <v>D12</v>
      </c>
      <c r="AI465" s="394" t="str">
        <f ca="1">IF(RawMaterials[[#This Row],[Lab Quote Count]]&gt;1,10^RawMaterials[[#This Row],[Lab Log-Log Intercept]]*INDIRECT(RawMaterials[[#This Row],[Basis Cell]])^RawMaterials[[#This Row],[Lab Log-Log Slope]],"&gt;&gt;&gt; Enter 2 or more lab quotes &lt;&lt;&lt;")</f>
        <v>&gt;&gt;&gt; Enter 2 or more lab quotes &lt;&lt;&lt;</v>
      </c>
      <c r="AJ46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1.0471957453781684</v>
      </c>
      <c r="AL465" s="396">
        <f>IF(ISTEXT(RawMaterials[[#This Row],[Unit price in quote year]]),"Check calcs",RawMaterials[[#This Row],[Unit price in quote year]]/VLOOKUP(RawMaterials[[#This Row],[Quote Year]],ChemPPI[],14,FALSE)*VLOOKUP(BasisYear,ChemPPI[],14,FALSE))</f>
        <v>1.225660691285779</v>
      </c>
      <c r="AM465" s="397" t="str">
        <f t="shared" si="7"/>
        <v>$/kg (2016)</v>
      </c>
    </row>
    <row r="466" spans="1:39">
      <c r="A466" s="259" t="s">
        <v>1553</v>
      </c>
      <c r="B466" s="260"/>
      <c r="C466" s="351"/>
      <c r="D466" s="351"/>
      <c r="E466" s="260">
        <v>100</v>
      </c>
      <c r="F466" s="260"/>
      <c r="G466" s="351"/>
      <c r="H466" s="351"/>
      <c r="I466" s="262"/>
      <c r="J466" s="351"/>
      <c r="K466" s="351"/>
      <c r="L466" s="351"/>
      <c r="M466" s="351"/>
      <c r="N466" s="351"/>
      <c r="O466" s="351"/>
      <c r="P466" s="261">
        <v>0.51</v>
      </c>
      <c r="Q466" s="260">
        <v>1</v>
      </c>
      <c r="R466" s="260" t="s">
        <v>20</v>
      </c>
      <c r="S466" s="260">
        <v>2008</v>
      </c>
      <c r="T466" s="260" t="s">
        <v>161</v>
      </c>
      <c r="U466" s="386">
        <v>42653</v>
      </c>
      <c r="V466" s="387"/>
      <c r="W466" s="354">
        <f>COUNT(RawMaterials[[#This Row],[Lab Quantity 1]:[Lab Quantity 4]])</f>
        <v>0</v>
      </c>
      <c r="X46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6" s="392" t="e">
        <f>RawMaterials[[#This Row],[Lab Price 1]]/RawMaterials[[#This Row],[Lab Q Model Units 1]]</f>
        <v>#N/A</v>
      </c>
      <c r="AC466" s="392" t="e">
        <f>RawMaterials[[#This Row],[Lab Price 2]]/RawMaterials[[#This Row],[Lab Q Model Units 2]]</f>
        <v>#N/A</v>
      </c>
      <c r="AD466" s="392" t="e">
        <f>RawMaterials[[#This Row],[Lab Price 3]]/RawMaterials[[#This Row],[Lab Q Model Units 3]]</f>
        <v>#N/A</v>
      </c>
      <c r="AE466" s="392" t="e">
        <f>RawMaterials[[#This Row],[Lab Price 4]]/RawMaterials[[#This Row],[Lab Q Model Units 4]]</f>
        <v>#N/A</v>
      </c>
      <c r="AF466" s="392" t="str">
        <f ca="1">IF(RawMaterials[[#This Row],[Lab Quote Count]]&gt;1,SLOPE(LOG(INDIRECT("RawMaterials[@[Lab Unit P 1]:[Lab Unit P "&amp;RawMaterials[[#This Row],[Lab Quote Count]]&amp;"]]")),LOG(INDIRECT("RawMaterials[@[Lab Q Model Units 1]:[Lab Q Model Units "&amp;RawMaterials[[#This Row],[Lab Quote Count]]&amp;"]]"))),"")</f>
        <v/>
      </c>
      <c r="AG466" s="392" t="str">
        <f ca="1">IF(RawMaterials[[#This Row],[Lab Quote Count]]&gt;1,INTERCEPT(LOG(INDIRECT("RawMaterials[@[Lab Unit P 1]:[Lab Unit P "&amp;RawMaterials[[#This Row],[Lab Quote Count]]&amp;"]]")),LOG(INDIRECT("RawMaterials[@[Lab Q Model Units 1]:[Lab Q Model Units "&amp;RawMaterials[[#This Row],[Lab Quote Count]]&amp;"]]"))),"")</f>
        <v/>
      </c>
      <c r="AH466" s="393" t="str">
        <f>IF(RawMaterials[[#This Row],[Material Type]]="Metal Precursor","D13",IF(RawMaterials[[#This Row],[Material Type]]="Ligand","D13","D12"))</f>
        <v>D12</v>
      </c>
      <c r="AI466" s="394" t="str">
        <f ca="1">IF(RawMaterials[[#This Row],[Lab Quote Count]]&gt;1,10^RawMaterials[[#This Row],[Lab Log-Log Intercept]]*INDIRECT(RawMaterials[[#This Row],[Basis Cell]])^RawMaterials[[#This Row],[Lab Log-Log Slope]],"&gt;&gt;&gt; Enter 2 or more lab quotes &lt;&lt;&lt;")</f>
        <v>&gt;&gt;&gt; Enter 2 or more lab quotes &lt;&lt;&lt;</v>
      </c>
      <c r="AJ46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1.1243575371428756</v>
      </c>
      <c r="AL466" s="396">
        <f>IF(ISTEXT(RawMaterials[[#This Row],[Unit price in quote year]]),"Check calcs",RawMaterials[[#This Row],[Unit price in quote year]]/VLOOKUP(RawMaterials[[#This Row],[Quote Year]],ChemPPI[],14,FALSE)*VLOOKUP(BasisYear,ChemPPI[],14,FALSE))</f>
        <v>1.31597253169631</v>
      </c>
      <c r="AM466" s="397" t="str">
        <f t="shared" si="7"/>
        <v>$/kg (2016)</v>
      </c>
    </row>
    <row r="467" spans="1:39">
      <c r="A467" s="259" t="s">
        <v>1554</v>
      </c>
      <c r="B467" s="260"/>
      <c r="C467" s="351"/>
      <c r="D467" s="351"/>
      <c r="E467" s="260">
        <v>100</v>
      </c>
      <c r="F467" s="260"/>
      <c r="G467" s="351"/>
      <c r="H467" s="351"/>
      <c r="I467" s="262"/>
      <c r="J467" s="351"/>
      <c r="K467" s="351"/>
      <c r="L467" s="351"/>
      <c r="M467" s="351"/>
      <c r="N467" s="351"/>
      <c r="O467" s="351"/>
      <c r="P467" s="261">
        <v>0.59</v>
      </c>
      <c r="Q467" s="260">
        <v>1</v>
      </c>
      <c r="R467" s="260" t="s">
        <v>20</v>
      </c>
      <c r="S467" s="260">
        <v>2008</v>
      </c>
      <c r="T467" s="260" t="s">
        <v>161</v>
      </c>
      <c r="U467" s="386">
        <v>42653</v>
      </c>
      <c r="V467" s="387"/>
      <c r="W467" s="354">
        <f>COUNT(RawMaterials[[#This Row],[Lab Quantity 1]:[Lab Quantity 4]])</f>
        <v>0</v>
      </c>
      <c r="X46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7" s="392" t="e">
        <f>RawMaterials[[#This Row],[Lab Price 1]]/RawMaterials[[#This Row],[Lab Q Model Units 1]]</f>
        <v>#N/A</v>
      </c>
      <c r="AC467" s="392" t="e">
        <f>RawMaterials[[#This Row],[Lab Price 2]]/RawMaterials[[#This Row],[Lab Q Model Units 2]]</f>
        <v>#N/A</v>
      </c>
      <c r="AD467" s="392" t="e">
        <f>RawMaterials[[#This Row],[Lab Price 3]]/RawMaterials[[#This Row],[Lab Q Model Units 3]]</f>
        <v>#N/A</v>
      </c>
      <c r="AE467" s="392" t="e">
        <f>RawMaterials[[#This Row],[Lab Price 4]]/RawMaterials[[#This Row],[Lab Q Model Units 4]]</f>
        <v>#N/A</v>
      </c>
      <c r="AF467" s="392" t="str">
        <f ca="1">IF(RawMaterials[[#This Row],[Lab Quote Count]]&gt;1,SLOPE(LOG(INDIRECT("RawMaterials[@[Lab Unit P 1]:[Lab Unit P "&amp;RawMaterials[[#This Row],[Lab Quote Count]]&amp;"]]")),LOG(INDIRECT("RawMaterials[@[Lab Q Model Units 1]:[Lab Q Model Units "&amp;RawMaterials[[#This Row],[Lab Quote Count]]&amp;"]]"))),"")</f>
        <v/>
      </c>
      <c r="AG467" s="392" t="str">
        <f ca="1">IF(RawMaterials[[#This Row],[Lab Quote Count]]&gt;1,INTERCEPT(LOG(INDIRECT("RawMaterials[@[Lab Unit P 1]:[Lab Unit P "&amp;RawMaterials[[#This Row],[Lab Quote Count]]&amp;"]]")),LOG(INDIRECT("RawMaterials[@[Lab Q Model Units 1]:[Lab Q Model Units "&amp;RawMaterials[[#This Row],[Lab Quote Count]]&amp;"]]"))),"")</f>
        <v/>
      </c>
      <c r="AH467" s="393" t="str">
        <f>IF(RawMaterials[[#This Row],[Material Type]]="Metal Precursor","D13",IF(RawMaterials[[#This Row],[Material Type]]="Ligand","D13","D12"))</f>
        <v>D12</v>
      </c>
      <c r="AI467" s="394" t="str">
        <f ca="1">IF(RawMaterials[[#This Row],[Lab Quote Count]]&gt;1,10^RawMaterials[[#This Row],[Lab Log-Log Intercept]]*INDIRECT(RawMaterials[[#This Row],[Basis Cell]])^RawMaterials[[#This Row],[Lab Log-Log Slope]],"&gt;&gt;&gt; Enter 2 or more lab quotes &lt;&lt;&lt;")</f>
        <v>&gt;&gt;&gt; Enter 2 or more lab quotes &lt;&lt;&lt;</v>
      </c>
      <c r="AJ46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1.3007273468907776</v>
      </c>
      <c r="AL467" s="396">
        <f>IF(ISTEXT(RawMaterials[[#This Row],[Unit price in quote year]]),"Check calcs",RawMaterials[[#This Row],[Unit price in quote year]]/VLOOKUP(RawMaterials[[#This Row],[Quote Year]],ChemPPI[],14,FALSE)*VLOOKUP(BasisYear,ChemPPI[],14,FALSE))</f>
        <v>1.5223995954918095</v>
      </c>
      <c r="AM467" s="397" t="str">
        <f t="shared" si="7"/>
        <v>$/kg (2016)</v>
      </c>
    </row>
    <row r="468" spans="1:39">
      <c r="A468" s="259" t="s">
        <v>1555</v>
      </c>
      <c r="B468" s="260"/>
      <c r="C468" s="351"/>
      <c r="D468" s="351"/>
      <c r="E468" s="260">
        <v>100</v>
      </c>
      <c r="F468" s="260"/>
      <c r="G468" s="351"/>
      <c r="H468" s="351"/>
      <c r="I468" s="262"/>
      <c r="J468" s="351"/>
      <c r="K468" s="351"/>
      <c r="L468" s="351"/>
      <c r="M468" s="351"/>
      <c r="N468" s="351"/>
      <c r="O468" s="351"/>
      <c r="P468" s="261">
        <v>0.67500000000000004</v>
      </c>
      <c r="Q468" s="260">
        <v>1</v>
      </c>
      <c r="R468" s="260" t="s">
        <v>20</v>
      </c>
      <c r="S468" s="260">
        <v>2008</v>
      </c>
      <c r="T468" s="260" t="s">
        <v>161</v>
      </c>
      <c r="U468" s="386">
        <v>42653</v>
      </c>
      <c r="V468" s="387"/>
      <c r="W468" s="354">
        <f>COUNT(RawMaterials[[#This Row],[Lab Quantity 1]:[Lab Quantity 4]])</f>
        <v>0</v>
      </c>
      <c r="X46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8" s="392" t="e">
        <f>RawMaterials[[#This Row],[Lab Price 1]]/RawMaterials[[#This Row],[Lab Q Model Units 1]]</f>
        <v>#N/A</v>
      </c>
      <c r="AC468" s="392" t="e">
        <f>RawMaterials[[#This Row],[Lab Price 2]]/RawMaterials[[#This Row],[Lab Q Model Units 2]]</f>
        <v>#N/A</v>
      </c>
      <c r="AD468" s="392" t="e">
        <f>RawMaterials[[#This Row],[Lab Price 3]]/RawMaterials[[#This Row],[Lab Q Model Units 3]]</f>
        <v>#N/A</v>
      </c>
      <c r="AE468" s="392" t="e">
        <f>RawMaterials[[#This Row],[Lab Price 4]]/RawMaterials[[#This Row],[Lab Q Model Units 4]]</f>
        <v>#N/A</v>
      </c>
      <c r="AF468" s="392" t="str">
        <f ca="1">IF(RawMaterials[[#This Row],[Lab Quote Count]]&gt;1,SLOPE(LOG(INDIRECT("RawMaterials[@[Lab Unit P 1]:[Lab Unit P "&amp;RawMaterials[[#This Row],[Lab Quote Count]]&amp;"]]")),LOG(INDIRECT("RawMaterials[@[Lab Q Model Units 1]:[Lab Q Model Units "&amp;RawMaterials[[#This Row],[Lab Quote Count]]&amp;"]]"))),"")</f>
        <v/>
      </c>
      <c r="AG468" s="392" t="str">
        <f ca="1">IF(RawMaterials[[#This Row],[Lab Quote Count]]&gt;1,INTERCEPT(LOG(INDIRECT("RawMaterials[@[Lab Unit P 1]:[Lab Unit P "&amp;RawMaterials[[#This Row],[Lab Quote Count]]&amp;"]]")),LOG(INDIRECT("RawMaterials[@[Lab Q Model Units 1]:[Lab Q Model Units "&amp;RawMaterials[[#This Row],[Lab Quote Count]]&amp;"]]"))),"")</f>
        <v/>
      </c>
      <c r="AH468" s="393" t="str">
        <f>IF(RawMaterials[[#This Row],[Material Type]]="Metal Precursor","D13",IF(RawMaterials[[#This Row],[Material Type]]="Ligand","D13","D12"))</f>
        <v>D12</v>
      </c>
      <c r="AI468" s="394" t="str">
        <f ca="1">IF(RawMaterials[[#This Row],[Lab Quote Count]]&gt;1,10^RawMaterials[[#This Row],[Lab Log-Log Intercept]]*INDIRECT(RawMaterials[[#This Row],[Basis Cell]])^RawMaterials[[#This Row],[Lab Log-Log Slope]],"&gt;&gt;&gt; Enter 2 or more lab quotes &lt;&lt;&lt;")</f>
        <v>&gt;&gt;&gt; Enter 2 or more lab quotes &lt;&lt;&lt;</v>
      </c>
      <c r="AJ46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1.4881202697479237</v>
      </c>
      <c r="AL468" s="396">
        <f>IF(ISTEXT(RawMaterials[[#This Row],[Unit price in quote year]]),"Check calcs",RawMaterials[[#This Row],[Unit price in quote year]]/VLOOKUP(RawMaterials[[#This Row],[Quote Year]],ChemPPI[],14,FALSE)*VLOOKUP(BasisYear,ChemPPI[],14,FALSE))</f>
        <v>1.741728350774528</v>
      </c>
      <c r="AM468" s="397" t="str">
        <f t="shared" si="7"/>
        <v>$/kg (2016)</v>
      </c>
    </row>
    <row r="469" spans="1:39">
      <c r="A469" s="259" t="s">
        <v>1556</v>
      </c>
      <c r="B469" s="260"/>
      <c r="C469" s="351"/>
      <c r="D469" s="351"/>
      <c r="E469" s="260">
        <v>100</v>
      </c>
      <c r="F469" s="260"/>
      <c r="G469" s="351"/>
      <c r="H469" s="351"/>
      <c r="I469" s="262"/>
      <c r="J469" s="351"/>
      <c r="K469" s="351"/>
      <c r="L469" s="351"/>
      <c r="M469" s="351"/>
      <c r="N469" s="351"/>
      <c r="O469" s="351"/>
      <c r="P469" s="261">
        <v>0.70499999999999996</v>
      </c>
      <c r="Q469" s="260">
        <v>1</v>
      </c>
      <c r="R469" s="260" t="s">
        <v>20</v>
      </c>
      <c r="S469" s="260">
        <v>2008</v>
      </c>
      <c r="T469" s="260" t="s">
        <v>161</v>
      </c>
      <c r="U469" s="386">
        <v>42653</v>
      </c>
      <c r="V469" s="387"/>
      <c r="W469" s="354">
        <f>COUNT(RawMaterials[[#This Row],[Lab Quantity 1]:[Lab Quantity 4]])</f>
        <v>0</v>
      </c>
      <c r="X46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9" s="392" t="e">
        <f>RawMaterials[[#This Row],[Lab Price 1]]/RawMaterials[[#This Row],[Lab Q Model Units 1]]</f>
        <v>#N/A</v>
      </c>
      <c r="AC469" s="392" t="e">
        <f>RawMaterials[[#This Row],[Lab Price 2]]/RawMaterials[[#This Row],[Lab Q Model Units 2]]</f>
        <v>#N/A</v>
      </c>
      <c r="AD469" s="392" t="e">
        <f>RawMaterials[[#This Row],[Lab Price 3]]/RawMaterials[[#This Row],[Lab Q Model Units 3]]</f>
        <v>#N/A</v>
      </c>
      <c r="AE469" s="392" t="e">
        <f>RawMaterials[[#This Row],[Lab Price 4]]/RawMaterials[[#This Row],[Lab Q Model Units 4]]</f>
        <v>#N/A</v>
      </c>
      <c r="AF469" s="392" t="str">
        <f ca="1">IF(RawMaterials[[#This Row],[Lab Quote Count]]&gt;1,SLOPE(LOG(INDIRECT("RawMaterials[@[Lab Unit P 1]:[Lab Unit P "&amp;RawMaterials[[#This Row],[Lab Quote Count]]&amp;"]]")),LOG(INDIRECT("RawMaterials[@[Lab Q Model Units 1]:[Lab Q Model Units "&amp;RawMaterials[[#This Row],[Lab Quote Count]]&amp;"]]"))),"")</f>
        <v/>
      </c>
      <c r="AG469" s="392" t="str">
        <f ca="1">IF(RawMaterials[[#This Row],[Lab Quote Count]]&gt;1,INTERCEPT(LOG(INDIRECT("RawMaterials[@[Lab Unit P 1]:[Lab Unit P "&amp;RawMaterials[[#This Row],[Lab Quote Count]]&amp;"]]")),LOG(INDIRECT("RawMaterials[@[Lab Q Model Units 1]:[Lab Q Model Units "&amp;RawMaterials[[#This Row],[Lab Quote Count]]&amp;"]]"))),"")</f>
        <v/>
      </c>
      <c r="AH469" s="393" t="str">
        <f>IF(RawMaterials[[#This Row],[Material Type]]="Metal Precursor","D13",IF(RawMaterials[[#This Row],[Material Type]]="Ligand","D13","D12"))</f>
        <v>D12</v>
      </c>
      <c r="AI469" s="394" t="str">
        <f ca="1">IF(RawMaterials[[#This Row],[Lab Quote Count]]&gt;1,10^RawMaterials[[#This Row],[Lab Log-Log Intercept]]*INDIRECT(RawMaterials[[#This Row],[Basis Cell]])^RawMaterials[[#This Row],[Lab Log-Log Slope]],"&gt;&gt;&gt; Enter 2 or more lab quotes &lt;&lt;&lt;")</f>
        <v>&gt;&gt;&gt; Enter 2 or more lab quotes &lt;&lt;&lt;</v>
      </c>
      <c r="AJ46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1.5542589484033869</v>
      </c>
      <c r="AL469" s="396">
        <f>IF(ISTEXT(RawMaterials[[#This Row],[Unit price in quote year]]),"Check calcs",RawMaterials[[#This Row],[Unit price in quote year]]/VLOOKUP(RawMaterials[[#This Row],[Quote Year]],ChemPPI[],14,FALSE)*VLOOKUP(BasisYear,ChemPPI[],14,FALSE))</f>
        <v>1.8191384996978404</v>
      </c>
      <c r="AM469" s="397" t="str">
        <f t="shared" si="7"/>
        <v>$/kg (2016)</v>
      </c>
    </row>
    <row r="470" spans="1:39">
      <c r="A470" s="259" t="s">
        <v>1557</v>
      </c>
      <c r="B470" s="260"/>
      <c r="C470" s="351"/>
      <c r="D470" s="351"/>
      <c r="E470" s="260">
        <v>100</v>
      </c>
      <c r="F470" s="260"/>
      <c r="G470" s="351"/>
      <c r="H470" s="351"/>
      <c r="I470" s="262"/>
      <c r="J470" s="351"/>
      <c r="K470" s="351"/>
      <c r="L470" s="351"/>
      <c r="M470" s="351"/>
      <c r="N470" s="351"/>
      <c r="O470" s="351"/>
      <c r="P470" s="261">
        <v>0.72</v>
      </c>
      <c r="Q470" s="260">
        <v>1</v>
      </c>
      <c r="R470" s="260" t="s">
        <v>20</v>
      </c>
      <c r="S470" s="260">
        <v>2008</v>
      </c>
      <c r="T470" s="260" t="s">
        <v>161</v>
      </c>
      <c r="U470" s="386">
        <v>42653</v>
      </c>
      <c r="V470" s="387"/>
      <c r="W470" s="354">
        <f>COUNT(RawMaterials[[#This Row],[Lab Quantity 1]:[Lab Quantity 4]])</f>
        <v>0</v>
      </c>
      <c r="X47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0" s="392" t="e">
        <f>RawMaterials[[#This Row],[Lab Price 1]]/RawMaterials[[#This Row],[Lab Q Model Units 1]]</f>
        <v>#N/A</v>
      </c>
      <c r="AC470" s="392" t="e">
        <f>RawMaterials[[#This Row],[Lab Price 2]]/RawMaterials[[#This Row],[Lab Q Model Units 2]]</f>
        <v>#N/A</v>
      </c>
      <c r="AD470" s="392" t="e">
        <f>RawMaterials[[#This Row],[Lab Price 3]]/RawMaterials[[#This Row],[Lab Q Model Units 3]]</f>
        <v>#N/A</v>
      </c>
      <c r="AE470" s="392" t="e">
        <f>RawMaterials[[#This Row],[Lab Price 4]]/RawMaterials[[#This Row],[Lab Q Model Units 4]]</f>
        <v>#N/A</v>
      </c>
      <c r="AF470" s="392" t="str">
        <f ca="1">IF(RawMaterials[[#This Row],[Lab Quote Count]]&gt;1,SLOPE(LOG(INDIRECT("RawMaterials[@[Lab Unit P 1]:[Lab Unit P "&amp;RawMaterials[[#This Row],[Lab Quote Count]]&amp;"]]")),LOG(INDIRECT("RawMaterials[@[Lab Q Model Units 1]:[Lab Q Model Units "&amp;RawMaterials[[#This Row],[Lab Quote Count]]&amp;"]]"))),"")</f>
        <v/>
      </c>
      <c r="AG470" s="392" t="str">
        <f ca="1">IF(RawMaterials[[#This Row],[Lab Quote Count]]&gt;1,INTERCEPT(LOG(INDIRECT("RawMaterials[@[Lab Unit P 1]:[Lab Unit P "&amp;RawMaterials[[#This Row],[Lab Quote Count]]&amp;"]]")),LOG(INDIRECT("RawMaterials[@[Lab Q Model Units 1]:[Lab Q Model Units "&amp;RawMaterials[[#This Row],[Lab Quote Count]]&amp;"]]"))),"")</f>
        <v/>
      </c>
      <c r="AH470" s="393" t="str">
        <f>IF(RawMaterials[[#This Row],[Material Type]]="Metal Precursor","D13",IF(RawMaterials[[#This Row],[Material Type]]="Ligand","D13","D12"))</f>
        <v>D12</v>
      </c>
      <c r="AI470" s="394" t="str">
        <f ca="1">IF(RawMaterials[[#This Row],[Lab Quote Count]]&gt;1,10^RawMaterials[[#This Row],[Lab Log-Log Intercept]]*INDIRECT(RawMaterials[[#This Row],[Basis Cell]])^RawMaterials[[#This Row],[Lab Log-Log Slope]],"&gt;&gt;&gt; Enter 2 or more lab quotes &lt;&lt;&lt;")</f>
        <v>&gt;&gt;&gt; Enter 2 or more lab quotes &lt;&lt;&lt;</v>
      </c>
      <c r="AJ47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1.5873282877311183</v>
      </c>
      <c r="AL470" s="396">
        <f>IF(ISTEXT(RawMaterials[[#This Row],[Unit price in quote year]]),"Check calcs",RawMaterials[[#This Row],[Unit price in quote year]]/VLOOKUP(RawMaterials[[#This Row],[Quote Year]],ChemPPI[],14,FALSE)*VLOOKUP(BasisYear,ChemPPI[],14,FALSE))</f>
        <v>1.8578435741594965</v>
      </c>
      <c r="AM470" s="397" t="str">
        <f t="shared" si="7"/>
        <v>$/kg (2016)</v>
      </c>
    </row>
    <row r="471" spans="1:39">
      <c r="A471" s="259" t="s">
        <v>1558</v>
      </c>
      <c r="B471" s="260"/>
      <c r="C471" s="351"/>
      <c r="D471" s="351"/>
      <c r="E471" s="260">
        <v>100</v>
      </c>
      <c r="F471" s="260"/>
      <c r="G471" s="351"/>
      <c r="H471" s="351"/>
      <c r="I471" s="262"/>
      <c r="J471" s="351"/>
      <c r="K471" s="351"/>
      <c r="L471" s="351"/>
      <c r="M471" s="351"/>
      <c r="N471" s="351"/>
      <c r="O471" s="351"/>
      <c r="P471" s="261">
        <v>0.65500000000000003</v>
      </c>
      <c r="Q471" s="260">
        <v>1</v>
      </c>
      <c r="R471" s="260" t="s">
        <v>20</v>
      </c>
      <c r="S471" s="260">
        <v>2008</v>
      </c>
      <c r="T471" s="260" t="s">
        <v>161</v>
      </c>
      <c r="U471" s="386">
        <v>42653</v>
      </c>
      <c r="V471" s="387"/>
      <c r="W471" s="354">
        <f>COUNT(RawMaterials[[#This Row],[Lab Quantity 1]:[Lab Quantity 4]])</f>
        <v>0</v>
      </c>
      <c r="X47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1" s="392" t="e">
        <f>RawMaterials[[#This Row],[Lab Price 1]]/RawMaterials[[#This Row],[Lab Q Model Units 1]]</f>
        <v>#N/A</v>
      </c>
      <c r="AC471" s="392" t="e">
        <f>RawMaterials[[#This Row],[Lab Price 2]]/RawMaterials[[#This Row],[Lab Q Model Units 2]]</f>
        <v>#N/A</v>
      </c>
      <c r="AD471" s="392" t="e">
        <f>RawMaterials[[#This Row],[Lab Price 3]]/RawMaterials[[#This Row],[Lab Q Model Units 3]]</f>
        <v>#N/A</v>
      </c>
      <c r="AE471" s="392" t="e">
        <f>RawMaterials[[#This Row],[Lab Price 4]]/RawMaterials[[#This Row],[Lab Q Model Units 4]]</f>
        <v>#N/A</v>
      </c>
      <c r="AF471" s="392" t="str">
        <f ca="1">IF(RawMaterials[[#This Row],[Lab Quote Count]]&gt;1,SLOPE(LOG(INDIRECT("RawMaterials[@[Lab Unit P 1]:[Lab Unit P "&amp;RawMaterials[[#This Row],[Lab Quote Count]]&amp;"]]")),LOG(INDIRECT("RawMaterials[@[Lab Q Model Units 1]:[Lab Q Model Units "&amp;RawMaterials[[#This Row],[Lab Quote Count]]&amp;"]]"))),"")</f>
        <v/>
      </c>
      <c r="AG471" s="392" t="str">
        <f ca="1">IF(RawMaterials[[#This Row],[Lab Quote Count]]&gt;1,INTERCEPT(LOG(INDIRECT("RawMaterials[@[Lab Unit P 1]:[Lab Unit P "&amp;RawMaterials[[#This Row],[Lab Quote Count]]&amp;"]]")),LOG(INDIRECT("RawMaterials[@[Lab Q Model Units 1]:[Lab Q Model Units "&amp;RawMaterials[[#This Row],[Lab Quote Count]]&amp;"]]"))),"")</f>
        <v/>
      </c>
      <c r="AH471" s="393" t="str">
        <f>IF(RawMaterials[[#This Row],[Material Type]]="Metal Precursor","D13",IF(RawMaterials[[#This Row],[Material Type]]="Ligand","D13","D12"))</f>
        <v>D12</v>
      </c>
      <c r="AI471" s="394" t="str">
        <f ca="1">IF(RawMaterials[[#This Row],[Lab Quote Count]]&gt;1,10^RawMaterials[[#This Row],[Lab Log-Log Intercept]]*INDIRECT(RawMaterials[[#This Row],[Basis Cell]])^RawMaterials[[#This Row],[Lab Log-Log Slope]],"&gt;&gt;&gt; Enter 2 or more lab quotes &lt;&lt;&lt;")</f>
        <v>&gt;&gt;&gt; Enter 2 or more lab quotes &lt;&lt;&lt;</v>
      </c>
      <c r="AJ47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1.4440278173109482</v>
      </c>
      <c r="AL471" s="396">
        <f>IF(ISTEXT(RawMaterials[[#This Row],[Unit price in quote year]]),"Check calcs",RawMaterials[[#This Row],[Unit price in quote year]]/VLOOKUP(RawMaterials[[#This Row],[Quote Year]],ChemPPI[],14,FALSE)*VLOOKUP(BasisYear,ChemPPI[],14,FALSE))</f>
        <v>1.6901215848256534</v>
      </c>
      <c r="AM471" s="397" t="str">
        <f t="shared" si="7"/>
        <v>$/kg (2016)</v>
      </c>
    </row>
    <row r="472" spans="1:39">
      <c r="A472" s="259" t="s">
        <v>1559</v>
      </c>
      <c r="B472" s="260"/>
      <c r="C472" s="351"/>
      <c r="D472" s="351"/>
      <c r="E472" s="260">
        <v>100</v>
      </c>
      <c r="F472" s="260"/>
      <c r="G472" s="351"/>
      <c r="H472" s="351"/>
      <c r="I472" s="262"/>
      <c r="J472" s="351"/>
      <c r="K472" s="351"/>
      <c r="L472" s="351"/>
      <c r="M472" s="351"/>
      <c r="N472" s="351"/>
      <c r="O472" s="351"/>
      <c r="P472" s="261">
        <v>0.60499999999999998</v>
      </c>
      <c r="Q472" s="260">
        <v>1</v>
      </c>
      <c r="R472" s="260" t="s">
        <v>20</v>
      </c>
      <c r="S472" s="260">
        <v>2008</v>
      </c>
      <c r="T472" s="260" t="s">
        <v>161</v>
      </c>
      <c r="U472" s="386">
        <v>42653</v>
      </c>
      <c r="V472" s="387"/>
      <c r="W472" s="354">
        <f>COUNT(RawMaterials[[#This Row],[Lab Quantity 1]:[Lab Quantity 4]])</f>
        <v>0</v>
      </c>
      <c r="X47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2" s="392" t="e">
        <f>RawMaterials[[#This Row],[Lab Price 1]]/RawMaterials[[#This Row],[Lab Q Model Units 1]]</f>
        <v>#N/A</v>
      </c>
      <c r="AC472" s="392" t="e">
        <f>RawMaterials[[#This Row],[Lab Price 2]]/RawMaterials[[#This Row],[Lab Q Model Units 2]]</f>
        <v>#N/A</v>
      </c>
      <c r="AD472" s="392" t="e">
        <f>RawMaterials[[#This Row],[Lab Price 3]]/RawMaterials[[#This Row],[Lab Q Model Units 3]]</f>
        <v>#N/A</v>
      </c>
      <c r="AE472" s="392" t="e">
        <f>RawMaterials[[#This Row],[Lab Price 4]]/RawMaterials[[#This Row],[Lab Q Model Units 4]]</f>
        <v>#N/A</v>
      </c>
      <c r="AF472" s="392" t="str">
        <f ca="1">IF(RawMaterials[[#This Row],[Lab Quote Count]]&gt;1,SLOPE(LOG(INDIRECT("RawMaterials[@[Lab Unit P 1]:[Lab Unit P "&amp;RawMaterials[[#This Row],[Lab Quote Count]]&amp;"]]")),LOG(INDIRECT("RawMaterials[@[Lab Q Model Units 1]:[Lab Q Model Units "&amp;RawMaterials[[#This Row],[Lab Quote Count]]&amp;"]]"))),"")</f>
        <v/>
      </c>
      <c r="AG472" s="392" t="str">
        <f ca="1">IF(RawMaterials[[#This Row],[Lab Quote Count]]&gt;1,INTERCEPT(LOG(INDIRECT("RawMaterials[@[Lab Unit P 1]:[Lab Unit P "&amp;RawMaterials[[#This Row],[Lab Quote Count]]&amp;"]]")),LOG(INDIRECT("RawMaterials[@[Lab Q Model Units 1]:[Lab Q Model Units "&amp;RawMaterials[[#This Row],[Lab Quote Count]]&amp;"]]"))),"")</f>
        <v/>
      </c>
      <c r="AH472" s="393" t="str">
        <f>IF(RawMaterials[[#This Row],[Material Type]]="Metal Precursor","D13",IF(RawMaterials[[#This Row],[Material Type]]="Ligand","D13","D12"))</f>
        <v>D12</v>
      </c>
      <c r="AI472" s="394" t="str">
        <f ca="1">IF(RawMaterials[[#This Row],[Lab Quote Count]]&gt;1,10^RawMaterials[[#This Row],[Lab Log-Log Intercept]]*INDIRECT(RawMaterials[[#This Row],[Basis Cell]])^RawMaterials[[#This Row],[Lab Log-Log Slope]],"&gt;&gt;&gt; Enter 2 or more lab quotes &lt;&lt;&lt;")</f>
        <v>&gt;&gt;&gt; Enter 2 or more lab quotes &lt;&lt;&lt;</v>
      </c>
      <c r="AJ47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1.3337966862185093</v>
      </c>
      <c r="AL472" s="396">
        <f>IF(ISTEXT(RawMaterials[[#This Row],[Unit price in quote year]]),"Check calcs",RawMaterials[[#This Row],[Unit price in quote year]]/VLOOKUP(RawMaterials[[#This Row],[Quote Year]],ChemPPI[],14,FALSE)*VLOOKUP(BasisYear,ChemPPI[],14,FALSE))</f>
        <v>1.5611046699534659</v>
      </c>
      <c r="AM472" s="397" t="str">
        <f t="shared" si="7"/>
        <v>$/kg (2016)</v>
      </c>
    </row>
    <row r="473" spans="1:39">
      <c r="A473" s="259" t="s">
        <v>1560</v>
      </c>
      <c r="B473" s="260"/>
      <c r="C473" s="351"/>
      <c r="D473" s="351"/>
      <c r="E473" s="260">
        <v>100</v>
      </c>
      <c r="F473" s="260"/>
      <c r="G473" s="351"/>
      <c r="H473" s="351"/>
      <c r="I473" s="262"/>
      <c r="J473" s="351"/>
      <c r="K473" s="351"/>
      <c r="L473" s="351"/>
      <c r="M473" s="351"/>
      <c r="N473" s="351"/>
      <c r="O473" s="351"/>
      <c r="P473" s="261">
        <v>0.68</v>
      </c>
      <c r="Q473" s="260">
        <v>1</v>
      </c>
      <c r="R473" s="260" t="s">
        <v>20</v>
      </c>
      <c r="S473" s="260">
        <v>2008</v>
      </c>
      <c r="T473" s="260" t="s">
        <v>161</v>
      </c>
      <c r="U473" s="386">
        <v>42653</v>
      </c>
      <c r="V473" s="387"/>
      <c r="W473" s="354">
        <f>COUNT(RawMaterials[[#This Row],[Lab Quantity 1]:[Lab Quantity 4]])</f>
        <v>0</v>
      </c>
      <c r="X47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3" s="392" t="e">
        <f>RawMaterials[[#This Row],[Lab Price 1]]/RawMaterials[[#This Row],[Lab Q Model Units 1]]</f>
        <v>#N/A</v>
      </c>
      <c r="AC473" s="392" t="e">
        <f>RawMaterials[[#This Row],[Lab Price 2]]/RawMaterials[[#This Row],[Lab Q Model Units 2]]</f>
        <v>#N/A</v>
      </c>
      <c r="AD473" s="392" t="e">
        <f>RawMaterials[[#This Row],[Lab Price 3]]/RawMaterials[[#This Row],[Lab Q Model Units 3]]</f>
        <v>#N/A</v>
      </c>
      <c r="AE473" s="392" t="e">
        <f>RawMaterials[[#This Row],[Lab Price 4]]/RawMaterials[[#This Row],[Lab Q Model Units 4]]</f>
        <v>#N/A</v>
      </c>
      <c r="AF473" s="392" t="str">
        <f ca="1">IF(RawMaterials[[#This Row],[Lab Quote Count]]&gt;1,SLOPE(LOG(INDIRECT("RawMaterials[@[Lab Unit P 1]:[Lab Unit P "&amp;RawMaterials[[#This Row],[Lab Quote Count]]&amp;"]]")),LOG(INDIRECT("RawMaterials[@[Lab Q Model Units 1]:[Lab Q Model Units "&amp;RawMaterials[[#This Row],[Lab Quote Count]]&amp;"]]"))),"")</f>
        <v/>
      </c>
      <c r="AG473" s="392" t="str">
        <f ca="1">IF(RawMaterials[[#This Row],[Lab Quote Count]]&gt;1,INTERCEPT(LOG(INDIRECT("RawMaterials[@[Lab Unit P 1]:[Lab Unit P "&amp;RawMaterials[[#This Row],[Lab Quote Count]]&amp;"]]")),LOG(INDIRECT("RawMaterials[@[Lab Q Model Units 1]:[Lab Q Model Units "&amp;RawMaterials[[#This Row],[Lab Quote Count]]&amp;"]]"))),"")</f>
        <v/>
      </c>
      <c r="AH473" s="393" t="str">
        <f>IF(RawMaterials[[#This Row],[Material Type]]="Metal Precursor","D13",IF(RawMaterials[[#This Row],[Material Type]]="Ligand","D13","D12"))</f>
        <v>D12</v>
      </c>
      <c r="AI473" s="394" t="str">
        <f ca="1">IF(RawMaterials[[#This Row],[Lab Quote Count]]&gt;1,10^RawMaterials[[#This Row],[Lab Log-Log Intercept]]*INDIRECT(RawMaterials[[#This Row],[Basis Cell]])^RawMaterials[[#This Row],[Lab Log-Log Slope]],"&gt;&gt;&gt; Enter 2 or more lab quotes &lt;&lt;&lt;")</f>
        <v>&gt;&gt;&gt; Enter 2 or more lab quotes &lt;&lt;&lt;</v>
      </c>
      <c r="AJ47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1.4991433828571676</v>
      </c>
      <c r="AL473" s="396">
        <f>IF(ISTEXT(RawMaterials[[#This Row],[Unit price in quote year]]),"Check calcs",RawMaterials[[#This Row],[Unit price in quote year]]/VLOOKUP(RawMaterials[[#This Row],[Quote Year]],ChemPPI[],14,FALSE)*VLOOKUP(BasisYear,ChemPPI[],14,FALSE))</f>
        <v>1.7546300422617469</v>
      </c>
      <c r="AM473" s="397" t="str">
        <f t="shared" si="7"/>
        <v>$/kg (2016)</v>
      </c>
    </row>
    <row r="474" spans="1:39">
      <c r="A474" s="259" t="s">
        <v>1561</v>
      </c>
      <c r="B474" s="260"/>
      <c r="C474" s="351"/>
      <c r="D474" s="351"/>
      <c r="E474" s="260">
        <v>100</v>
      </c>
      <c r="F474" s="260"/>
      <c r="G474" s="351"/>
      <c r="H474" s="351"/>
      <c r="I474" s="262"/>
      <c r="J474" s="351"/>
      <c r="K474" s="351"/>
      <c r="L474" s="351"/>
      <c r="M474" s="351"/>
      <c r="N474" s="351"/>
      <c r="O474" s="351"/>
      <c r="P474" s="261">
        <v>0.71</v>
      </c>
      <c r="Q474" s="260">
        <v>1</v>
      </c>
      <c r="R474" s="260" t="s">
        <v>20</v>
      </c>
      <c r="S474" s="260">
        <v>2006</v>
      </c>
      <c r="T474" s="260" t="s">
        <v>161</v>
      </c>
      <c r="U474" s="386">
        <v>42653</v>
      </c>
      <c r="V474" s="387"/>
      <c r="W474" s="354">
        <f>COUNT(RawMaterials[[#This Row],[Lab Quantity 1]:[Lab Quantity 4]])</f>
        <v>0</v>
      </c>
      <c r="X47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4" s="392" t="e">
        <f>RawMaterials[[#This Row],[Lab Price 1]]/RawMaterials[[#This Row],[Lab Q Model Units 1]]</f>
        <v>#N/A</v>
      </c>
      <c r="AC474" s="392" t="e">
        <f>RawMaterials[[#This Row],[Lab Price 2]]/RawMaterials[[#This Row],[Lab Q Model Units 2]]</f>
        <v>#N/A</v>
      </c>
      <c r="AD474" s="392" t="e">
        <f>RawMaterials[[#This Row],[Lab Price 3]]/RawMaterials[[#This Row],[Lab Q Model Units 3]]</f>
        <v>#N/A</v>
      </c>
      <c r="AE474" s="392" t="e">
        <f>RawMaterials[[#This Row],[Lab Price 4]]/RawMaterials[[#This Row],[Lab Q Model Units 4]]</f>
        <v>#N/A</v>
      </c>
      <c r="AF474" s="392" t="str">
        <f ca="1">IF(RawMaterials[[#This Row],[Lab Quote Count]]&gt;1,SLOPE(LOG(INDIRECT("RawMaterials[@[Lab Unit P 1]:[Lab Unit P "&amp;RawMaterials[[#This Row],[Lab Quote Count]]&amp;"]]")),LOG(INDIRECT("RawMaterials[@[Lab Q Model Units 1]:[Lab Q Model Units "&amp;RawMaterials[[#This Row],[Lab Quote Count]]&amp;"]]"))),"")</f>
        <v/>
      </c>
      <c r="AG474" s="392" t="str">
        <f ca="1">IF(RawMaterials[[#This Row],[Lab Quote Count]]&gt;1,INTERCEPT(LOG(INDIRECT("RawMaterials[@[Lab Unit P 1]:[Lab Unit P "&amp;RawMaterials[[#This Row],[Lab Quote Count]]&amp;"]]")),LOG(INDIRECT("RawMaterials[@[Lab Q Model Units 1]:[Lab Q Model Units "&amp;RawMaterials[[#This Row],[Lab Quote Count]]&amp;"]]"))),"")</f>
        <v/>
      </c>
      <c r="AH474" s="393" t="str">
        <f>IF(RawMaterials[[#This Row],[Material Type]]="Metal Precursor","D13",IF(RawMaterials[[#This Row],[Material Type]]="Ligand","D13","D12"))</f>
        <v>D12</v>
      </c>
      <c r="AI474" s="394" t="str">
        <f ca="1">IF(RawMaterials[[#This Row],[Lab Quote Count]]&gt;1,10^RawMaterials[[#This Row],[Lab Log-Log Intercept]]*INDIRECT(RawMaterials[[#This Row],[Basis Cell]])^RawMaterials[[#This Row],[Lab Log-Log Slope]],"&gt;&gt;&gt; Enter 2 or more lab quotes &lt;&lt;&lt;")</f>
        <v>&gt;&gt;&gt; Enter 2 or more lab quotes &lt;&lt;&lt;</v>
      </c>
      <c r="AJ47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1.5652820615126306</v>
      </c>
      <c r="AL474" s="396">
        <f>IF(ISTEXT(RawMaterials[[#This Row],[Unit price in quote year]]),"Check calcs",RawMaterials[[#This Row],[Unit price in quote year]]/VLOOKUP(RawMaterials[[#This Row],[Quote Year]],ChemPPI[],14,FALSE)*VLOOKUP(BasisYear,ChemPPI[],14,FALSE))</f>
        <v>2.1244249930387387</v>
      </c>
      <c r="AM474" s="397" t="str">
        <f t="shared" si="7"/>
        <v>$/kg (2016)</v>
      </c>
    </row>
    <row r="475" spans="1:39">
      <c r="A475" s="259" t="s">
        <v>1562</v>
      </c>
      <c r="B475" s="260"/>
      <c r="C475" s="351"/>
      <c r="D475" s="351"/>
      <c r="E475" s="260">
        <v>100</v>
      </c>
      <c r="F475" s="260"/>
      <c r="G475" s="351"/>
      <c r="H475" s="351"/>
      <c r="I475" s="262"/>
      <c r="J475" s="351"/>
      <c r="K475" s="351"/>
      <c r="L475" s="351"/>
      <c r="M475" s="351"/>
      <c r="N475" s="351"/>
      <c r="O475" s="351"/>
      <c r="P475" s="261">
        <v>0.81499999999999995</v>
      </c>
      <c r="Q475" s="260">
        <v>1</v>
      </c>
      <c r="R475" s="260" t="s">
        <v>20</v>
      </c>
      <c r="S475" s="260">
        <v>2006</v>
      </c>
      <c r="T475" s="260" t="s">
        <v>161</v>
      </c>
      <c r="U475" s="386">
        <v>42653</v>
      </c>
      <c r="V475" s="387"/>
      <c r="W475" s="354">
        <f>COUNT(RawMaterials[[#This Row],[Lab Quantity 1]:[Lab Quantity 4]])</f>
        <v>0</v>
      </c>
      <c r="X47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5" s="392" t="e">
        <f>RawMaterials[[#This Row],[Lab Price 1]]/RawMaterials[[#This Row],[Lab Q Model Units 1]]</f>
        <v>#N/A</v>
      </c>
      <c r="AC475" s="392" t="e">
        <f>RawMaterials[[#This Row],[Lab Price 2]]/RawMaterials[[#This Row],[Lab Q Model Units 2]]</f>
        <v>#N/A</v>
      </c>
      <c r="AD475" s="392" t="e">
        <f>RawMaterials[[#This Row],[Lab Price 3]]/RawMaterials[[#This Row],[Lab Q Model Units 3]]</f>
        <v>#N/A</v>
      </c>
      <c r="AE475" s="392" t="e">
        <f>RawMaterials[[#This Row],[Lab Price 4]]/RawMaterials[[#This Row],[Lab Q Model Units 4]]</f>
        <v>#N/A</v>
      </c>
      <c r="AF475" s="392" t="str">
        <f ca="1">IF(RawMaterials[[#This Row],[Lab Quote Count]]&gt;1,SLOPE(LOG(INDIRECT("RawMaterials[@[Lab Unit P 1]:[Lab Unit P "&amp;RawMaterials[[#This Row],[Lab Quote Count]]&amp;"]]")),LOG(INDIRECT("RawMaterials[@[Lab Q Model Units 1]:[Lab Q Model Units "&amp;RawMaterials[[#This Row],[Lab Quote Count]]&amp;"]]"))),"")</f>
        <v/>
      </c>
      <c r="AG475" s="392" t="str">
        <f ca="1">IF(RawMaterials[[#This Row],[Lab Quote Count]]&gt;1,INTERCEPT(LOG(INDIRECT("RawMaterials[@[Lab Unit P 1]:[Lab Unit P "&amp;RawMaterials[[#This Row],[Lab Quote Count]]&amp;"]]")),LOG(INDIRECT("RawMaterials[@[Lab Q Model Units 1]:[Lab Q Model Units "&amp;RawMaterials[[#This Row],[Lab Quote Count]]&amp;"]]"))),"")</f>
        <v/>
      </c>
      <c r="AH475" s="393" t="str">
        <f>IF(RawMaterials[[#This Row],[Material Type]]="Metal Precursor","D13",IF(RawMaterials[[#This Row],[Material Type]]="Ligand","D13","D12"))</f>
        <v>D12</v>
      </c>
      <c r="AI475" s="394" t="str">
        <f ca="1">IF(RawMaterials[[#This Row],[Lab Quote Count]]&gt;1,10^RawMaterials[[#This Row],[Lab Log-Log Intercept]]*INDIRECT(RawMaterials[[#This Row],[Basis Cell]])^RawMaterials[[#This Row],[Lab Log-Log Slope]],"&gt;&gt;&gt; Enter 2 or more lab quotes &lt;&lt;&lt;")</f>
        <v>&gt;&gt;&gt; Enter 2 or more lab quotes &lt;&lt;&lt;</v>
      </c>
      <c r="AJ47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1.7967674368067521</v>
      </c>
      <c r="AL475" s="396">
        <f>IF(ISTEXT(RawMaterials[[#This Row],[Unit price in quote year]]),"Check calcs",RawMaterials[[#This Row],[Unit price in quote year]]/VLOOKUP(RawMaterials[[#This Row],[Quote Year]],ChemPPI[],14,FALSE)*VLOOKUP(BasisYear,ChemPPI[],14,FALSE))</f>
        <v>2.4386005201782703</v>
      </c>
      <c r="AM475" s="397" t="str">
        <f t="shared" si="7"/>
        <v>$/kg (2016)</v>
      </c>
    </row>
    <row r="476" spans="1:39">
      <c r="A476" s="352" t="s">
        <v>182</v>
      </c>
      <c r="B476" s="354"/>
      <c r="C476" s="353"/>
      <c r="D476" s="353"/>
      <c r="E476" s="354">
        <v>100</v>
      </c>
      <c r="F476" s="354"/>
      <c r="G476" s="353"/>
      <c r="H476" s="353"/>
      <c r="I476" s="355"/>
      <c r="J476" s="353"/>
      <c r="K476" s="353"/>
      <c r="L476" s="353"/>
      <c r="M476" s="353"/>
      <c r="N476" s="353"/>
      <c r="O476" s="353"/>
      <c r="P476" s="356">
        <v>2390</v>
      </c>
      <c r="Q476" s="260">
        <v>1</v>
      </c>
      <c r="R476" s="354" t="s">
        <v>62</v>
      </c>
      <c r="S476" s="354">
        <v>2018</v>
      </c>
      <c r="T476" s="354" t="s">
        <v>1094</v>
      </c>
      <c r="U476" s="400">
        <v>43339</v>
      </c>
      <c r="V476" s="387" t="s">
        <v>1705</v>
      </c>
      <c r="W476" s="354">
        <f>COUNT(RawMaterials[[#This Row],[Lab Quantity 1]:[Lab Quantity 4]])</f>
        <v>0</v>
      </c>
      <c r="X47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6" s="392" t="e">
        <f>RawMaterials[[#This Row],[Lab Price 1]]/RawMaterials[[#This Row],[Lab Q Model Units 1]]</f>
        <v>#N/A</v>
      </c>
      <c r="AC476" s="392" t="e">
        <f>RawMaterials[[#This Row],[Lab Price 2]]/RawMaterials[[#This Row],[Lab Q Model Units 2]]</f>
        <v>#N/A</v>
      </c>
      <c r="AD476" s="392" t="e">
        <f>RawMaterials[[#This Row],[Lab Price 3]]/RawMaterials[[#This Row],[Lab Q Model Units 3]]</f>
        <v>#N/A</v>
      </c>
      <c r="AE476" s="392" t="e">
        <f>RawMaterials[[#This Row],[Lab Price 4]]/RawMaterials[[#This Row],[Lab Q Model Units 4]]</f>
        <v>#N/A</v>
      </c>
      <c r="AF476" s="392" t="str">
        <f ca="1">IF(RawMaterials[[#This Row],[Lab Quote Count]]&gt;1,SLOPE(LOG(INDIRECT("RawMaterials[@[Lab Unit P 1]:[Lab Unit P "&amp;RawMaterials[[#This Row],[Lab Quote Count]]&amp;"]]")),LOG(INDIRECT("RawMaterials[@[Lab Q Model Units 1]:[Lab Q Model Units "&amp;RawMaterials[[#This Row],[Lab Quote Count]]&amp;"]]"))),"")</f>
        <v/>
      </c>
      <c r="AG476" s="392" t="str">
        <f ca="1">IF(RawMaterials[[#This Row],[Lab Quote Count]]&gt;1,INTERCEPT(LOG(INDIRECT("RawMaterials[@[Lab Unit P 1]:[Lab Unit P "&amp;RawMaterials[[#This Row],[Lab Quote Count]]&amp;"]]")),LOG(INDIRECT("RawMaterials[@[Lab Q Model Units 1]:[Lab Q Model Units "&amp;RawMaterials[[#This Row],[Lab Quote Count]]&amp;"]]"))),"")</f>
        <v/>
      </c>
      <c r="AH476" s="393" t="str">
        <f>IF(RawMaterials[[#This Row],[Material Type]]="Metal Precursor","D13",IF(RawMaterials[[#This Row],[Material Type]]="Ligand","D13","D12"))</f>
        <v>D12</v>
      </c>
      <c r="AI476" s="394" t="str">
        <f ca="1">IF(RawMaterials[[#This Row],[Lab Quote Count]]&gt;1,10^RawMaterials[[#This Row],[Lab Log-Log Intercept]]*INDIRECT(RawMaterials[[#This Row],[Basis Cell]])^RawMaterials[[#This Row],[Lab Log-Log Slope]],"&gt;&gt;&gt; Enter 2 or more lab quotes &lt;&lt;&lt;")</f>
        <v>&gt;&gt;&gt; Enter 2 or more lab quotes &lt;&lt;&lt;</v>
      </c>
      <c r="AJ47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7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76840.284299020874</v>
      </c>
      <c r="AL476" s="396">
        <f>IF(ISTEXT(RawMaterials[[#This Row],[Unit price in quote year]]),"Check calcs",RawMaterials[[#This Row],[Unit price in quote year]]/VLOOKUP(RawMaterials[[#This Row],[Quote Year]],ChemPPI[],14,FALSE)*VLOOKUP(BasisYear,ChemPPI[],14,FALSE))</f>
        <v>70733.932403349245</v>
      </c>
      <c r="AM476" s="397" t="str">
        <f t="shared" si="7"/>
        <v>$/kg (2016)</v>
      </c>
    </row>
    <row r="477" spans="1:39">
      <c r="A477" s="352" t="s">
        <v>181</v>
      </c>
      <c r="B477" s="354"/>
      <c r="C477" s="353"/>
      <c r="D477" s="353"/>
      <c r="E477" s="354">
        <v>100</v>
      </c>
      <c r="F477" s="354"/>
      <c r="G477" s="353"/>
      <c r="H477" s="353"/>
      <c r="I477" s="355"/>
      <c r="J477" s="353"/>
      <c r="K477" s="353"/>
      <c r="L477" s="353"/>
      <c r="M477" s="353"/>
      <c r="N477" s="353"/>
      <c r="O477" s="353"/>
      <c r="P477" s="356">
        <v>260</v>
      </c>
      <c r="Q477" s="260">
        <v>1</v>
      </c>
      <c r="R477" s="354" t="s">
        <v>62</v>
      </c>
      <c r="S477" s="354">
        <v>2018</v>
      </c>
      <c r="T477" s="354" t="s">
        <v>1094</v>
      </c>
      <c r="U477" s="400">
        <v>43339</v>
      </c>
      <c r="V477" s="387" t="s">
        <v>1705</v>
      </c>
      <c r="W477" s="354">
        <f>COUNT(RawMaterials[[#This Row],[Lab Quantity 1]:[Lab Quantity 4]])</f>
        <v>0</v>
      </c>
      <c r="X47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7" s="392" t="e">
        <f>RawMaterials[[#This Row],[Lab Price 1]]/RawMaterials[[#This Row],[Lab Q Model Units 1]]</f>
        <v>#N/A</v>
      </c>
      <c r="AC477" s="392" t="e">
        <f>RawMaterials[[#This Row],[Lab Price 2]]/RawMaterials[[#This Row],[Lab Q Model Units 2]]</f>
        <v>#N/A</v>
      </c>
      <c r="AD477" s="392" t="e">
        <f>RawMaterials[[#This Row],[Lab Price 3]]/RawMaterials[[#This Row],[Lab Q Model Units 3]]</f>
        <v>#N/A</v>
      </c>
      <c r="AE477" s="392" t="e">
        <f>RawMaterials[[#This Row],[Lab Price 4]]/RawMaterials[[#This Row],[Lab Q Model Units 4]]</f>
        <v>#N/A</v>
      </c>
      <c r="AF477" s="392" t="str">
        <f ca="1">IF(RawMaterials[[#This Row],[Lab Quote Count]]&gt;1,SLOPE(LOG(INDIRECT("RawMaterials[@[Lab Unit P 1]:[Lab Unit P "&amp;RawMaterials[[#This Row],[Lab Quote Count]]&amp;"]]")),LOG(INDIRECT("RawMaterials[@[Lab Q Model Units 1]:[Lab Q Model Units "&amp;RawMaterials[[#This Row],[Lab Quote Count]]&amp;"]]"))),"")</f>
        <v/>
      </c>
      <c r="AG477" s="392" t="str">
        <f ca="1">IF(RawMaterials[[#This Row],[Lab Quote Count]]&gt;1,INTERCEPT(LOG(INDIRECT("RawMaterials[@[Lab Unit P 1]:[Lab Unit P "&amp;RawMaterials[[#This Row],[Lab Quote Count]]&amp;"]]")),LOG(INDIRECT("RawMaterials[@[Lab Q Model Units 1]:[Lab Q Model Units "&amp;RawMaterials[[#This Row],[Lab Quote Count]]&amp;"]]"))),"")</f>
        <v/>
      </c>
      <c r="AH477" s="393" t="str">
        <f>IF(RawMaterials[[#This Row],[Material Type]]="Metal Precursor","D13",IF(RawMaterials[[#This Row],[Material Type]]="Ligand","D13","D12"))</f>
        <v>D12</v>
      </c>
      <c r="AI477" s="394" t="str">
        <f ca="1">IF(RawMaterials[[#This Row],[Lab Quote Count]]&gt;1,10^RawMaterials[[#This Row],[Lab Log-Log Intercept]]*INDIRECT(RawMaterials[[#This Row],[Basis Cell]])^RawMaterials[[#This Row],[Lab Log-Log Slope]],"&gt;&gt;&gt; Enter 2 or more lab quotes &lt;&lt;&lt;")</f>
        <v>&gt;&gt;&gt; Enter 2 or more lab quotes &lt;&lt;&lt;</v>
      </c>
      <c r="AJ47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7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8359.1941078432756</v>
      </c>
      <c r="AL477" s="396">
        <f>IF(ISTEXT(RawMaterials[[#This Row],[Unit price in quote year]]),"Check calcs",RawMaterials[[#This Row],[Unit price in quote year]]/VLOOKUP(RawMaterials[[#This Row],[Quote Year]],ChemPPI[],14,FALSE)*VLOOKUP(BasisYear,ChemPPI[],14,FALSE))</f>
        <v>7694.9047802806717</v>
      </c>
      <c r="AM477" s="397" t="str">
        <f t="shared" si="7"/>
        <v>$/kg (2016)</v>
      </c>
    </row>
    <row r="478" spans="1:39">
      <c r="A478" s="259" t="s">
        <v>1563</v>
      </c>
      <c r="B478" s="260"/>
      <c r="C478" s="351"/>
      <c r="D478" s="351"/>
      <c r="E478" s="260">
        <v>100</v>
      </c>
      <c r="F478" s="260"/>
      <c r="G478" s="351"/>
      <c r="H478" s="351"/>
      <c r="I478" s="262"/>
      <c r="J478" s="351"/>
      <c r="K478" s="351"/>
      <c r="L478" s="351"/>
      <c r="M478" s="351"/>
      <c r="N478" s="351"/>
      <c r="O478" s="351"/>
      <c r="P478" s="261">
        <v>0.8</v>
      </c>
      <c r="Q478" s="260">
        <v>1</v>
      </c>
      <c r="R478" s="260" t="s">
        <v>20</v>
      </c>
      <c r="S478" s="260">
        <v>2006</v>
      </c>
      <c r="T478" s="260" t="s">
        <v>161</v>
      </c>
      <c r="U478" s="386">
        <v>42653</v>
      </c>
      <c r="V478" s="387"/>
      <c r="W478" s="354">
        <f>COUNT(RawMaterials[[#This Row],[Lab Quantity 1]:[Lab Quantity 4]])</f>
        <v>0</v>
      </c>
      <c r="X47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8" s="392" t="e">
        <f>RawMaterials[[#This Row],[Lab Price 1]]/RawMaterials[[#This Row],[Lab Q Model Units 1]]</f>
        <v>#N/A</v>
      </c>
      <c r="AC478" s="392" t="e">
        <f>RawMaterials[[#This Row],[Lab Price 2]]/RawMaterials[[#This Row],[Lab Q Model Units 2]]</f>
        <v>#N/A</v>
      </c>
      <c r="AD478" s="392" t="e">
        <f>RawMaterials[[#This Row],[Lab Price 3]]/RawMaterials[[#This Row],[Lab Q Model Units 3]]</f>
        <v>#N/A</v>
      </c>
      <c r="AE478" s="392" t="e">
        <f>RawMaterials[[#This Row],[Lab Price 4]]/RawMaterials[[#This Row],[Lab Q Model Units 4]]</f>
        <v>#N/A</v>
      </c>
      <c r="AF478" s="392" t="str">
        <f ca="1">IF(RawMaterials[[#This Row],[Lab Quote Count]]&gt;1,SLOPE(LOG(INDIRECT("RawMaterials[@[Lab Unit P 1]:[Lab Unit P "&amp;RawMaterials[[#This Row],[Lab Quote Count]]&amp;"]]")),LOG(INDIRECT("RawMaterials[@[Lab Q Model Units 1]:[Lab Q Model Units "&amp;RawMaterials[[#This Row],[Lab Quote Count]]&amp;"]]"))),"")</f>
        <v/>
      </c>
      <c r="AG478" s="392" t="str">
        <f ca="1">IF(RawMaterials[[#This Row],[Lab Quote Count]]&gt;1,INTERCEPT(LOG(INDIRECT("RawMaterials[@[Lab Unit P 1]:[Lab Unit P "&amp;RawMaterials[[#This Row],[Lab Quote Count]]&amp;"]]")),LOG(INDIRECT("RawMaterials[@[Lab Q Model Units 1]:[Lab Q Model Units "&amp;RawMaterials[[#This Row],[Lab Quote Count]]&amp;"]]"))),"")</f>
        <v/>
      </c>
      <c r="AH478" s="393" t="str">
        <f>IF(RawMaterials[[#This Row],[Material Type]]="Metal Precursor","D13",IF(RawMaterials[[#This Row],[Material Type]]="Ligand","D13","D12"))</f>
        <v>D12</v>
      </c>
      <c r="AI478" s="394" t="str">
        <f ca="1">IF(RawMaterials[[#This Row],[Lab Quote Count]]&gt;1,10^RawMaterials[[#This Row],[Lab Log-Log Intercept]]*INDIRECT(RawMaterials[[#This Row],[Basis Cell]])^RawMaterials[[#This Row],[Lab Log-Log Slope]],"&gt;&gt;&gt; Enter 2 or more lab quotes &lt;&lt;&lt;")</f>
        <v>&gt;&gt;&gt; Enter 2 or more lab quotes &lt;&lt;&lt;</v>
      </c>
      <c r="AJ47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1.7636980974790206</v>
      </c>
      <c r="AL478" s="396">
        <f>IF(ISTEXT(RawMaterials[[#This Row],[Unit price in quote year]]),"Check calcs",RawMaterials[[#This Row],[Unit price in quote year]]/VLOOKUP(RawMaterials[[#This Row],[Quote Year]],ChemPPI[],14,FALSE)*VLOOKUP(BasisYear,ChemPPI[],14,FALSE))</f>
        <v>2.3937183020154804</v>
      </c>
      <c r="AM478" s="397" t="str">
        <f t="shared" si="7"/>
        <v>$/kg (2016)</v>
      </c>
    </row>
    <row r="479" spans="1:39">
      <c r="A479" s="259" t="s">
        <v>1564</v>
      </c>
      <c r="B479" s="260"/>
      <c r="C479" s="351"/>
      <c r="D479" s="351"/>
      <c r="E479" s="260">
        <v>100</v>
      </c>
      <c r="F479" s="260"/>
      <c r="G479" s="351"/>
      <c r="H479" s="351"/>
      <c r="I479" s="262"/>
      <c r="J479" s="351"/>
      <c r="K479" s="351"/>
      <c r="L479" s="351"/>
      <c r="M479" s="351"/>
      <c r="N479" s="351"/>
      <c r="O479" s="351"/>
      <c r="P479" s="261">
        <v>0.72499999999999998</v>
      </c>
      <c r="Q479" s="260">
        <v>1</v>
      </c>
      <c r="R479" s="260" t="s">
        <v>20</v>
      </c>
      <c r="S479" s="260">
        <v>2006</v>
      </c>
      <c r="T479" s="260" t="s">
        <v>161</v>
      </c>
      <c r="U479" s="386">
        <v>42653</v>
      </c>
      <c r="V479" s="387"/>
      <c r="W479" s="354">
        <f>COUNT(RawMaterials[[#This Row],[Lab Quantity 1]:[Lab Quantity 4]])</f>
        <v>0</v>
      </c>
      <c r="X47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9" s="392" t="e">
        <f>RawMaterials[[#This Row],[Lab Price 1]]/RawMaterials[[#This Row],[Lab Q Model Units 1]]</f>
        <v>#N/A</v>
      </c>
      <c r="AC479" s="392" t="e">
        <f>RawMaterials[[#This Row],[Lab Price 2]]/RawMaterials[[#This Row],[Lab Q Model Units 2]]</f>
        <v>#N/A</v>
      </c>
      <c r="AD479" s="392" t="e">
        <f>RawMaterials[[#This Row],[Lab Price 3]]/RawMaterials[[#This Row],[Lab Q Model Units 3]]</f>
        <v>#N/A</v>
      </c>
      <c r="AE479" s="392" t="e">
        <f>RawMaterials[[#This Row],[Lab Price 4]]/RawMaterials[[#This Row],[Lab Q Model Units 4]]</f>
        <v>#N/A</v>
      </c>
      <c r="AF479" s="392" t="str">
        <f ca="1">IF(RawMaterials[[#This Row],[Lab Quote Count]]&gt;1,SLOPE(LOG(INDIRECT("RawMaterials[@[Lab Unit P 1]:[Lab Unit P "&amp;RawMaterials[[#This Row],[Lab Quote Count]]&amp;"]]")),LOG(INDIRECT("RawMaterials[@[Lab Q Model Units 1]:[Lab Q Model Units "&amp;RawMaterials[[#This Row],[Lab Quote Count]]&amp;"]]"))),"")</f>
        <v/>
      </c>
      <c r="AG479" s="392" t="str">
        <f ca="1">IF(RawMaterials[[#This Row],[Lab Quote Count]]&gt;1,INTERCEPT(LOG(INDIRECT("RawMaterials[@[Lab Unit P 1]:[Lab Unit P "&amp;RawMaterials[[#This Row],[Lab Quote Count]]&amp;"]]")),LOG(INDIRECT("RawMaterials[@[Lab Q Model Units 1]:[Lab Q Model Units "&amp;RawMaterials[[#This Row],[Lab Quote Count]]&amp;"]]"))),"")</f>
        <v/>
      </c>
      <c r="AH479" s="393" t="str">
        <f>IF(RawMaterials[[#This Row],[Material Type]]="Metal Precursor","D13",IF(RawMaterials[[#This Row],[Material Type]]="Ligand","D13","D12"))</f>
        <v>D12</v>
      </c>
      <c r="AI479" s="394" t="str">
        <f ca="1">IF(RawMaterials[[#This Row],[Lab Quote Count]]&gt;1,10^RawMaterials[[#This Row],[Lab Log-Log Intercept]]*INDIRECT(RawMaterials[[#This Row],[Basis Cell]])^RawMaterials[[#This Row],[Lab Log-Log Slope]],"&gt;&gt;&gt; Enter 2 or more lab quotes &lt;&lt;&lt;")</f>
        <v>&gt;&gt;&gt; Enter 2 or more lab quotes &lt;&lt;&lt;</v>
      </c>
      <c r="AJ47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1.5983514008403623</v>
      </c>
      <c r="AL479" s="396">
        <f>IF(ISTEXT(RawMaterials[[#This Row],[Unit price in quote year]]),"Check calcs",RawMaterials[[#This Row],[Unit price in quote year]]/VLOOKUP(RawMaterials[[#This Row],[Quote Year]],ChemPPI[],14,FALSE)*VLOOKUP(BasisYear,ChemPPI[],14,FALSE))</f>
        <v>2.1693072112015286</v>
      </c>
      <c r="AM479" s="397" t="str">
        <f t="shared" si="7"/>
        <v>$/kg (2016)</v>
      </c>
    </row>
    <row r="480" spans="1:39">
      <c r="A480" s="259" t="s">
        <v>1565</v>
      </c>
      <c r="B480" s="260"/>
      <c r="C480" s="351"/>
      <c r="D480" s="351"/>
      <c r="E480" s="260">
        <v>100</v>
      </c>
      <c r="F480" s="260"/>
      <c r="G480" s="351"/>
      <c r="H480" s="351"/>
      <c r="I480" s="262"/>
      <c r="J480" s="351"/>
      <c r="K480" s="351"/>
      <c r="L480" s="351"/>
      <c r="M480" s="351"/>
      <c r="N480" s="351"/>
      <c r="O480" s="351"/>
      <c r="P480" s="261">
        <v>1.2050000000000001</v>
      </c>
      <c r="Q480" s="260">
        <v>1</v>
      </c>
      <c r="R480" s="260" t="s">
        <v>20</v>
      </c>
      <c r="S480" s="260">
        <v>2006</v>
      </c>
      <c r="T480" s="260" t="s">
        <v>161</v>
      </c>
      <c r="U480" s="386">
        <v>42653</v>
      </c>
      <c r="V480" s="387"/>
      <c r="W480" s="354">
        <f>COUNT(RawMaterials[[#This Row],[Lab Quantity 1]:[Lab Quantity 4]])</f>
        <v>0</v>
      </c>
      <c r="X48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0" s="392" t="e">
        <f>RawMaterials[[#This Row],[Lab Price 1]]/RawMaterials[[#This Row],[Lab Q Model Units 1]]</f>
        <v>#N/A</v>
      </c>
      <c r="AC480" s="392" t="e">
        <f>RawMaterials[[#This Row],[Lab Price 2]]/RawMaterials[[#This Row],[Lab Q Model Units 2]]</f>
        <v>#N/A</v>
      </c>
      <c r="AD480" s="392" t="e">
        <f>RawMaterials[[#This Row],[Lab Price 3]]/RawMaterials[[#This Row],[Lab Q Model Units 3]]</f>
        <v>#N/A</v>
      </c>
      <c r="AE480" s="392" t="e">
        <f>RawMaterials[[#This Row],[Lab Price 4]]/RawMaterials[[#This Row],[Lab Q Model Units 4]]</f>
        <v>#N/A</v>
      </c>
      <c r="AF480" s="392" t="str">
        <f ca="1">IF(RawMaterials[[#This Row],[Lab Quote Count]]&gt;1,SLOPE(LOG(INDIRECT("RawMaterials[@[Lab Unit P 1]:[Lab Unit P "&amp;RawMaterials[[#This Row],[Lab Quote Count]]&amp;"]]")),LOG(INDIRECT("RawMaterials[@[Lab Q Model Units 1]:[Lab Q Model Units "&amp;RawMaterials[[#This Row],[Lab Quote Count]]&amp;"]]"))),"")</f>
        <v/>
      </c>
      <c r="AG480" s="392" t="str">
        <f ca="1">IF(RawMaterials[[#This Row],[Lab Quote Count]]&gt;1,INTERCEPT(LOG(INDIRECT("RawMaterials[@[Lab Unit P 1]:[Lab Unit P "&amp;RawMaterials[[#This Row],[Lab Quote Count]]&amp;"]]")),LOG(INDIRECT("RawMaterials[@[Lab Q Model Units 1]:[Lab Q Model Units "&amp;RawMaterials[[#This Row],[Lab Quote Count]]&amp;"]]"))),"")</f>
        <v/>
      </c>
      <c r="AH480" s="393" t="str">
        <f>IF(RawMaterials[[#This Row],[Material Type]]="Metal Precursor","D13",IF(RawMaterials[[#This Row],[Material Type]]="Ligand","D13","D12"))</f>
        <v>D12</v>
      </c>
      <c r="AI480" s="394" t="str">
        <f ca="1">IF(RawMaterials[[#This Row],[Lab Quote Count]]&gt;1,10^RawMaterials[[#This Row],[Lab Log-Log Intercept]]*INDIRECT(RawMaterials[[#This Row],[Basis Cell]])^RawMaterials[[#This Row],[Lab Log-Log Slope]],"&gt;&gt;&gt; Enter 2 or more lab quotes &lt;&lt;&lt;")</f>
        <v>&gt;&gt;&gt; Enter 2 or more lab quotes &lt;&lt;&lt;</v>
      </c>
      <c r="AJ48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2.6565702593277747</v>
      </c>
      <c r="AL480" s="396">
        <f>IF(ISTEXT(RawMaterials[[#This Row],[Unit price in quote year]]),"Check calcs",RawMaterials[[#This Row],[Unit price in quote year]]/VLOOKUP(RawMaterials[[#This Row],[Quote Year]],ChemPPI[],14,FALSE)*VLOOKUP(BasisYear,ChemPPI[],14,FALSE))</f>
        <v>3.6055381924108167</v>
      </c>
      <c r="AM480" s="397" t="str">
        <f t="shared" si="7"/>
        <v>$/kg (2016)</v>
      </c>
    </row>
    <row r="481" spans="1:39">
      <c r="A481" s="259" t="s">
        <v>1566</v>
      </c>
      <c r="B481" s="260"/>
      <c r="C481" s="351"/>
      <c r="D481" s="351"/>
      <c r="E481" s="260">
        <v>100</v>
      </c>
      <c r="F481" s="260"/>
      <c r="G481" s="351"/>
      <c r="H481" s="351"/>
      <c r="I481" s="262"/>
      <c r="J481" s="351"/>
      <c r="K481" s="351"/>
      <c r="L481" s="351"/>
      <c r="M481" s="351"/>
      <c r="N481" s="351"/>
      <c r="O481" s="351"/>
      <c r="P481" s="261">
        <v>1.48</v>
      </c>
      <c r="Q481" s="260">
        <v>1</v>
      </c>
      <c r="R481" s="260" t="s">
        <v>20</v>
      </c>
      <c r="S481" s="260">
        <v>2006</v>
      </c>
      <c r="T481" s="260" t="s">
        <v>161</v>
      </c>
      <c r="U481" s="386">
        <v>42653</v>
      </c>
      <c r="V481" s="387"/>
      <c r="W481" s="354">
        <f>COUNT(RawMaterials[[#This Row],[Lab Quantity 1]:[Lab Quantity 4]])</f>
        <v>0</v>
      </c>
      <c r="X48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1" s="392" t="e">
        <f>RawMaterials[[#This Row],[Lab Price 1]]/RawMaterials[[#This Row],[Lab Q Model Units 1]]</f>
        <v>#N/A</v>
      </c>
      <c r="AC481" s="392" t="e">
        <f>RawMaterials[[#This Row],[Lab Price 2]]/RawMaterials[[#This Row],[Lab Q Model Units 2]]</f>
        <v>#N/A</v>
      </c>
      <c r="AD481" s="392" t="e">
        <f>RawMaterials[[#This Row],[Lab Price 3]]/RawMaterials[[#This Row],[Lab Q Model Units 3]]</f>
        <v>#N/A</v>
      </c>
      <c r="AE481" s="392" t="e">
        <f>RawMaterials[[#This Row],[Lab Price 4]]/RawMaterials[[#This Row],[Lab Q Model Units 4]]</f>
        <v>#N/A</v>
      </c>
      <c r="AF481" s="392" t="str">
        <f ca="1">IF(RawMaterials[[#This Row],[Lab Quote Count]]&gt;1,SLOPE(LOG(INDIRECT("RawMaterials[@[Lab Unit P 1]:[Lab Unit P "&amp;RawMaterials[[#This Row],[Lab Quote Count]]&amp;"]]")),LOG(INDIRECT("RawMaterials[@[Lab Q Model Units 1]:[Lab Q Model Units "&amp;RawMaterials[[#This Row],[Lab Quote Count]]&amp;"]]"))),"")</f>
        <v/>
      </c>
      <c r="AG481" s="392" t="str">
        <f ca="1">IF(RawMaterials[[#This Row],[Lab Quote Count]]&gt;1,INTERCEPT(LOG(INDIRECT("RawMaterials[@[Lab Unit P 1]:[Lab Unit P "&amp;RawMaterials[[#This Row],[Lab Quote Count]]&amp;"]]")),LOG(INDIRECT("RawMaterials[@[Lab Q Model Units 1]:[Lab Q Model Units "&amp;RawMaterials[[#This Row],[Lab Quote Count]]&amp;"]]"))),"")</f>
        <v/>
      </c>
      <c r="AH481" s="393" t="str">
        <f>IF(RawMaterials[[#This Row],[Material Type]]="Metal Precursor","D13",IF(RawMaterials[[#This Row],[Material Type]]="Ligand","D13","D12"))</f>
        <v>D12</v>
      </c>
      <c r="AI481" s="394" t="str">
        <f ca="1">IF(RawMaterials[[#This Row],[Lab Quote Count]]&gt;1,10^RawMaterials[[#This Row],[Lab Log-Log Intercept]]*INDIRECT(RawMaterials[[#This Row],[Basis Cell]])^RawMaterials[[#This Row],[Lab Log-Log Slope]],"&gt;&gt;&gt; Enter 2 or more lab quotes &lt;&lt;&lt;")</f>
        <v>&gt;&gt;&gt; Enter 2 or more lab quotes &lt;&lt;&lt;</v>
      </c>
      <c r="AJ48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3.262841480336188</v>
      </c>
      <c r="AL481" s="396">
        <f>IF(ISTEXT(RawMaterials[[#This Row],[Unit price in quote year]]),"Check calcs",RawMaterials[[#This Row],[Unit price in quote year]]/VLOOKUP(RawMaterials[[#This Row],[Quote Year]],ChemPPI[],14,FALSE)*VLOOKUP(BasisYear,ChemPPI[],14,FALSE))</f>
        <v>4.4283788587286379</v>
      </c>
      <c r="AM481" s="397" t="str">
        <f t="shared" si="7"/>
        <v>$/kg (2016)</v>
      </c>
    </row>
    <row r="482" spans="1:39">
      <c r="A482" s="259" t="s">
        <v>1567</v>
      </c>
      <c r="B482" s="260"/>
      <c r="C482" s="351"/>
      <c r="D482" s="351"/>
      <c r="E482" s="260">
        <v>100</v>
      </c>
      <c r="F482" s="260"/>
      <c r="G482" s="351"/>
      <c r="H482" s="351"/>
      <c r="I482" s="262"/>
      <c r="J482" s="351"/>
      <c r="K482" s="351"/>
      <c r="L482" s="351"/>
      <c r="M482" s="351"/>
      <c r="N482" s="351"/>
      <c r="O482" s="351"/>
      <c r="P482" s="261">
        <v>3.92</v>
      </c>
      <c r="Q482" s="260">
        <v>1</v>
      </c>
      <c r="R482" s="260" t="s">
        <v>20</v>
      </c>
      <c r="S482" s="260">
        <v>2006</v>
      </c>
      <c r="T482" s="260" t="s">
        <v>161</v>
      </c>
      <c r="U482" s="386">
        <v>42653</v>
      </c>
      <c r="V482" s="387"/>
      <c r="W482" s="354">
        <f>COUNT(RawMaterials[[#This Row],[Lab Quantity 1]:[Lab Quantity 4]])</f>
        <v>0</v>
      </c>
      <c r="X48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2" s="392" t="e">
        <f>RawMaterials[[#This Row],[Lab Price 1]]/RawMaterials[[#This Row],[Lab Q Model Units 1]]</f>
        <v>#N/A</v>
      </c>
      <c r="AC482" s="392" t="e">
        <f>RawMaterials[[#This Row],[Lab Price 2]]/RawMaterials[[#This Row],[Lab Q Model Units 2]]</f>
        <v>#N/A</v>
      </c>
      <c r="AD482" s="392" t="e">
        <f>RawMaterials[[#This Row],[Lab Price 3]]/RawMaterials[[#This Row],[Lab Q Model Units 3]]</f>
        <v>#N/A</v>
      </c>
      <c r="AE482" s="392" t="e">
        <f>RawMaterials[[#This Row],[Lab Price 4]]/RawMaterials[[#This Row],[Lab Q Model Units 4]]</f>
        <v>#N/A</v>
      </c>
      <c r="AF482" s="392" t="str">
        <f ca="1">IF(RawMaterials[[#This Row],[Lab Quote Count]]&gt;1,SLOPE(LOG(INDIRECT("RawMaterials[@[Lab Unit P 1]:[Lab Unit P "&amp;RawMaterials[[#This Row],[Lab Quote Count]]&amp;"]]")),LOG(INDIRECT("RawMaterials[@[Lab Q Model Units 1]:[Lab Q Model Units "&amp;RawMaterials[[#This Row],[Lab Quote Count]]&amp;"]]"))),"")</f>
        <v/>
      </c>
      <c r="AG482" s="392" t="str">
        <f ca="1">IF(RawMaterials[[#This Row],[Lab Quote Count]]&gt;1,INTERCEPT(LOG(INDIRECT("RawMaterials[@[Lab Unit P 1]:[Lab Unit P "&amp;RawMaterials[[#This Row],[Lab Quote Count]]&amp;"]]")),LOG(INDIRECT("RawMaterials[@[Lab Q Model Units 1]:[Lab Q Model Units "&amp;RawMaterials[[#This Row],[Lab Quote Count]]&amp;"]]"))),"")</f>
        <v/>
      </c>
      <c r="AH482" s="393" t="str">
        <f>IF(RawMaterials[[#This Row],[Material Type]]="Metal Precursor","D13",IF(RawMaterials[[#This Row],[Material Type]]="Ligand","D13","D12"))</f>
        <v>D12</v>
      </c>
      <c r="AI482" s="394" t="str">
        <f ca="1">IF(RawMaterials[[#This Row],[Lab Quote Count]]&gt;1,10^RawMaterials[[#This Row],[Lab Log-Log Intercept]]*INDIRECT(RawMaterials[[#This Row],[Basis Cell]])^RawMaterials[[#This Row],[Lab Log-Log Slope]],"&gt;&gt;&gt; Enter 2 or more lab quotes &lt;&lt;&lt;")</f>
        <v>&gt;&gt;&gt; Enter 2 or more lab quotes &lt;&lt;&lt;</v>
      </c>
      <c r="AJ48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8.6421206776472008</v>
      </c>
      <c r="AL482" s="396">
        <f>IF(ISTEXT(RawMaterials[[#This Row],[Unit price in quote year]]),"Check calcs",RawMaterials[[#This Row],[Unit price in quote year]]/VLOOKUP(RawMaterials[[#This Row],[Quote Year]],ChemPPI[],14,FALSE)*VLOOKUP(BasisYear,ChemPPI[],14,FALSE))</f>
        <v>11.729219679875852</v>
      </c>
      <c r="AM482" s="397" t="str">
        <f t="shared" si="7"/>
        <v>$/kg (2016)</v>
      </c>
    </row>
    <row r="483" spans="1:39">
      <c r="A483" s="259" t="s">
        <v>1568</v>
      </c>
      <c r="B483" s="260"/>
      <c r="C483" s="351"/>
      <c r="D483" s="351"/>
      <c r="E483" s="260">
        <v>100</v>
      </c>
      <c r="F483" s="260"/>
      <c r="G483" s="351"/>
      <c r="H483" s="351"/>
      <c r="I483" s="262"/>
      <c r="J483" s="351"/>
      <c r="K483" s="351"/>
      <c r="L483" s="351"/>
      <c r="M483" s="351"/>
      <c r="N483" s="351"/>
      <c r="O483" s="351"/>
      <c r="P483" s="261">
        <v>1475</v>
      </c>
      <c r="Q483" s="260">
        <v>1</v>
      </c>
      <c r="R483" s="260" t="s">
        <v>71</v>
      </c>
      <c r="S483" s="260">
        <v>2006</v>
      </c>
      <c r="T483" s="260" t="s">
        <v>161</v>
      </c>
      <c r="U483" s="386">
        <v>42653</v>
      </c>
      <c r="V483" s="387"/>
      <c r="W483" s="354">
        <f>COUNT(RawMaterials[[#This Row],[Lab Quantity 1]:[Lab Quantity 4]])</f>
        <v>0</v>
      </c>
      <c r="X48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3" s="392" t="e">
        <f>RawMaterials[[#This Row],[Lab Price 1]]/RawMaterials[[#This Row],[Lab Q Model Units 1]]</f>
        <v>#N/A</v>
      </c>
      <c r="AC483" s="392" t="e">
        <f>RawMaterials[[#This Row],[Lab Price 2]]/RawMaterials[[#This Row],[Lab Q Model Units 2]]</f>
        <v>#N/A</v>
      </c>
      <c r="AD483" s="392" t="e">
        <f>RawMaterials[[#This Row],[Lab Price 3]]/RawMaterials[[#This Row],[Lab Q Model Units 3]]</f>
        <v>#N/A</v>
      </c>
      <c r="AE483" s="392" t="e">
        <f>RawMaterials[[#This Row],[Lab Price 4]]/RawMaterials[[#This Row],[Lab Q Model Units 4]]</f>
        <v>#N/A</v>
      </c>
      <c r="AF483" s="392" t="str">
        <f ca="1">IF(RawMaterials[[#This Row],[Lab Quote Count]]&gt;1,SLOPE(LOG(INDIRECT("RawMaterials[@[Lab Unit P 1]:[Lab Unit P "&amp;RawMaterials[[#This Row],[Lab Quote Count]]&amp;"]]")),LOG(INDIRECT("RawMaterials[@[Lab Q Model Units 1]:[Lab Q Model Units "&amp;RawMaterials[[#This Row],[Lab Quote Count]]&amp;"]]"))),"")</f>
        <v/>
      </c>
      <c r="AG483" s="392" t="str">
        <f ca="1">IF(RawMaterials[[#This Row],[Lab Quote Count]]&gt;1,INTERCEPT(LOG(INDIRECT("RawMaterials[@[Lab Unit P 1]:[Lab Unit P "&amp;RawMaterials[[#This Row],[Lab Quote Count]]&amp;"]]")),LOG(INDIRECT("RawMaterials[@[Lab Q Model Units 1]:[Lab Q Model Units "&amp;RawMaterials[[#This Row],[Lab Quote Count]]&amp;"]]"))),"")</f>
        <v/>
      </c>
      <c r="AH483" s="393" t="str">
        <f>IF(RawMaterials[[#This Row],[Material Type]]="Metal Precursor","D13",IF(RawMaterials[[#This Row],[Material Type]]="Ligand","D13","D12"))</f>
        <v>D12</v>
      </c>
      <c r="AI483" s="394" t="str">
        <f ca="1">IF(RawMaterials[[#This Row],[Lab Quote Count]]&gt;1,10^RawMaterials[[#This Row],[Lab Log-Log Intercept]]*INDIRECT(RawMaterials[[#This Row],[Basis Cell]])^RawMaterials[[#This Row],[Lab Log-Log Slope]],"&gt;&gt;&gt; Enter 2 or more lab quotes &lt;&lt;&lt;")</f>
        <v>&gt;&gt;&gt; Enter 2 or more lab quotes &lt;&lt;&lt;</v>
      </c>
      <c r="AJ48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1475</v>
      </c>
      <c r="AL483" s="396">
        <f>IF(ISTEXT(RawMaterials[[#This Row],[Unit price in quote year]]),"Check calcs",RawMaterials[[#This Row],[Unit price in quote year]]/VLOOKUP(RawMaterials[[#This Row],[Quote Year]],ChemPPI[],14,FALSE)*VLOOKUP(BasisYear,ChemPPI[],14,FALSE))</f>
        <v>2001.892784552846</v>
      </c>
      <c r="AM483" s="397" t="str">
        <f t="shared" si="7"/>
        <v>$/kg (2016)</v>
      </c>
    </row>
    <row r="484" spans="1:39">
      <c r="A484" s="259" t="s">
        <v>1569</v>
      </c>
      <c r="B484" s="260"/>
      <c r="C484" s="351"/>
      <c r="D484" s="351"/>
      <c r="E484" s="260">
        <v>100</v>
      </c>
      <c r="F484" s="260"/>
      <c r="G484" s="351"/>
      <c r="H484" s="351"/>
      <c r="I484" s="262"/>
      <c r="J484" s="351"/>
      <c r="K484" s="351"/>
      <c r="L484" s="351"/>
      <c r="M484" s="351"/>
      <c r="N484" s="351"/>
      <c r="O484" s="351"/>
      <c r="P484" s="261">
        <v>1350</v>
      </c>
      <c r="Q484" s="260">
        <v>1</v>
      </c>
      <c r="R484" s="260" t="s">
        <v>71</v>
      </c>
      <c r="S484" s="260">
        <v>2006</v>
      </c>
      <c r="T484" s="260" t="s">
        <v>161</v>
      </c>
      <c r="U484" s="386">
        <v>42653</v>
      </c>
      <c r="V484" s="387"/>
      <c r="W484" s="354">
        <f>COUNT(RawMaterials[[#This Row],[Lab Quantity 1]:[Lab Quantity 4]])</f>
        <v>0</v>
      </c>
      <c r="X48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4" s="392" t="e">
        <f>RawMaterials[[#This Row],[Lab Price 1]]/RawMaterials[[#This Row],[Lab Q Model Units 1]]</f>
        <v>#N/A</v>
      </c>
      <c r="AC484" s="392" t="e">
        <f>RawMaterials[[#This Row],[Lab Price 2]]/RawMaterials[[#This Row],[Lab Q Model Units 2]]</f>
        <v>#N/A</v>
      </c>
      <c r="AD484" s="392" t="e">
        <f>RawMaterials[[#This Row],[Lab Price 3]]/RawMaterials[[#This Row],[Lab Q Model Units 3]]</f>
        <v>#N/A</v>
      </c>
      <c r="AE484" s="392" t="e">
        <f>RawMaterials[[#This Row],[Lab Price 4]]/RawMaterials[[#This Row],[Lab Q Model Units 4]]</f>
        <v>#N/A</v>
      </c>
      <c r="AF484" s="392" t="str">
        <f ca="1">IF(RawMaterials[[#This Row],[Lab Quote Count]]&gt;1,SLOPE(LOG(INDIRECT("RawMaterials[@[Lab Unit P 1]:[Lab Unit P "&amp;RawMaterials[[#This Row],[Lab Quote Count]]&amp;"]]")),LOG(INDIRECT("RawMaterials[@[Lab Q Model Units 1]:[Lab Q Model Units "&amp;RawMaterials[[#This Row],[Lab Quote Count]]&amp;"]]"))),"")</f>
        <v/>
      </c>
      <c r="AG484" s="392" t="str">
        <f ca="1">IF(RawMaterials[[#This Row],[Lab Quote Count]]&gt;1,INTERCEPT(LOG(INDIRECT("RawMaterials[@[Lab Unit P 1]:[Lab Unit P "&amp;RawMaterials[[#This Row],[Lab Quote Count]]&amp;"]]")),LOG(INDIRECT("RawMaterials[@[Lab Q Model Units 1]:[Lab Q Model Units "&amp;RawMaterials[[#This Row],[Lab Quote Count]]&amp;"]]"))),"")</f>
        <v/>
      </c>
      <c r="AH484" s="393" t="str">
        <f>IF(RawMaterials[[#This Row],[Material Type]]="Metal Precursor","D13",IF(RawMaterials[[#This Row],[Material Type]]="Ligand","D13","D12"))</f>
        <v>D12</v>
      </c>
      <c r="AI484" s="394" t="str">
        <f ca="1">IF(RawMaterials[[#This Row],[Lab Quote Count]]&gt;1,10^RawMaterials[[#This Row],[Lab Log-Log Intercept]]*INDIRECT(RawMaterials[[#This Row],[Basis Cell]])^RawMaterials[[#This Row],[Lab Log-Log Slope]],"&gt;&gt;&gt; Enter 2 or more lab quotes &lt;&lt;&lt;")</f>
        <v>&gt;&gt;&gt; Enter 2 or more lab quotes &lt;&lt;&lt;</v>
      </c>
      <c r="AJ48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1350</v>
      </c>
      <c r="AL484" s="396">
        <f>IF(ISTEXT(RawMaterials[[#This Row],[Unit price in quote year]]),"Check calcs",RawMaterials[[#This Row],[Unit price in quote year]]/VLOOKUP(RawMaterials[[#This Row],[Quote Year]],ChemPPI[],14,FALSE)*VLOOKUP(BasisYear,ChemPPI[],14,FALSE))</f>
        <v>1832.2408536585369</v>
      </c>
      <c r="AM484" s="397" t="str">
        <f t="shared" si="7"/>
        <v>$/kg (2016)</v>
      </c>
    </row>
    <row r="485" spans="1:39">
      <c r="A485" s="259" t="s">
        <v>1570</v>
      </c>
      <c r="B485" s="260"/>
      <c r="C485" s="351"/>
      <c r="D485" s="351"/>
      <c r="E485" s="260">
        <v>100</v>
      </c>
      <c r="F485" s="260"/>
      <c r="G485" s="351"/>
      <c r="H485" s="351"/>
      <c r="I485" s="262"/>
      <c r="J485" s="351"/>
      <c r="K485" s="351"/>
      <c r="L485" s="351"/>
      <c r="M485" s="351"/>
      <c r="N485" s="351"/>
      <c r="O485" s="351"/>
      <c r="P485" s="261">
        <v>2.0249999999999999</v>
      </c>
      <c r="Q485" s="260">
        <v>1</v>
      </c>
      <c r="R485" s="260" t="s">
        <v>20</v>
      </c>
      <c r="S485" s="260">
        <v>2006</v>
      </c>
      <c r="T485" s="260" t="s">
        <v>161</v>
      </c>
      <c r="U485" s="386">
        <v>42653</v>
      </c>
      <c r="V485" s="387"/>
      <c r="W485" s="354">
        <f>COUNT(RawMaterials[[#This Row],[Lab Quantity 1]:[Lab Quantity 4]])</f>
        <v>0</v>
      </c>
      <c r="X48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5" s="392" t="e">
        <f>RawMaterials[[#This Row],[Lab Price 1]]/RawMaterials[[#This Row],[Lab Q Model Units 1]]</f>
        <v>#N/A</v>
      </c>
      <c r="AC485" s="392" t="e">
        <f>RawMaterials[[#This Row],[Lab Price 2]]/RawMaterials[[#This Row],[Lab Q Model Units 2]]</f>
        <v>#N/A</v>
      </c>
      <c r="AD485" s="392" t="e">
        <f>RawMaterials[[#This Row],[Lab Price 3]]/RawMaterials[[#This Row],[Lab Q Model Units 3]]</f>
        <v>#N/A</v>
      </c>
      <c r="AE485" s="392" t="e">
        <f>RawMaterials[[#This Row],[Lab Price 4]]/RawMaterials[[#This Row],[Lab Q Model Units 4]]</f>
        <v>#N/A</v>
      </c>
      <c r="AF485" s="392" t="str">
        <f ca="1">IF(RawMaterials[[#This Row],[Lab Quote Count]]&gt;1,SLOPE(LOG(INDIRECT("RawMaterials[@[Lab Unit P 1]:[Lab Unit P "&amp;RawMaterials[[#This Row],[Lab Quote Count]]&amp;"]]")),LOG(INDIRECT("RawMaterials[@[Lab Q Model Units 1]:[Lab Q Model Units "&amp;RawMaterials[[#This Row],[Lab Quote Count]]&amp;"]]"))),"")</f>
        <v/>
      </c>
      <c r="AG485" s="392" t="str">
        <f ca="1">IF(RawMaterials[[#This Row],[Lab Quote Count]]&gt;1,INTERCEPT(LOG(INDIRECT("RawMaterials[@[Lab Unit P 1]:[Lab Unit P "&amp;RawMaterials[[#This Row],[Lab Quote Count]]&amp;"]]")),LOG(INDIRECT("RawMaterials[@[Lab Q Model Units 1]:[Lab Q Model Units "&amp;RawMaterials[[#This Row],[Lab Quote Count]]&amp;"]]"))),"")</f>
        <v/>
      </c>
      <c r="AH485" s="393" t="str">
        <f>IF(RawMaterials[[#This Row],[Material Type]]="Metal Precursor","D13",IF(RawMaterials[[#This Row],[Material Type]]="Ligand","D13","D12"))</f>
        <v>D12</v>
      </c>
      <c r="AI485" s="394" t="str">
        <f ca="1">IF(RawMaterials[[#This Row],[Lab Quote Count]]&gt;1,10^RawMaterials[[#This Row],[Lab Log-Log Intercept]]*INDIRECT(RawMaterials[[#This Row],[Basis Cell]])^RawMaterials[[#This Row],[Lab Log-Log Slope]],"&gt;&gt;&gt; Enter 2 or more lab quotes &lt;&lt;&lt;")</f>
        <v>&gt;&gt;&gt; Enter 2 or more lab quotes &lt;&lt;&lt;</v>
      </c>
      <c r="AJ48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4.4643608092437708</v>
      </c>
      <c r="AL485" s="396">
        <f>IF(ISTEXT(RawMaterials[[#This Row],[Unit price in quote year]]),"Check calcs",RawMaterials[[#This Row],[Unit price in quote year]]/VLOOKUP(RawMaterials[[#This Row],[Quote Year]],ChemPPI[],14,FALSE)*VLOOKUP(BasisYear,ChemPPI[],14,FALSE))</f>
        <v>6.0590994519766834</v>
      </c>
      <c r="AM485" s="397" t="str">
        <f t="shared" si="7"/>
        <v>$/kg (2016)</v>
      </c>
    </row>
    <row r="486" spans="1:39">
      <c r="A486" s="259" t="s">
        <v>1571</v>
      </c>
      <c r="B486" s="260"/>
      <c r="C486" s="351"/>
      <c r="D486" s="351"/>
      <c r="E486" s="260">
        <v>100</v>
      </c>
      <c r="F486" s="260"/>
      <c r="G486" s="351"/>
      <c r="H486" s="351"/>
      <c r="I486" s="262"/>
      <c r="J486" s="351"/>
      <c r="K486" s="351"/>
      <c r="L486" s="351"/>
      <c r="M486" s="351"/>
      <c r="N486" s="351"/>
      <c r="O486" s="351"/>
      <c r="P486" s="261">
        <v>1.9</v>
      </c>
      <c r="Q486" s="260">
        <v>1</v>
      </c>
      <c r="R486" s="260" t="s">
        <v>20</v>
      </c>
      <c r="S486" s="260">
        <v>2006</v>
      </c>
      <c r="T486" s="260" t="s">
        <v>161</v>
      </c>
      <c r="U486" s="386">
        <v>42653</v>
      </c>
      <c r="V486" s="387"/>
      <c r="W486" s="354">
        <f>COUNT(RawMaterials[[#This Row],[Lab Quantity 1]:[Lab Quantity 4]])</f>
        <v>0</v>
      </c>
      <c r="X48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6" s="392" t="e">
        <f>RawMaterials[[#This Row],[Lab Price 1]]/RawMaterials[[#This Row],[Lab Q Model Units 1]]</f>
        <v>#N/A</v>
      </c>
      <c r="AC486" s="392" t="e">
        <f>RawMaterials[[#This Row],[Lab Price 2]]/RawMaterials[[#This Row],[Lab Q Model Units 2]]</f>
        <v>#N/A</v>
      </c>
      <c r="AD486" s="392" t="e">
        <f>RawMaterials[[#This Row],[Lab Price 3]]/RawMaterials[[#This Row],[Lab Q Model Units 3]]</f>
        <v>#N/A</v>
      </c>
      <c r="AE486" s="392" t="e">
        <f>RawMaterials[[#This Row],[Lab Price 4]]/RawMaterials[[#This Row],[Lab Q Model Units 4]]</f>
        <v>#N/A</v>
      </c>
      <c r="AF486" s="392" t="str">
        <f ca="1">IF(RawMaterials[[#This Row],[Lab Quote Count]]&gt;1,SLOPE(LOG(INDIRECT("RawMaterials[@[Lab Unit P 1]:[Lab Unit P "&amp;RawMaterials[[#This Row],[Lab Quote Count]]&amp;"]]")),LOG(INDIRECT("RawMaterials[@[Lab Q Model Units 1]:[Lab Q Model Units "&amp;RawMaterials[[#This Row],[Lab Quote Count]]&amp;"]]"))),"")</f>
        <v/>
      </c>
      <c r="AG486" s="392" t="str">
        <f ca="1">IF(RawMaterials[[#This Row],[Lab Quote Count]]&gt;1,INTERCEPT(LOG(INDIRECT("RawMaterials[@[Lab Unit P 1]:[Lab Unit P "&amp;RawMaterials[[#This Row],[Lab Quote Count]]&amp;"]]")),LOG(INDIRECT("RawMaterials[@[Lab Q Model Units 1]:[Lab Q Model Units "&amp;RawMaterials[[#This Row],[Lab Quote Count]]&amp;"]]"))),"")</f>
        <v/>
      </c>
      <c r="AH486" s="393" t="str">
        <f>IF(RawMaterials[[#This Row],[Material Type]]="Metal Precursor","D13",IF(RawMaterials[[#This Row],[Material Type]]="Ligand","D13","D12"))</f>
        <v>D12</v>
      </c>
      <c r="AI486" s="394" t="str">
        <f ca="1">IF(RawMaterials[[#This Row],[Lab Quote Count]]&gt;1,10^RawMaterials[[#This Row],[Lab Log-Log Intercept]]*INDIRECT(RawMaterials[[#This Row],[Basis Cell]])^RawMaterials[[#This Row],[Lab Log-Log Slope]],"&gt;&gt;&gt; Enter 2 or more lab quotes &lt;&lt;&lt;")</f>
        <v>&gt;&gt;&gt; Enter 2 or more lab quotes &lt;&lt;&lt;</v>
      </c>
      <c r="AJ48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4.1887829815126736</v>
      </c>
      <c r="AL486" s="396">
        <f>IF(ISTEXT(RawMaterials[[#This Row],[Unit price in quote year]]),"Check calcs",RawMaterials[[#This Row],[Unit price in quote year]]/VLOOKUP(RawMaterials[[#This Row],[Quote Year]],ChemPPI[],14,FALSE)*VLOOKUP(BasisYear,ChemPPI[],14,FALSE))</f>
        <v>5.6850809672867646</v>
      </c>
      <c r="AM486" s="397" t="str">
        <f t="shared" si="7"/>
        <v>$/kg (2016)</v>
      </c>
    </row>
    <row r="487" spans="1:39">
      <c r="A487" s="259" t="s">
        <v>1572</v>
      </c>
      <c r="B487" s="260"/>
      <c r="C487" s="351"/>
      <c r="D487" s="351"/>
      <c r="E487" s="260">
        <v>100</v>
      </c>
      <c r="F487" s="260"/>
      <c r="G487" s="351"/>
      <c r="H487" s="351"/>
      <c r="I487" s="262"/>
      <c r="J487" s="351"/>
      <c r="K487" s="351"/>
      <c r="L487" s="351"/>
      <c r="M487" s="351"/>
      <c r="N487" s="351"/>
      <c r="O487" s="351"/>
      <c r="P487" s="261">
        <v>0.68500000000000005</v>
      </c>
      <c r="Q487" s="260">
        <v>1</v>
      </c>
      <c r="R487" s="260" t="s">
        <v>20</v>
      </c>
      <c r="S487" s="260">
        <v>2006</v>
      </c>
      <c r="T487" s="260" t="s">
        <v>161</v>
      </c>
      <c r="U487" s="386">
        <v>42653</v>
      </c>
      <c r="V487" s="387"/>
      <c r="W487" s="354">
        <f>COUNT(RawMaterials[[#This Row],[Lab Quantity 1]:[Lab Quantity 4]])</f>
        <v>0</v>
      </c>
      <c r="X48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7" s="392" t="e">
        <f>RawMaterials[[#This Row],[Lab Price 1]]/RawMaterials[[#This Row],[Lab Q Model Units 1]]</f>
        <v>#N/A</v>
      </c>
      <c r="AC487" s="392" t="e">
        <f>RawMaterials[[#This Row],[Lab Price 2]]/RawMaterials[[#This Row],[Lab Q Model Units 2]]</f>
        <v>#N/A</v>
      </c>
      <c r="AD487" s="392" t="e">
        <f>RawMaterials[[#This Row],[Lab Price 3]]/RawMaterials[[#This Row],[Lab Q Model Units 3]]</f>
        <v>#N/A</v>
      </c>
      <c r="AE487" s="392" t="e">
        <f>RawMaterials[[#This Row],[Lab Price 4]]/RawMaterials[[#This Row],[Lab Q Model Units 4]]</f>
        <v>#N/A</v>
      </c>
      <c r="AF487" s="392" t="str">
        <f ca="1">IF(RawMaterials[[#This Row],[Lab Quote Count]]&gt;1,SLOPE(LOG(INDIRECT("RawMaterials[@[Lab Unit P 1]:[Lab Unit P "&amp;RawMaterials[[#This Row],[Lab Quote Count]]&amp;"]]")),LOG(INDIRECT("RawMaterials[@[Lab Q Model Units 1]:[Lab Q Model Units "&amp;RawMaterials[[#This Row],[Lab Quote Count]]&amp;"]]"))),"")</f>
        <v/>
      </c>
      <c r="AG487" s="392" t="str">
        <f ca="1">IF(RawMaterials[[#This Row],[Lab Quote Count]]&gt;1,INTERCEPT(LOG(INDIRECT("RawMaterials[@[Lab Unit P 1]:[Lab Unit P "&amp;RawMaterials[[#This Row],[Lab Quote Count]]&amp;"]]")),LOG(INDIRECT("RawMaterials[@[Lab Q Model Units 1]:[Lab Q Model Units "&amp;RawMaterials[[#This Row],[Lab Quote Count]]&amp;"]]"))),"")</f>
        <v/>
      </c>
      <c r="AH487" s="393" t="str">
        <f>IF(RawMaterials[[#This Row],[Material Type]]="Metal Precursor","D13",IF(RawMaterials[[#This Row],[Material Type]]="Ligand","D13","D12"))</f>
        <v>D12</v>
      </c>
      <c r="AI487" s="394" t="str">
        <f ca="1">IF(RawMaterials[[#This Row],[Lab Quote Count]]&gt;1,10^RawMaterials[[#This Row],[Lab Log-Log Intercept]]*INDIRECT(RawMaterials[[#This Row],[Basis Cell]])^RawMaterials[[#This Row],[Lab Log-Log Slope]],"&gt;&gt;&gt; Enter 2 or more lab quotes &lt;&lt;&lt;")</f>
        <v>&gt;&gt;&gt; Enter 2 or more lab quotes &lt;&lt;&lt;</v>
      </c>
      <c r="AJ48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1.5101664959664114</v>
      </c>
      <c r="AL487" s="396">
        <f>IF(ISTEXT(RawMaterials[[#This Row],[Unit price in quote year]]),"Check calcs",RawMaterials[[#This Row],[Unit price in quote year]]/VLOOKUP(RawMaterials[[#This Row],[Quote Year]],ChemPPI[],14,FALSE)*VLOOKUP(BasisYear,ChemPPI[],14,FALSE))</f>
        <v>2.0496212961007547</v>
      </c>
      <c r="AM487" s="397" t="str">
        <f t="shared" si="7"/>
        <v>$/kg (2016)</v>
      </c>
    </row>
    <row r="488" spans="1:39">
      <c r="A488" s="352" t="s">
        <v>187</v>
      </c>
      <c r="B488" s="354"/>
      <c r="C488" s="353"/>
      <c r="D488" s="353"/>
      <c r="E488" s="354">
        <v>100</v>
      </c>
      <c r="F488" s="354"/>
      <c r="G488" s="353"/>
      <c r="H488" s="353"/>
      <c r="I488" s="355"/>
      <c r="J488" s="353"/>
      <c r="K488" s="353"/>
      <c r="L488" s="353"/>
      <c r="M488" s="353"/>
      <c r="N488" s="353"/>
      <c r="O488" s="353"/>
      <c r="P488" s="356">
        <v>14.58</v>
      </c>
      <c r="Q488" s="260">
        <v>1</v>
      </c>
      <c r="R488" s="354" t="s">
        <v>62</v>
      </c>
      <c r="S488" s="354">
        <v>2018</v>
      </c>
      <c r="T488" s="354" t="s">
        <v>1094</v>
      </c>
      <c r="U488" s="400">
        <v>43339</v>
      </c>
      <c r="V488" s="387" t="s">
        <v>1705</v>
      </c>
      <c r="W488" s="354">
        <f>COUNT(RawMaterials[[#This Row],[Lab Quantity 1]:[Lab Quantity 4]])</f>
        <v>0</v>
      </c>
      <c r="X48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8" s="392" t="e">
        <f>RawMaterials[[#This Row],[Lab Price 1]]/RawMaterials[[#This Row],[Lab Q Model Units 1]]</f>
        <v>#N/A</v>
      </c>
      <c r="AC488" s="392" t="e">
        <f>RawMaterials[[#This Row],[Lab Price 2]]/RawMaterials[[#This Row],[Lab Q Model Units 2]]</f>
        <v>#N/A</v>
      </c>
      <c r="AD488" s="392" t="e">
        <f>RawMaterials[[#This Row],[Lab Price 3]]/RawMaterials[[#This Row],[Lab Q Model Units 3]]</f>
        <v>#N/A</v>
      </c>
      <c r="AE488" s="392" t="e">
        <f>RawMaterials[[#This Row],[Lab Price 4]]/RawMaterials[[#This Row],[Lab Q Model Units 4]]</f>
        <v>#N/A</v>
      </c>
      <c r="AF488" s="392" t="str">
        <f ca="1">IF(RawMaterials[[#This Row],[Lab Quote Count]]&gt;1,SLOPE(LOG(INDIRECT("RawMaterials[@[Lab Unit P 1]:[Lab Unit P "&amp;RawMaterials[[#This Row],[Lab Quote Count]]&amp;"]]")),LOG(INDIRECT("RawMaterials[@[Lab Q Model Units 1]:[Lab Q Model Units "&amp;RawMaterials[[#This Row],[Lab Quote Count]]&amp;"]]"))),"")</f>
        <v/>
      </c>
      <c r="AG488" s="392" t="str">
        <f ca="1">IF(RawMaterials[[#This Row],[Lab Quote Count]]&gt;1,INTERCEPT(LOG(INDIRECT("RawMaterials[@[Lab Unit P 1]:[Lab Unit P "&amp;RawMaterials[[#This Row],[Lab Quote Count]]&amp;"]]")),LOG(INDIRECT("RawMaterials[@[Lab Q Model Units 1]:[Lab Q Model Units "&amp;RawMaterials[[#This Row],[Lab Quote Count]]&amp;"]]"))),"")</f>
        <v/>
      </c>
      <c r="AH488" s="393" t="str">
        <f>IF(RawMaterials[[#This Row],[Material Type]]="Metal Precursor","D13",IF(RawMaterials[[#This Row],[Material Type]]="Ligand","D13","D12"))</f>
        <v>D12</v>
      </c>
      <c r="AI488" s="394" t="str">
        <f ca="1">IF(RawMaterials[[#This Row],[Lab Quote Count]]&gt;1,10^RawMaterials[[#This Row],[Lab Log-Log Intercept]]*INDIRECT(RawMaterials[[#This Row],[Basis Cell]])^RawMaterials[[#This Row],[Lab Log-Log Slope]],"&gt;&gt;&gt; Enter 2 or more lab quotes &lt;&lt;&lt;")</f>
        <v>&gt;&gt;&gt; Enter 2 or more lab quotes &lt;&lt;&lt;</v>
      </c>
      <c r="AJ48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8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468.75788497059597</v>
      </c>
      <c r="AL488" s="396">
        <f>IF(ISTEXT(RawMaterials[[#This Row],[Unit price in quote year]]),"Check calcs",RawMaterials[[#This Row],[Unit price in quote year]]/VLOOKUP(RawMaterials[[#This Row],[Quote Year]],ChemPPI[],14,FALSE)*VLOOKUP(BasisYear,ChemPPI[],14,FALSE))</f>
        <v>431.50658344804691</v>
      </c>
      <c r="AM488" s="397" t="str">
        <f t="shared" si="7"/>
        <v>$/kg (2016)</v>
      </c>
    </row>
    <row r="489" spans="1:39">
      <c r="A489" s="259" t="s">
        <v>1573</v>
      </c>
      <c r="B489" s="260"/>
      <c r="C489" s="351"/>
      <c r="D489" s="351"/>
      <c r="E489" s="260">
        <v>100</v>
      </c>
      <c r="F489" s="260"/>
      <c r="G489" s="351"/>
      <c r="H489" s="351"/>
      <c r="I489" s="262"/>
      <c r="J489" s="351"/>
      <c r="K489" s="351"/>
      <c r="L489" s="351"/>
      <c r="M489" s="351"/>
      <c r="N489" s="351"/>
      <c r="O489" s="351"/>
      <c r="P489" s="261">
        <v>165</v>
      </c>
      <c r="Q489" s="260">
        <v>1</v>
      </c>
      <c r="R489" s="260" t="s">
        <v>401</v>
      </c>
      <c r="S489" s="260">
        <v>2008</v>
      </c>
      <c r="T489" s="260" t="s">
        <v>161</v>
      </c>
      <c r="U489" s="386">
        <v>42653</v>
      </c>
      <c r="V489" s="387"/>
      <c r="W489" s="354">
        <f>COUNT(RawMaterials[[#This Row],[Lab Quantity 1]:[Lab Quantity 4]])</f>
        <v>0</v>
      </c>
      <c r="X48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9" s="392" t="e">
        <f>RawMaterials[[#This Row],[Lab Price 1]]/RawMaterials[[#This Row],[Lab Q Model Units 1]]</f>
        <v>#N/A</v>
      </c>
      <c r="AC489" s="392" t="e">
        <f>RawMaterials[[#This Row],[Lab Price 2]]/RawMaterials[[#This Row],[Lab Q Model Units 2]]</f>
        <v>#N/A</v>
      </c>
      <c r="AD489" s="392" t="e">
        <f>RawMaterials[[#This Row],[Lab Price 3]]/RawMaterials[[#This Row],[Lab Q Model Units 3]]</f>
        <v>#N/A</v>
      </c>
      <c r="AE489" s="392" t="e">
        <f>RawMaterials[[#This Row],[Lab Price 4]]/RawMaterials[[#This Row],[Lab Q Model Units 4]]</f>
        <v>#N/A</v>
      </c>
      <c r="AF489" s="392" t="str">
        <f ca="1">IF(RawMaterials[[#This Row],[Lab Quote Count]]&gt;1,SLOPE(LOG(INDIRECT("RawMaterials[@[Lab Unit P 1]:[Lab Unit P "&amp;RawMaterials[[#This Row],[Lab Quote Count]]&amp;"]]")),LOG(INDIRECT("RawMaterials[@[Lab Q Model Units 1]:[Lab Q Model Units "&amp;RawMaterials[[#This Row],[Lab Quote Count]]&amp;"]]"))),"")</f>
        <v/>
      </c>
      <c r="AG489" s="392" t="str">
        <f ca="1">IF(RawMaterials[[#This Row],[Lab Quote Count]]&gt;1,INTERCEPT(LOG(INDIRECT("RawMaterials[@[Lab Unit P 1]:[Lab Unit P "&amp;RawMaterials[[#This Row],[Lab Quote Count]]&amp;"]]")),LOG(INDIRECT("RawMaterials[@[Lab Q Model Units 1]:[Lab Q Model Units "&amp;RawMaterials[[#This Row],[Lab Quote Count]]&amp;"]]"))),"")</f>
        <v/>
      </c>
      <c r="AH489" s="393" t="str">
        <f>IF(RawMaterials[[#This Row],[Material Type]]="Metal Precursor","D13",IF(RawMaterials[[#This Row],[Material Type]]="Ligand","D13","D12"))</f>
        <v>D12</v>
      </c>
      <c r="AI489" s="394" t="str">
        <f ca="1">IF(RawMaterials[[#This Row],[Lab Quote Count]]&gt;1,10^RawMaterials[[#This Row],[Lab Log-Log Intercept]]*INDIRECT(RawMaterials[[#This Row],[Basis Cell]])^RawMaterials[[#This Row],[Lab Log-Log Slope]],"&gt;&gt;&gt; Enter 2 or more lab quotes &lt;&lt;&lt;")</f>
        <v>&gt;&gt;&gt; Enter 2 or more lab quotes &lt;&lt;&lt;</v>
      </c>
      <c r="AJ48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8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0.18188136630252399</v>
      </c>
      <c r="AL489" s="396">
        <f>IF(ISTEXT(RawMaterials[[#This Row],[Unit price in quote year]]),"Check calcs",RawMaterials[[#This Row],[Unit price in quote year]]/VLOOKUP(RawMaterials[[#This Row],[Quote Year]],ChemPPI[],14,FALSE)*VLOOKUP(BasisYear,ChemPPI[],14,FALSE))</f>
        <v>0.21287790953910898</v>
      </c>
      <c r="AM489" s="397" t="str">
        <f t="shared" si="7"/>
        <v>$/kg (2016)</v>
      </c>
    </row>
    <row r="490" spans="1:39">
      <c r="A490" s="259" t="s">
        <v>1574</v>
      </c>
      <c r="B490" s="260"/>
      <c r="C490" s="351"/>
      <c r="D490" s="351"/>
      <c r="E490" s="260">
        <v>100</v>
      </c>
      <c r="F490" s="260"/>
      <c r="G490" s="351"/>
      <c r="H490" s="351"/>
      <c r="I490" s="262"/>
      <c r="J490" s="351"/>
      <c r="K490" s="351"/>
      <c r="L490" s="351"/>
      <c r="M490" s="351"/>
      <c r="N490" s="351"/>
      <c r="O490" s="351"/>
      <c r="P490" s="261">
        <v>5.75</v>
      </c>
      <c r="Q490" s="260">
        <v>1</v>
      </c>
      <c r="R490" s="260" t="s">
        <v>20</v>
      </c>
      <c r="S490" s="260">
        <v>2006</v>
      </c>
      <c r="T490" s="260" t="s">
        <v>161</v>
      </c>
      <c r="U490" s="386">
        <v>42653</v>
      </c>
      <c r="V490" s="387"/>
      <c r="W490" s="354">
        <f>COUNT(RawMaterials[[#This Row],[Lab Quantity 1]:[Lab Quantity 4]])</f>
        <v>0</v>
      </c>
      <c r="X49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0" s="392" t="e">
        <f>RawMaterials[[#This Row],[Lab Price 1]]/RawMaterials[[#This Row],[Lab Q Model Units 1]]</f>
        <v>#N/A</v>
      </c>
      <c r="AC490" s="392" t="e">
        <f>RawMaterials[[#This Row],[Lab Price 2]]/RawMaterials[[#This Row],[Lab Q Model Units 2]]</f>
        <v>#N/A</v>
      </c>
      <c r="AD490" s="392" t="e">
        <f>RawMaterials[[#This Row],[Lab Price 3]]/RawMaterials[[#This Row],[Lab Q Model Units 3]]</f>
        <v>#N/A</v>
      </c>
      <c r="AE490" s="392" t="e">
        <f>RawMaterials[[#This Row],[Lab Price 4]]/RawMaterials[[#This Row],[Lab Q Model Units 4]]</f>
        <v>#N/A</v>
      </c>
      <c r="AF490" s="392" t="str">
        <f ca="1">IF(RawMaterials[[#This Row],[Lab Quote Count]]&gt;1,SLOPE(LOG(INDIRECT("RawMaterials[@[Lab Unit P 1]:[Lab Unit P "&amp;RawMaterials[[#This Row],[Lab Quote Count]]&amp;"]]")),LOG(INDIRECT("RawMaterials[@[Lab Q Model Units 1]:[Lab Q Model Units "&amp;RawMaterials[[#This Row],[Lab Quote Count]]&amp;"]]"))),"")</f>
        <v/>
      </c>
      <c r="AG490" s="392" t="str">
        <f ca="1">IF(RawMaterials[[#This Row],[Lab Quote Count]]&gt;1,INTERCEPT(LOG(INDIRECT("RawMaterials[@[Lab Unit P 1]:[Lab Unit P "&amp;RawMaterials[[#This Row],[Lab Quote Count]]&amp;"]]")),LOG(INDIRECT("RawMaterials[@[Lab Q Model Units 1]:[Lab Q Model Units "&amp;RawMaterials[[#This Row],[Lab Quote Count]]&amp;"]]"))),"")</f>
        <v/>
      </c>
      <c r="AH490" s="393" t="str">
        <f>IF(RawMaterials[[#This Row],[Material Type]]="Metal Precursor","D13",IF(RawMaterials[[#This Row],[Material Type]]="Ligand","D13","D12"))</f>
        <v>D12</v>
      </c>
      <c r="AI490" s="394" t="str">
        <f ca="1">IF(RawMaterials[[#This Row],[Lab Quote Count]]&gt;1,10^RawMaterials[[#This Row],[Lab Log-Log Intercept]]*INDIRECT(RawMaterials[[#This Row],[Basis Cell]])^RawMaterials[[#This Row],[Lab Log-Log Slope]],"&gt;&gt;&gt; Enter 2 or more lab quotes &lt;&lt;&lt;")</f>
        <v>&gt;&gt;&gt; Enter 2 or more lab quotes &lt;&lt;&lt;</v>
      </c>
      <c r="AJ49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12.67658007563046</v>
      </c>
      <c r="AL490" s="396">
        <f>IF(ISTEXT(RawMaterials[[#This Row],[Unit price in quote year]]),"Check calcs",RawMaterials[[#This Row],[Unit price in quote year]]/VLOOKUP(RawMaterials[[#This Row],[Quote Year]],ChemPPI[],14,FALSE)*VLOOKUP(BasisYear,ChemPPI[],14,FALSE))</f>
        <v>17.204850295736261</v>
      </c>
      <c r="AM490" s="397" t="str">
        <f t="shared" si="7"/>
        <v>$/kg (2016)</v>
      </c>
    </row>
    <row r="491" spans="1:39">
      <c r="A491" s="259" t="s">
        <v>1575</v>
      </c>
      <c r="B491" s="260"/>
      <c r="C491" s="351"/>
      <c r="D491" s="351"/>
      <c r="E491" s="260">
        <v>100</v>
      </c>
      <c r="F491" s="260"/>
      <c r="G491" s="351"/>
      <c r="H491" s="351"/>
      <c r="I491" s="262"/>
      <c r="J491" s="351"/>
      <c r="K491" s="351"/>
      <c r="L491" s="351"/>
      <c r="M491" s="351"/>
      <c r="N491" s="351"/>
      <c r="O491" s="351"/>
      <c r="P491" s="261">
        <v>13.75</v>
      </c>
      <c r="Q491" s="260">
        <v>1</v>
      </c>
      <c r="R491" s="260" t="s">
        <v>71</v>
      </c>
      <c r="S491" s="260">
        <v>2006</v>
      </c>
      <c r="T491" s="260" t="s">
        <v>161</v>
      </c>
      <c r="U491" s="386">
        <v>42653</v>
      </c>
      <c r="V491" s="387"/>
      <c r="W491" s="354">
        <f>COUNT(RawMaterials[[#This Row],[Lab Quantity 1]:[Lab Quantity 4]])</f>
        <v>0</v>
      </c>
      <c r="X49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1" s="392" t="e">
        <f>RawMaterials[[#This Row],[Lab Price 1]]/RawMaterials[[#This Row],[Lab Q Model Units 1]]</f>
        <v>#N/A</v>
      </c>
      <c r="AC491" s="392" t="e">
        <f>RawMaterials[[#This Row],[Lab Price 2]]/RawMaterials[[#This Row],[Lab Q Model Units 2]]</f>
        <v>#N/A</v>
      </c>
      <c r="AD491" s="392" t="e">
        <f>RawMaterials[[#This Row],[Lab Price 3]]/RawMaterials[[#This Row],[Lab Q Model Units 3]]</f>
        <v>#N/A</v>
      </c>
      <c r="AE491" s="392" t="e">
        <f>RawMaterials[[#This Row],[Lab Price 4]]/RawMaterials[[#This Row],[Lab Q Model Units 4]]</f>
        <v>#N/A</v>
      </c>
      <c r="AF491" s="392" t="str">
        <f ca="1">IF(RawMaterials[[#This Row],[Lab Quote Count]]&gt;1,SLOPE(LOG(INDIRECT("RawMaterials[@[Lab Unit P 1]:[Lab Unit P "&amp;RawMaterials[[#This Row],[Lab Quote Count]]&amp;"]]")),LOG(INDIRECT("RawMaterials[@[Lab Q Model Units 1]:[Lab Q Model Units "&amp;RawMaterials[[#This Row],[Lab Quote Count]]&amp;"]]"))),"")</f>
        <v/>
      </c>
      <c r="AG491" s="392" t="str">
        <f ca="1">IF(RawMaterials[[#This Row],[Lab Quote Count]]&gt;1,INTERCEPT(LOG(INDIRECT("RawMaterials[@[Lab Unit P 1]:[Lab Unit P "&amp;RawMaterials[[#This Row],[Lab Quote Count]]&amp;"]]")),LOG(INDIRECT("RawMaterials[@[Lab Q Model Units 1]:[Lab Q Model Units "&amp;RawMaterials[[#This Row],[Lab Quote Count]]&amp;"]]"))),"")</f>
        <v/>
      </c>
      <c r="AH491" s="393" t="str">
        <f>IF(RawMaterials[[#This Row],[Material Type]]="Metal Precursor","D13",IF(RawMaterials[[#This Row],[Material Type]]="Ligand","D13","D12"))</f>
        <v>D12</v>
      </c>
      <c r="AI491" s="394" t="str">
        <f ca="1">IF(RawMaterials[[#This Row],[Lab Quote Count]]&gt;1,10^RawMaterials[[#This Row],[Lab Log-Log Intercept]]*INDIRECT(RawMaterials[[#This Row],[Basis Cell]])^RawMaterials[[#This Row],[Lab Log-Log Slope]],"&gt;&gt;&gt; Enter 2 or more lab quotes &lt;&lt;&lt;")</f>
        <v>&gt;&gt;&gt; Enter 2 or more lab quotes &lt;&lt;&lt;</v>
      </c>
      <c r="AJ49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13.75</v>
      </c>
      <c r="AL491" s="396">
        <f>IF(ISTEXT(RawMaterials[[#This Row],[Unit price in quote year]]),"Check calcs",RawMaterials[[#This Row],[Unit price in quote year]]/VLOOKUP(RawMaterials[[#This Row],[Quote Year]],ChemPPI[],14,FALSE)*VLOOKUP(BasisYear,ChemPPI[],14,FALSE))</f>
        <v>18.661712398373986</v>
      </c>
      <c r="AM491" s="397" t="str">
        <f t="shared" si="7"/>
        <v>$/kg (2016)</v>
      </c>
    </row>
    <row r="492" spans="1:39">
      <c r="A492" s="259" t="s">
        <v>1576</v>
      </c>
      <c r="B492" s="260"/>
      <c r="C492" s="351"/>
      <c r="D492" s="351"/>
      <c r="E492" s="260">
        <v>100</v>
      </c>
      <c r="F492" s="260"/>
      <c r="G492" s="351"/>
      <c r="H492" s="351"/>
      <c r="I492" s="262"/>
      <c r="J492" s="351"/>
      <c r="K492" s="351"/>
      <c r="L492" s="351"/>
      <c r="M492" s="351"/>
      <c r="N492" s="351"/>
      <c r="O492" s="351"/>
      <c r="P492" s="261">
        <v>0.80500000000000005</v>
      </c>
      <c r="Q492" s="260">
        <v>1</v>
      </c>
      <c r="R492" s="260" t="s">
        <v>20</v>
      </c>
      <c r="S492" s="260">
        <v>2006</v>
      </c>
      <c r="T492" s="260" t="s">
        <v>161</v>
      </c>
      <c r="U492" s="386">
        <v>42653</v>
      </c>
      <c r="V492" s="387"/>
      <c r="W492" s="354">
        <f>COUNT(RawMaterials[[#This Row],[Lab Quantity 1]:[Lab Quantity 4]])</f>
        <v>0</v>
      </c>
      <c r="X49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2" s="392" t="e">
        <f>RawMaterials[[#This Row],[Lab Price 1]]/RawMaterials[[#This Row],[Lab Q Model Units 1]]</f>
        <v>#N/A</v>
      </c>
      <c r="AC492" s="392" t="e">
        <f>RawMaterials[[#This Row],[Lab Price 2]]/RawMaterials[[#This Row],[Lab Q Model Units 2]]</f>
        <v>#N/A</v>
      </c>
      <c r="AD492" s="392" t="e">
        <f>RawMaterials[[#This Row],[Lab Price 3]]/RawMaterials[[#This Row],[Lab Q Model Units 3]]</f>
        <v>#N/A</v>
      </c>
      <c r="AE492" s="392" t="e">
        <f>RawMaterials[[#This Row],[Lab Price 4]]/RawMaterials[[#This Row],[Lab Q Model Units 4]]</f>
        <v>#N/A</v>
      </c>
      <c r="AF492" s="392" t="str">
        <f ca="1">IF(RawMaterials[[#This Row],[Lab Quote Count]]&gt;1,SLOPE(LOG(INDIRECT("RawMaterials[@[Lab Unit P 1]:[Lab Unit P "&amp;RawMaterials[[#This Row],[Lab Quote Count]]&amp;"]]")),LOG(INDIRECT("RawMaterials[@[Lab Q Model Units 1]:[Lab Q Model Units "&amp;RawMaterials[[#This Row],[Lab Quote Count]]&amp;"]]"))),"")</f>
        <v/>
      </c>
      <c r="AG492" s="392" t="str">
        <f ca="1">IF(RawMaterials[[#This Row],[Lab Quote Count]]&gt;1,INTERCEPT(LOG(INDIRECT("RawMaterials[@[Lab Unit P 1]:[Lab Unit P "&amp;RawMaterials[[#This Row],[Lab Quote Count]]&amp;"]]")),LOG(INDIRECT("RawMaterials[@[Lab Q Model Units 1]:[Lab Q Model Units "&amp;RawMaterials[[#This Row],[Lab Quote Count]]&amp;"]]"))),"")</f>
        <v/>
      </c>
      <c r="AH492" s="393" t="str">
        <f>IF(RawMaterials[[#This Row],[Material Type]]="Metal Precursor","D13",IF(RawMaterials[[#This Row],[Material Type]]="Ligand","D13","D12"))</f>
        <v>D12</v>
      </c>
      <c r="AI492" s="394" t="str">
        <f ca="1">IF(RawMaterials[[#This Row],[Lab Quote Count]]&gt;1,10^RawMaterials[[#This Row],[Lab Log-Log Intercept]]*INDIRECT(RawMaterials[[#This Row],[Basis Cell]])^RawMaterials[[#This Row],[Lab Log-Log Slope]],"&gt;&gt;&gt; Enter 2 or more lab quotes &lt;&lt;&lt;")</f>
        <v>&gt;&gt;&gt; Enter 2 or more lab quotes &lt;&lt;&lt;</v>
      </c>
      <c r="AJ49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1.7747212105882646</v>
      </c>
      <c r="AL492" s="396">
        <f>IF(ISTEXT(RawMaterials[[#This Row],[Unit price in quote year]]),"Check calcs",RawMaterials[[#This Row],[Unit price in quote year]]/VLOOKUP(RawMaterials[[#This Row],[Quote Year]],ChemPPI[],14,FALSE)*VLOOKUP(BasisYear,ChemPPI[],14,FALSE))</f>
        <v>2.4086790414030772</v>
      </c>
      <c r="AM492" s="397" t="str">
        <f t="shared" si="7"/>
        <v>$/kg (2016)</v>
      </c>
    </row>
    <row r="493" spans="1:39">
      <c r="A493" s="259" t="s">
        <v>1577</v>
      </c>
      <c r="B493" s="260"/>
      <c r="C493" s="351"/>
      <c r="D493" s="351"/>
      <c r="E493" s="260">
        <v>100</v>
      </c>
      <c r="F493" s="260"/>
      <c r="G493" s="351"/>
      <c r="H493" s="351"/>
      <c r="I493" s="262"/>
      <c r="J493" s="351"/>
      <c r="K493" s="351"/>
      <c r="L493" s="351"/>
      <c r="M493" s="351"/>
      <c r="N493" s="351"/>
      <c r="O493" s="351"/>
      <c r="P493" s="261">
        <v>0.89500000000000002</v>
      </c>
      <c r="Q493" s="260">
        <v>1</v>
      </c>
      <c r="R493" s="260" t="s">
        <v>20</v>
      </c>
      <c r="S493" s="260">
        <v>2006</v>
      </c>
      <c r="T493" s="260" t="s">
        <v>161</v>
      </c>
      <c r="U493" s="386">
        <v>42653</v>
      </c>
      <c r="V493" s="387"/>
      <c r="W493" s="354">
        <f>COUNT(RawMaterials[[#This Row],[Lab Quantity 1]:[Lab Quantity 4]])</f>
        <v>0</v>
      </c>
      <c r="X49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3" s="392" t="e">
        <f>RawMaterials[[#This Row],[Lab Price 1]]/RawMaterials[[#This Row],[Lab Q Model Units 1]]</f>
        <v>#N/A</v>
      </c>
      <c r="AC493" s="392" t="e">
        <f>RawMaterials[[#This Row],[Lab Price 2]]/RawMaterials[[#This Row],[Lab Q Model Units 2]]</f>
        <v>#N/A</v>
      </c>
      <c r="AD493" s="392" t="e">
        <f>RawMaterials[[#This Row],[Lab Price 3]]/RawMaterials[[#This Row],[Lab Q Model Units 3]]</f>
        <v>#N/A</v>
      </c>
      <c r="AE493" s="392" t="e">
        <f>RawMaterials[[#This Row],[Lab Price 4]]/RawMaterials[[#This Row],[Lab Q Model Units 4]]</f>
        <v>#N/A</v>
      </c>
      <c r="AF493" s="392" t="str">
        <f ca="1">IF(RawMaterials[[#This Row],[Lab Quote Count]]&gt;1,SLOPE(LOG(INDIRECT("RawMaterials[@[Lab Unit P 1]:[Lab Unit P "&amp;RawMaterials[[#This Row],[Lab Quote Count]]&amp;"]]")),LOG(INDIRECT("RawMaterials[@[Lab Q Model Units 1]:[Lab Q Model Units "&amp;RawMaterials[[#This Row],[Lab Quote Count]]&amp;"]]"))),"")</f>
        <v/>
      </c>
      <c r="AG493" s="392" t="str">
        <f ca="1">IF(RawMaterials[[#This Row],[Lab Quote Count]]&gt;1,INTERCEPT(LOG(INDIRECT("RawMaterials[@[Lab Unit P 1]:[Lab Unit P "&amp;RawMaterials[[#This Row],[Lab Quote Count]]&amp;"]]")),LOG(INDIRECT("RawMaterials[@[Lab Q Model Units 1]:[Lab Q Model Units "&amp;RawMaterials[[#This Row],[Lab Quote Count]]&amp;"]]"))),"")</f>
        <v/>
      </c>
      <c r="AH493" s="393" t="str">
        <f>IF(RawMaterials[[#This Row],[Material Type]]="Metal Precursor","D13",IF(RawMaterials[[#This Row],[Material Type]]="Ligand","D13","D12"))</f>
        <v>D12</v>
      </c>
      <c r="AI493" s="394" t="str">
        <f ca="1">IF(RawMaterials[[#This Row],[Lab Quote Count]]&gt;1,10^RawMaterials[[#This Row],[Lab Log-Log Intercept]]*INDIRECT(RawMaterials[[#This Row],[Basis Cell]])^RawMaterials[[#This Row],[Lab Log-Log Slope]],"&gt;&gt;&gt; Enter 2 or more lab quotes &lt;&lt;&lt;")</f>
        <v>&gt;&gt;&gt; Enter 2 or more lab quotes &lt;&lt;&lt;</v>
      </c>
      <c r="AJ49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1.9731372465546544</v>
      </c>
      <c r="AL493" s="396">
        <f>IF(ISTEXT(RawMaterials[[#This Row],[Unit price in quote year]]),"Check calcs",RawMaterials[[#This Row],[Unit price in quote year]]/VLOOKUP(RawMaterials[[#This Row],[Quote Year]],ChemPPI[],14,FALSE)*VLOOKUP(BasisYear,ChemPPI[],14,FALSE))</f>
        <v>2.6779723503798185</v>
      </c>
      <c r="AM493" s="397" t="str">
        <f t="shared" si="7"/>
        <v>$/kg (2016)</v>
      </c>
    </row>
    <row r="494" spans="1:39">
      <c r="A494" s="259" t="s">
        <v>1578</v>
      </c>
      <c r="B494" s="260"/>
      <c r="C494" s="351"/>
      <c r="D494" s="351"/>
      <c r="E494" s="260">
        <v>100</v>
      </c>
      <c r="F494" s="260"/>
      <c r="G494" s="351"/>
      <c r="H494" s="351"/>
      <c r="I494" s="262"/>
      <c r="J494" s="351"/>
      <c r="K494" s="351"/>
      <c r="L494" s="351"/>
      <c r="M494" s="351"/>
      <c r="N494" s="351"/>
      <c r="O494" s="351"/>
      <c r="P494" s="261">
        <v>0.83499999999999996</v>
      </c>
      <c r="Q494" s="260">
        <v>1</v>
      </c>
      <c r="R494" s="260" t="s">
        <v>20</v>
      </c>
      <c r="S494" s="260">
        <v>2006</v>
      </c>
      <c r="T494" s="260" t="s">
        <v>161</v>
      </c>
      <c r="U494" s="386">
        <v>42653</v>
      </c>
      <c r="V494" s="387"/>
      <c r="W494" s="354">
        <f>COUNT(RawMaterials[[#This Row],[Lab Quantity 1]:[Lab Quantity 4]])</f>
        <v>0</v>
      </c>
      <c r="X49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4" s="392" t="e">
        <f>RawMaterials[[#This Row],[Lab Price 1]]/RawMaterials[[#This Row],[Lab Q Model Units 1]]</f>
        <v>#N/A</v>
      </c>
      <c r="AC494" s="392" t="e">
        <f>RawMaterials[[#This Row],[Lab Price 2]]/RawMaterials[[#This Row],[Lab Q Model Units 2]]</f>
        <v>#N/A</v>
      </c>
      <c r="AD494" s="392" t="e">
        <f>RawMaterials[[#This Row],[Lab Price 3]]/RawMaterials[[#This Row],[Lab Q Model Units 3]]</f>
        <v>#N/A</v>
      </c>
      <c r="AE494" s="392" t="e">
        <f>RawMaterials[[#This Row],[Lab Price 4]]/RawMaterials[[#This Row],[Lab Q Model Units 4]]</f>
        <v>#N/A</v>
      </c>
      <c r="AF494" s="392" t="str">
        <f ca="1">IF(RawMaterials[[#This Row],[Lab Quote Count]]&gt;1,SLOPE(LOG(INDIRECT("RawMaterials[@[Lab Unit P 1]:[Lab Unit P "&amp;RawMaterials[[#This Row],[Lab Quote Count]]&amp;"]]")),LOG(INDIRECT("RawMaterials[@[Lab Q Model Units 1]:[Lab Q Model Units "&amp;RawMaterials[[#This Row],[Lab Quote Count]]&amp;"]]"))),"")</f>
        <v/>
      </c>
      <c r="AG494" s="392" t="str">
        <f ca="1">IF(RawMaterials[[#This Row],[Lab Quote Count]]&gt;1,INTERCEPT(LOG(INDIRECT("RawMaterials[@[Lab Unit P 1]:[Lab Unit P "&amp;RawMaterials[[#This Row],[Lab Quote Count]]&amp;"]]")),LOG(INDIRECT("RawMaterials[@[Lab Q Model Units 1]:[Lab Q Model Units "&amp;RawMaterials[[#This Row],[Lab Quote Count]]&amp;"]]"))),"")</f>
        <v/>
      </c>
      <c r="AH494" s="393" t="str">
        <f>IF(RawMaterials[[#This Row],[Material Type]]="Metal Precursor","D13",IF(RawMaterials[[#This Row],[Material Type]]="Ligand","D13","D12"))</f>
        <v>D12</v>
      </c>
      <c r="AI494" s="394" t="str">
        <f ca="1">IF(RawMaterials[[#This Row],[Lab Quote Count]]&gt;1,10^RawMaterials[[#This Row],[Lab Log-Log Intercept]]*INDIRECT(RawMaterials[[#This Row],[Basis Cell]])^RawMaterials[[#This Row],[Lab Log-Log Slope]],"&gt;&gt;&gt; Enter 2 or more lab quotes &lt;&lt;&lt;")</f>
        <v>&gt;&gt;&gt; Enter 2 or more lab quotes &lt;&lt;&lt;</v>
      </c>
      <c r="AJ49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1.8408598892437276</v>
      </c>
      <c r="AL494" s="396">
        <f>IF(ISTEXT(RawMaterials[[#This Row],[Unit price in quote year]]),"Check calcs",RawMaterials[[#This Row],[Unit price in quote year]]/VLOOKUP(RawMaterials[[#This Row],[Quote Year]],ChemPPI[],14,FALSE)*VLOOKUP(BasisYear,ChemPPI[],14,FALSE))</f>
        <v>2.498443477728657</v>
      </c>
      <c r="AM494" s="397" t="str">
        <f t="shared" si="7"/>
        <v>$/kg (2016)</v>
      </c>
    </row>
    <row r="495" spans="1:39">
      <c r="A495" s="259" t="s">
        <v>1579</v>
      </c>
      <c r="B495" s="260"/>
      <c r="C495" s="351"/>
      <c r="D495" s="351"/>
      <c r="E495" s="260">
        <v>100</v>
      </c>
      <c r="F495" s="260"/>
      <c r="G495" s="351"/>
      <c r="H495" s="351"/>
      <c r="I495" s="262"/>
      <c r="J495" s="351"/>
      <c r="K495" s="351"/>
      <c r="L495" s="351"/>
      <c r="M495" s="351"/>
      <c r="N495" s="351"/>
      <c r="O495" s="351"/>
      <c r="P495" s="261">
        <v>23.8</v>
      </c>
      <c r="Q495" s="260">
        <v>100</v>
      </c>
      <c r="R495" s="260" t="s">
        <v>20</v>
      </c>
      <c r="S495" s="260">
        <v>2006</v>
      </c>
      <c r="T495" s="260" t="s">
        <v>161</v>
      </c>
      <c r="U495" s="386">
        <v>42653</v>
      </c>
      <c r="V495" s="387"/>
      <c r="W495" s="354">
        <f>COUNT(RawMaterials[[#This Row],[Lab Quantity 1]:[Lab Quantity 4]])</f>
        <v>0</v>
      </c>
      <c r="X49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5" s="392" t="e">
        <f>RawMaterials[[#This Row],[Lab Price 1]]/RawMaterials[[#This Row],[Lab Q Model Units 1]]</f>
        <v>#N/A</v>
      </c>
      <c r="AC495" s="392" t="e">
        <f>RawMaterials[[#This Row],[Lab Price 2]]/RawMaterials[[#This Row],[Lab Q Model Units 2]]</f>
        <v>#N/A</v>
      </c>
      <c r="AD495" s="392" t="e">
        <f>RawMaterials[[#This Row],[Lab Price 3]]/RawMaterials[[#This Row],[Lab Q Model Units 3]]</f>
        <v>#N/A</v>
      </c>
      <c r="AE495" s="392" t="e">
        <f>RawMaterials[[#This Row],[Lab Price 4]]/RawMaterials[[#This Row],[Lab Q Model Units 4]]</f>
        <v>#N/A</v>
      </c>
      <c r="AF495" s="392" t="str">
        <f ca="1">IF(RawMaterials[[#This Row],[Lab Quote Count]]&gt;1,SLOPE(LOG(INDIRECT("RawMaterials[@[Lab Unit P 1]:[Lab Unit P "&amp;RawMaterials[[#This Row],[Lab Quote Count]]&amp;"]]")),LOG(INDIRECT("RawMaterials[@[Lab Q Model Units 1]:[Lab Q Model Units "&amp;RawMaterials[[#This Row],[Lab Quote Count]]&amp;"]]"))),"")</f>
        <v/>
      </c>
      <c r="AG495" s="392" t="str">
        <f ca="1">IF(RawMaterials[[#This Row],[Lab Quote Count]]&gt;1,INTERCEPT(LOG(INDIRECT("RawMaterials[@[Lab Unit P 1]:[Lab Unit P "&amp;RawMaterials[[#This Row],[Lab Quote Count]]&amp;"]]")),LOG(INDIRECT("RawMaterials[@[Lab Q Model Units 1]:[Lab Q Model Units "&amp;RawMaterials[[#This Row],[Lab Quote Count]]&amp;"]]"))),"")</f>
        <v/>
      </c>
      <c r="AH495" s="393" t="str">
        <f>IF(RawMaterials[[#This Row],[Material Type]]="Metal Precursor","D13",IF(RawMaterials[[#This Row],[Material Type]]="Ligand","D13","D12"))</f>
        <v>D12</v>
      </c>
      <c r="AI495" s="394" t="str">
        <f ca="1">IF(RawMaterials[[#This Row],[Lab Quote Count]]&gt;1,10^RawMaterials[[#This Row],[Lab Log-Log Intercept]]*INDIRECT(RawMaterials[[#This Row],[Basis Cell]])^RawMaterials[[#This Row],[Lab Log-Log Slope]],"&gt;&gt;&gt; Enter 2 or more lab quotes &lt;&lt;&lt;")</f>
        <v>&gt;&gt;&gt; Enter 2 or more lab quotes &lt;&lt;&lt;</v>
      </c>
      <c r="AJ49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0.52470018400000862</v>
      </c>
      <c r="AL495" s="396">
        <f>IF(ISTEXT(RawMaterials[[#This Row],[Unit price in quote year]]),"Check calcs",RawMaterials[[#This Row],[Unit price in quote year]]/VLOOKUP(RawMaterials[[#This Row],[Quote Year]],ChemPPI[],14,FALSE)*VLOOKUP(BasisYear,ChemPPI[],14,FALSE))</f>
        <v>0.7121311948496053</v>
      </c>
      <c r="AM495" s="397" t="str">
        <f t="shared" si="7"/>
        <v>$/kg (2016)</v>
      </c>
    </row>
    <row r="496" spans="1:39">
      <c r="A496" s="259" t="s">
        <v>1580</v>
      </c>
      <c r="B496" s="260"/>
      <c r="C496" s="351"/>
      <c r="D496" s="351"/>
      <c r="E496" s="260">
        <v>100</v>
      </c>
      <c r="F496" s="260"/>
      <c r="G496" s="351"/>
      <c r="H496" s="351"/>
      <c r="I496" s="262"/>
      <c r="J496" s="351"/>
      <c r="K496" s="351"/>
      <c r="L496" s="351"/>
      <c r="M496" s="351"/>
      <c r="N496" s="351"/>
      <c r="O496" s="351"/>
      <c r="P496" s="261">
        <v>23.35</v>
      </c>
      <c r="Q496" s="260">
        <v>100</v>
      </c>
      <c r="R496" s="260" t="s">
        <v>20</v>
      </c>
      <c r="S496" s="260">
        <v>2006</v>
      </c>
      <c r="T496" s="260" t="s">
        <v>161</v>
      </c>
      <c r="U496" s="386">
        <v>42653</v>
      </c>
      <c r="V496" s="387"/>
      <c r="W496" s="354">
        <f>COUNT(RawMaterials[[#This Row],[Lab Quantity 1]:[Lab Quantity 4]])</f>
        <v>0</v>
      </c>
      <c r="X49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6" s="392" t="e">
        <f>RawMaterials[[#This Row],[Lab Price 1]]/RawMaterials[[#This Row],[Lab Q Model Units 1]]</f>
        <v>#N/A</v>
      </c>
      <c r="AC496" s="392" t="e">
        <f>RawMaterials[[#This Row],[Lab Price 2]]/RawMaterials[[#This Row],[Lab Q Model Units 2]]</f>
        <v>#N/A</v>
      </c>
      <c r="AD496" s="392" t="e">
        <f>RawMaterials[[#This Row],[Lab Price 3]]/RawMaterials[[#This Row],[Lab Q Model Units 3]]</f>
        <v>#N/A</v>
      </c>
      <c r="AE496" s="392" t="e">
        <f>RawMaterials[[#This Row],[Lab Price 4]]/RawMaterials[[#This Row],[Lab Q Model Units 4]]</f>
        <v>#N/A</v>
      </c>
      <c r="AF496" s="392" t="str">
        <f ca="1">IF(RawMaterials[[#This Row],[Lab Quote Count]]&gt;1,SLOPE(LOG(INDIRECT("RawMaterials[@[Lab Unit P 1]:[Lab Unit P "&amp;RawMaterials[[#This Row],[Lab Quote Count]]&amp;"]]")),LOG(INDIRECT("RawMaterials[@[Lab Q Model Units 1]:[Lab Q Model Units "&amp;RawMaterials[[#This Row],[Lab Quote Count]]&amp;"]]"))),"")</f>
        <v/>
      </c>
      <c r="AG496" s="392" t="str">
        <f ca="1">IF(RawMaterials[[#This Row],[Lab Quote Count]]&gt;1,INTERCEPT(LOG(INDIRECT("RawMaterials[@[Lab Unit P 1]:[Lab Unit P "&amp;RawMaterials[[#This Row],[Lab Quote Count]]&amp;"]]")),LOG(INDIRECT("RawMaterials[@[Lab Q Model Units 1]:[Lab Q Model Units "&amp;RawMaterials[[#This Row],[Lab Quote Count]]&amp;"]]"))),"")</f>
        <v/>
      </c>
      <c r="AH496" s="393" t="str">
        <f>IF(RawMaterials[[#This Row],[Material Type]]="Metal Precursor","D13",IF(RawMaterials[[#This Row],[Material Type]]="Ligand","D13","D12"))</f>
        <v>D12</v>
      </c>
      <c r="AI496" s="394" t="str">
        <f ca="1">IF(RawMaterials[[#This Row],[Lab Quote Count]]&gt;1,10^RawMaterials[[#This Row],[Lab Log-Log Intercept]]*INDIRECT(RawMaterials[[#This Row],[Basis Cell]])^RawMaterials[[#This Row],[Lab Log-Log Slope]],"&gt;&gt;&gt; Enter 2 or more lab quotes &lt;&lt;&lt;")</f>
        <v>&gt;&gt;&gt; Enter 2 or more lab quotes &lt;&lt;&lt;</v>
      </c>
      <c r="AJ49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0.51477938220168917</v>
      </c>
      <c r="AL496" s="396">
        <f>IF(ISTEXT(RawMaterials[[#This Row],[Unit price in quote year]]),"Check calcs",RawMaterials[[#This Row],[Unit price in quote year]]/VLOOKUP(RawMaterials[[#This Row],[Quote Year]],ChemPPI[],14,FALSE)*VLOOKUP(BasisYear,ChemPPI[],14,FALSE))</f>
        <v>0.69866652940076834</v>
      </c>
      <c r="AM496" s="397" t="str">
        <f t="shared" si="7"/>
        <v>$/kg (2016)</v>
      </c>
    </row>
    <row r="497" spans="1:39">
      <c r="A497" s="259" t="s">
        <v>1581</v>
      </c>
      <c r="B497" s="260"/>
      <c r="C497" s="351"/>
      <c r="D497" s="351"/>
      <c r="E497" s="260">
        <v>100</v>
      </c>
      <c r="F497" s="260"/>
      <c r="G497" s="351"/>
      <c r="H497" s="351"/>
      <c r="I497" s="262"/>
      <c r="J497" s="351"/>
      <c r="K497" s="351"/>
      <c r="L497" s="351"/>
      <c r="M497" s="351"/>
      <c r="N497" s="351"/>
      <c r="O497" s="351"/>
      <c r="P497" s="261">
        <v>22.5</v>
      </c>
      <c r="Q497" s="260">
        <v>100</v>
      </c>
      <c r="R497" s="260" t="s">
        <v>20</v>
      </c>
      <c r="S497" s="260">
        <v>2006</v>
      </c>
      <c r="T497" s="260" t="s">
        <v>161</v>
      </c>
      <c r="U497" s="386">
        <v>42653</v>
      </c>
      <c r="V497" s="387"/>
      <c r="W497" s="354">
        <f>COUNT(RawMaterials[[#This Row],[Lab Quantity 1]:[Lab Quantity 4]])</f>
        <v>0</v>
      </c>
      <c r="X49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7" s="392" t="e">
        <f>RawMaterials[[#This Row],[Lab Price 1]]/RawMaterials[[#This Row],[Lab Q Model Units 1]]</f>
        <v>#N/A</v>
      </c>
      <c r="AC497" s="392" t="e">
        <f>RawMaterials[[#This Row],[Lab Price 2]]/RawMaterials[[#This Row],[Lab Q Model Units 2]]</f>
        <v>#N/A</v>
      </c>
      <c r="AD497" s="392" t="e">
        <f>RawMaterials[[#This Row],[Lab Price 3]]/RawMaterials[[#This Row],[Lab Q Model Units 3]]</f>
        <v>#N/A</v>
      </c>
      <c r="AE497" s="392" t="e">
        <f>RawMaterials[[#This Row],[Lab Price 4]]/RawMaterials[[#This Row],[Lab Q Model Units 4]]</f>
        <v>#N/A</v>
      </c>
      <c r="AF497" s="392" t="str">
        <f ca="1">IF(RawMaterials[[#This Row],[Lab Quote Count]]&gt;1,SLOPE(LOG(INDIRECT("RawMaterials[@[Lab Unit P 1]:[Lab Unit P "&amp;RawMaterials[[#This Row],[Lab Quote Count]]&amp;"]]")),LOG(INDIRECT("RawMaterials[@[Lab Q Model Units 1]:[Lab Q Model Units "&amp;RawMaterials[[#This Row],[Lab Quote Count]]&amp;"]]"))),"")</f>
        <v/>
      </c>
      <c r="AG497" s="392" t="str">
        <f ca="1">IF(RawMaterials[[#This Row],[Lab Quote Count]]&gt;1,INTERCEPT(LOG(INDIRECT("RawMaterials[@[Lab Unit P 1]:[Lab Unit P "&amp;RawMaterials[[#This Row],[Lab Quote Count]]&amp;"]]")),LOG(INDIRECT("RawMaterials[@[Lab Q Model Units 1]:[Lab Q Model Units "&amp;RawMaterials[[#This Row],[Lab Quote Count]]&amp;"]]"))),"")</f>
        <v/>
      </c>
      <c r="AH497" s="393" t="str">
        <f>IF(RawMaterials[[#This Row],[Material Type]]="Metal Precursor","D13",IF(RawMaterials[[#This Row],[Material Type]]="Ligand","D13","D12"))</f>
        <v>D12</v>
      </c>
      <c r="AI497" s="394" t="str">
        <f ca="1">IF(RawMaterials[[#This Row],[Lab Quote Count]]&gt;1,10^RawMaterials[[#This Row],[Lab Log-Log Intercept]]*INDIRECT(RawMaterials[[#This Row],[Basis Cell]])^RawMaterials[[#This Row],[Lab Log-Log Slope]],"&gt;&gt;&gt; Enter 2 or more lab quotes &lt;&lt;&lt;")</f>
        <v>&gt;&gt;&gt; Enter 2 or more lab quotes &lt;&lt;&lt;</v>
      </c>
      <c r="AJ49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0.49604008991597454</v>
      </c>
      <c r="AL497" s="396">
        <f>IF(ISTEXT(RawMaterials[[#This Row],[Unit price in quote year]]),"Check calcs",RawMaterials[[#This Row],[Unit price in quote year]]/VLOOKUP(RawMaterials[[#This Row],[Quote Year]],ChemPPI[],14,FALSE)*VLOOKUP(BasisYear,ChemPPI[],14,FALSE))</f>
        <v>0.67323327244185371</v>
      </c>
      <c r="AM497" s="397" t="str">
        <f t="shared" si="7"/>
        <v>$/kg (2016)</v>
      </c>
    </row>
    <row r="498" spans="1:39">
      <c r="A498" s="259" t="s">
        <v>1582</v>
      </c>
      <c r="B498" s="260"/>
      <c r="C498" s="351"/>
      <c r="D498" s="351"/>
      <c r="E498" s="260">
        <v>100</v>
      </c>
      <c r="F498" s="260"/>
      <c r="G498" s="351"/>
      <c r="H498" s="351"/>
      <c r="I498" s="262"/>
      <c r="J498" s="351"/>
      <c r="K498" s="351"/>
      <c r="L498" s="351"/>
      <c r="M498" s="351"/>
      <c r="N498" s="351"/>
      <c r="O498" s="351"/>
      <c r="P498" s="261">
        <v>34.799999999999997</v>
      </c>
      <c r="Q498" s="260">
        <v>100</v>
      </c>
      <c r="R498" s="260" t="s">
        <v>20</v>
      </c>
      <c r="S498" s="260">
        <v>2006</v>
      </c>
      <c r="T498" s="260" t="s">
        <v>161</v>
      </c>
      <c r="U498" s="386">
        <v>42653</v>
      </c>
      <c r="V498" s="387"/>
      <c r="W498" s="354">
        <f>COUNT(RawMaterials[[#This Row],[Lab Quantity 1]:[Lab Quantity 4]])</f>
        <v>0</v>
      </c>
      <c r="X49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8" s="392" t="e">
        <f>RawMaterials[[#This Row],[Lab Price 1]]/RawMaterials[[#This Row],[Lab Q Model Units 1]]</f>
        <v>#N/A</v>
      </c>
      <c r="AC498" s="392" t="e">
        <f>RawMaterials[[#This Row],[Lab Price 2]]/RawMaterials[[#This Row],[Lab Q Model Units 2]]</f>
        <v>#N/A</v>
      </c>
      <c r="AD498" s="392" t="e">
        <f>RawMaterials[[#This Row],[Lab Price 3]]/RawMaterials[[#This Row],[Lab Q Model Units 3]]</f>
        <v>#N/A</v>
      </c>
      <c r="AE498" s="392" t="e">
        <f>RawMaterials[[#This Row],[Lab Price 4]]/RawMaterials[[#This Row],[Lab Q Model Units 4]]</f>
        <v>#N/A</v>
      </c>
      <c r="AF498" s="392" t="str">
        <f ca="1">IF(RawMaterials[[#This Row],[Lab Quote Count]]&gt;1,SLOPE(LOG(INDIRECT("RawMaterials[@[Lab Unit P 1]:[Lab Unit P "&amp;RawMaterials[[#This Row],[Lab Quote Count]]&amp;"]]")),LOG(INDIRECT("RawMaterials[@[Lab Q Model Units 1]:[Lab Q Model Units "&amp;RawMaterials[[#This Row],[Lab Quote Count]]&amp;"]]"))),"")</f>
        <v/>
      </c>
      <c r="AG498" s="392" t="str">
        <f ca="1">IF(RawMaterials[[#This Row],[Lab Quote Count]]&gt;1,INTERCEPT(LOG(INDIRECT("RawMaterials[@[Lab Unit P 1]:[Lab Unit P "&amp;RawMaterials[[#This Row],[Lab Quote Count]]&amp;"]]")),LOG(INDIRECT("RawMaterials[@[Lab Q Model Units 1]:[Lab Q Model Units "&amp;RawMaterials[[#This Row],[Lab Quote Count]]&amp;"]]"))),"")</f>
        <v/>
      </c>
      <c r="AH498" s="393" t="str">
        <f>IF(RawMaterials[[#This Row],[Material Type]]="Metal Precursor","D13",IF(RawMaterials[[#This Row],[Material Type]]="Ligand","D13","D12"))</f>
        <v>D12</v>
      </c>
      <c r="AI498" s="394" t="str">
        <f ca="1">IF(RawMaterials[[#This Row],[Lab Quote Count]]&gt;1,10^RawMaterials[[#This Row],[Lab Log-Log Intercept]]*INDIRECT(RawMaterials[[#This Row],[Basis Cell]])^RawMaterials[[#This Row],[Lab Log-Log Slope]],"&gt;&gt;&gt; Enter 2 or more lab quotes &lt;&lt;&lt;")</f>
        <v>&gt;&gt;&gt; Enter 2 or more lab quotes &lt;&lt;&lt;</v>
      </c>
      <c r="AJ49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0.76720867240337387</v>
      </c>
      <c r="AL498" s="396">
        <f>IF(ISTEXT(RawMaterials[[#This Row],[Unit price in quote year]]),"Check calcs",RawMaterials[[#This Row],[Unit price in quote year]]/VLOOKUP(RawMaterials[[#This Row],[Quote Year]],ChemPPI[],14,FALSE)*VLOOKUP(BasisYear,ChemPPI[],14,FALSE))</f>
        <v>1.0412674613767336</v>
      </c>
      <c r="AM498" s="397" t="str">
        <f t="shared" si="7"/>
        <v>$/kg (2016)</v>
      </c>
    </row>
    <row r="499" spans="1:39">
      <c r="A499" s="259" t="s">
        <v>1583</v>
      </c>
      <c r="B499" s="260"/>
      <c r="C499" s="351"/>
      <c r="D499" s="351"/>
      <c r="E499" s="260">
        <v>100</v>
      </c>
      <c r="F499" s="260"/>
      <c r="G499" s="351"/>
      <c r="H499" s="351"/>
      <c r="I499" s="262"/>
      <c r="J499" s="351"/>
      <c r="K499" s="351"/>
      <c r="L499" s="351"/>
      <c r="M499" s="351"/>
      <c r="N499" s="351"/>
      <c r="O499" s="351"/>
      <c r="P499" s="261">
        <v>22.8</v>
      </c>
      <c r="Q499" s="260">
        <v>100</v>
      </c>
      <c r="R499" s="260" t="s">
        <v>20</v>
      </c>
      <c r="S499" s="260">
        <v>2006</v>
      </c>
      <c r="T499" s="260" t="s">
        <v>161</v>
      </c>
      <c r="U499" s="386">
        <v>42653</v>
      </c>
      <c r="V499" s="387"/>
      <c r="W499" s="354">
        <f>COUNT(RawMaterials[[#This Row],[Lab Quantity 1]:[Lab Quantity 4]])</f>
        <v>0</v>
      </c>
      <c r="X49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9" s="392" t="e">
        <f>RawMaterials[[#This Row],[Lab Price 1]]/RawMaterials[[#This Row],[Lab Q Model Units 1]]</f>
        <v>#N/A</v>
      </c>
      <c r="AC499" s="392" t="e">
        <f>RawMaterials[[#This Row],[Lab Price 2]]/RawMaterials[[#This Row],[Lab Q Model Units 2]]</f>
        <v>#N/A</v>
      </c>
      <c r="AD499" s="392" t="e">
        <f>RawMaterials[[#This Row],[Lab Price 3]]/RawMaterials[[#This Row],[Lab Q Model Units 3]]</f>
        <v>#N/A</v>
      </c>
      <c r="AE499" s="392" t="e">
        <f>RawMaterials[[#This Row],[Lab Price 4]]/RawMaterials[[#This Row],[Lab Q Model Units 4]]</f>
        <v>#N/A</v>
      </c>
      <c r="AF499" s="392" t="str">
        <f ca="1">IF(RawMaterials[[#This Row],[Lab Quote Count]]&gt;1,SLOPE(LOG(INDIRECT("RawMaterials[@[Lab Unit P 1]:[Lab Unit P "&amp;RawMaterials[[#This Row],[Lab Quote Count]]&amp;"]]")),LOG(INDIRECT("RawMaterials[@[Lab Q Model Units 1]:[Lab Q Model Units "&amp;RawMaterials[[#This Row],[Lab Quote Count]]&amp;"]]"))),"")</f>
        <v/>
      </c>
      <c r="AG499" s="392" t="str">
        <f ca="1">IF(RawMaterials[[#This Row],[Lab Quote Count]]&gt;1,INTERCEPT(LOG(INDIRECT("RawMaterials[@[Lab Unit P 1]:[Lab Unit P "&amp;RawMaterials[[#This Row],[Lab Quote Count]]&amp;"]]")),LOG(INDIRECT("RawMaterials[@[Lab Q Model Units 1]:[Lab Q Model Units "&amp;RawMaterials[[#This Row],[Lab Quote Count]]&amp;"]]"))),"")</f>
        <v/>
      </c>
      <c r="AH499" s="393" t="str">
        <f>IF(RawMaterials[[#This Row],[Material Type]]="Metal Precursor","D13",IF(RawMaterials[[#This Row],[Material Type]]="Ligand","D13","D12"))</f>
        <v>D12</v>
      </c>
      <c r="AI499" s="394" t="str">
        <f ca="1">IF(RawMaterials[[#This Row],[Lab Quote Count]]&gt;1,10^RawMaterials[[#This Row],[Lab Log-Log Intercept]]*INDIRECT(RawMaterials[[#This Row],[Basis Cell]])^RawMaterials[[#This Row],[Lab Log-Log Slope]],"&gt;&gt;&gt; Enter 2 or more lab quotes &lt;&lt;&lt;")</f>
        <v>&gt;&gt;&gt; Enter 2 or more lab quotes &lt;&lt;&lt;</v>
      </c>
      <c r="AJ49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0.50265395778152089</v>
      </c>
      <c r="AL499" s="396">
        <f>IF(ISTEXT(RawMaterials[[#This Row],[Unit price in quote year]]),"Check calcs",RawMaterials[[#This Row],[Unit price in quote year]]/VLOOKUP(RawMaterials[[#This Row],[Quote Year]],ChemPPI[],14,FALSE)*VLOOKUP(BasisYear,ChemPPI[],14,FALSE))</f>
        <v>0.68220971607441183</v>
      </c>
      <c r="AM499" s="397" t="str">
        <f t="shared" si="7"/>
        <v>$/kg (2016)</v>
      </c>
    </row>
    <row r="500" spans="1:39">
      <c r="A500" s="259" t="s">
        <v>1584</v>
      </c>
      <c r="B500" s="260"/>
      <c r="C500" s="351"/>
      <c r="D500" s="351"/>
      <c r="E500" s="260">
        <v>100</v>
      </c>
      <c r="F500" s="260"/>
      <c r="G500" s="351"/>
      <c r="H500" s="351"/>
      <c r="I500" s="262"/>
      <c r="J500" s="351"/>
      <c r="K500" s="351"/>
      <c r="L500" s="351"/>
      <c r="M500" s="351"/>
      <c r="N500" s="351"/>
      <c r="O500" s="351"/>
      <c r="P500" s="261">
        <v>18</v>
      </c>
      <c r="Q500" s="260">
        <v>100</v>
      </c>
      <c r="R500" s="260" t="s">
        <v>20</v>
      </c>
      <c r="S500" s="260">
        <v>2006</v>
      </c>
      <c r="T500" s="260" t="s">
        <v>161</v>
      </c>
      <c r="U500" s="386">
        <v>42653</v>
      </c>
      <c r="V500" s="387"/>
      <c r="W500" s="354">
        <f>COUNT(RawMaterials[[#This Row],[Lab Quantity 1]:[Lab Quantity 4]])</f>
        <v>0</v>
      </c>
      <c r="X50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0" s="392" t="e">
        <f>RawMaterials[[#This Row],[Lab Price 1]]/RawMaterials[[#This Row],[Lab Q Model Units 1]]</f>
        <v>#N/A</v>
      </c>
      <c r="AC500" s="392" t="e">
        <f>RawMaterials[[#This Row],[Lab Price 2]]/RawMaterials[[#This Row],[Lab Q Model Units 2]]</f>
        <v>#N/A</v>
      </c>
      <c r="AD500" s="392" t="e">
        <f>RawMaterials[[#This Row],[Lab Price 3]]/RawMaterials[[#This Row],[Lab Q Model Units 3]]</f>
        <v>#N/A</v>
      </c>
      <c r="AE500" s="392" t="e">
        <f>RawMaterials[[#This Row],[Lab Price 4]]/RawMaterials[[#This Row],[Lab Q Model Units 4]]</f>
        <v>#N/A</v>
      </c>
      <c r="AF500" s="392" t="str">
        <f ca="1">IF(RawMaterials[[#This Row],[Lab Quote Count]]&gt;1,SLOPE(LOG(INDIRECT("RawMaterials[@[Lab Unit P 1]:[Lab Unit P "&amp;RawMaterials[[#This Row],[Lab Quote Count]]&amp;"]]")),LOG(INDIRECT("RawMaterials[@[Lab Q Model Units 1]:[Lab Q Model Units "&amp;RawMaterials[[#This Row],[Lab Quote Count]]&amp;"]]"))),"")</f>
        <v/>
      </c>
      <c r="AG500" s="392" t="str">
        <f ca="1">IF(RawMaterials[[#This Row],[Lab Quote Count]]&gt;1,INTERCEPT(LOG(INDIRECT("RawMaterials[@[Lab Unit P 1]:[Lab Unit P "&amp;RawMaterials[[#This Row],[Lab Quote Count]]&amp;"]]")),LOG(INDIRECT("RawMaterials[@[Lab Q Model Units 1]:[Lab Q Model Units "&amp;RawMaterials[[#This Row],[Lab Quote Count]]&amp;"]]"))),"")</f>
        <v/>
      </c>
      <c r="AH500" s="393" t="str">
        <f>IF(RawMaterials[[#This Row],[Material Type]]="Metal Precursor","D13",IF(RawMaterials[[#This Row],[Material Type]]="Ligand","D13","D12"))</f>
        <v>D12</v>
      </c>
      <c r="AI500" s="394" t="str">
        <f ca="1">IF(RawMaterials[[#This Row],[Lab Quote Count]]&gt;1,10^RawMaterials[[#This Row],[Lab Log-Log Intercept]]*INDIRECT(RawMaterials[[#This Row],[Basis Cell]])^RawMaterials[[#This Row],[Lab Log-Log Slope]],"&gt;&gt;&gt; Enter 2 or more lab quotes &lt;&lt;&lt;")</f>
        <v>&gt;&gt;&gt; Enter 2 or more lab quotes &lt;&lt;&lt;</v>
      </c>
      <c r="AJ50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0.39683207193277964</v>
      </c>
      <c r="AL500" s="396">
        <f>IF(ISTEXT(RawMaterials[[#This Row],[Unit price in quote year]]),"Check calcs",RawMaterials[[#This Row],[Unit price in quote year]]/VLOOKUP(RawMaterials[[#This Row],[Quote Year]],ChemPPI[],14,FALSE)*VLOOKUP(BasisYear,ChemPPI[],14,FALSE))</f>
        <v>0.53858661795348295</v>
      </c>
      <c r="AM500" s="397" t="str">
        <f t="shared" si="7"/>
        <v>$/kg (2016)</v>
      </c>
    </row>
    <row r="501" spans="1:39">
      <c r="A501" s="259" t="s">
        <v>1585</v>
      </c>
      <c r="B501" s="260"/>
      <c r="C501" s="351"/>
      <c r="D501" s="351"/>
      <c r="E501" s="260">
        <v>100</v>
      </c>
      <c r="F501" s="260"/>
      <c r="G501" s="351"/>
      <c r="H501" s="351"/>
      <c r="I501" s="262"/>
      <c r="J501" s="351"/>
      <c r="K501" s="351"/>
      <c r="L501" s="351"/>
      <c r="M501" s="351"/>
      <c r="N501" s="351"/>
      <c r="O501" s="351"/>
      <c r="P501" s="261">
        <v>19.25</v>
      </c>
      <c r="Q501" s="260">
        <v>100</v>
      </c>
      <c r="R501" s="260" t="s">
        <v>20</v>
      </c>
      <c r="S501" s="260">
        <v>2006</v>
      </c>
      <c r="T501" s="260" t="s">
        <v>161</v>
      </c>
      <c r="U501" s="386">
        <v>42653</v>
      </c>
      <c r="V501" s="387"/>
      <c r="W501" s="354">
        <f>COUNT(RawMaterials[[#This Row],[Lab Quantity 1]:[Lab Quantity 4]])</f>
        <v>0</v>
      </c>
      <c r="X50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1" s="392" t="e">
        <f>RawMaterials[[#This Row],[Lab Price 1]]/RawMaterials[[#This Row],[Lab Q Model Units 1]]</f>
        <v>#N/A</v>
      </c>
      <c r="AC501" s="392" t="e">
        <f>RawMaterials[[#This Row],[Lab Price 2]]/RawMaterials[[#This Row],[Lab Q Model Units 2]]</f>
        <v>#N/A</v>
      </c>
      <c r="AD501" s="392" t="e">
        <f>RawMaterials[[#This Row],[Lab Price 3]]/RawMaterials[[#This Row],[Lab Q Model Units 3]]</f>
        <v>#N/A</v>
      </c>
      <c r="AE501" s="392" t="e">
        <f>RawMaterials[[#This Row],[Lab Price 4]]/RawMaterials[[#This Row],[Lab Q Model Units 4]]</f>
        <v>#N/A</v>
      </c>
      <c r="AF501" s="392" t="str">
        <f ca="1">IF(RawMaterials[[#This Row],[Lab Quote Count]]&gt;1,SLOPE(LOG(INDIRECT("RawMaterials[@[Lab Unit P 1]:[Lab Unit P "&amp;RawMaterials[[#This Row],[Lab Quote Count]]&amp;"]]")),LOG(INDIRECT("RawMaterials[@[Lab Q Model Units 1]:[Lab Q Model Units "&amp;RawMaterials[[#This Row],[Lab Quote Count]]&amp;"]]"))),"")</f>
        <v/>
      </c>
      <c r="AG501" s="392" t="str">
        <f ca="1">IF(RawMaterials[[#This Row],[Lab Quote Count]]&gt;1,INTERCEPT(LOG(INDIRECT("RawMaterials[@[Lab Unit P 1]:[Lab Unit P "&amp;RawMaterials[[#This Row],[Lab Quote Count]]&amp;"]]")),LOG(INDIRECT("RawMaterials[@[Lab Q Model Units 1]:[Lab Q Model Units "&amp;RawMaterials[[#This Row],[Lab Quote Count]]&amp;"]]"))),"")</f>
        <v/>
      </c>
      <c r="AH501" s="393" t="str">
        <f>IF(RawMaterials[[#This Row],[Material Type]]="Metal Precursor","D13",IF(RawMaterials[[#This Row],[Material Type]]="Ligand","D13","D12"))</f>
        <v>D12</v>
      </c>
      <c r="AI501" s="394" t="str">
        <f ca="1">IF(RawMaterials[[#This Row],[Lab Quote Count]]&gt;1,10^RawMaterials[[#This Row],[Lab Log-Log Intercept]]*INDIRECT(RawMaterials[[#This Row],[Basis Cell]])^RawMaterials[[#This Row],[Lab Log-Log Slope]],"&gt;&gt;&gt; Enter 2 or more lab quotes &lt;&lt;&lt;")</f>
        <v>&gt;&gt;&gt; Enter 2 or more lab quotes &lt;&lt;&lt;</v>
      </c>
      <c r="AJ50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0.42438985470588936</v>
      </c>
      <c r="AL501" s="396">
        <f>IF(ISTEXT(RawMaterials[[#This Row],[Unit price in quote year]]),"Check calcs",RawMaterials[[#This Row],[Unit price in quote year]]/VLOOKUP(RawMaterials[[#This Row],[Quote Year]],ChemPPI[],14,FALSE)*VLOOKUP(BasisYear,ChemPPI[],14,FALSE))</f>
        <v>0.57598846642247492</v>
      </c>
      <c r="AM501" s="397" t="str">
        <f t="shared" si="7"/>
        <v>$/kg (2016)</v>
      </c>
    </row>
    <row r="502" spans="1:39">
      <c r="A502" s="259" t="s">
        <v>1586</v>
      </c>
      <c r="B502" s="260"/>
      <c r="C502" s="351"/>
      <c r="D502" s="351"/>
      <c r="E502" s="260">
        <v>100</v>
      </c>
      <c r="F502" s="260"/>
      <c r="G502" s="351"/>
      <c r="H502" s="351"/>
      <c r="I502" s="262"/>
      <c r="J502" s="351"/>
      <c r="K502" s="351"/>
      <c r="L502" s="351"/>
      <c r="M502" s="351"/>
      <c r="N502" s="351"/>
      <c r="O502" s="351"/>
      <c r="P502" s="261">
        <v>32.5</v>
      </c>
      <c r="Q502" s="260">
        <v>100</v>
      </c>
      <c r="R502" s="260" t="s">
        <v>20</v>
      </c>
      <c r="S502" s="260">
        <v>2006</v>
      </c>
      <c r="T502" s="260" t="s">
        <v>161</v>
      </c>
      <c r="U502" s="386">
        <v>42653</v>
      </c>
      <c r="V502" s="387"/>
      <c r="W502" s="354">
        <f>COUNT(RawMaterials[[#This Row],[Lab Quantity 1]:[Lab Quantity 4]])</f>
        <v>0</v>
      </c>
      <c r="X50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2" s="392" t="e">
        <f>RawMaterials[[#This Row],[Lab Price 1]]/RawMaterials[[#This Row],[Lab Q Model Units 1]]</f>
        <v>#N/A</v>
      </c>
      <c r="AC502" s="392" t="e">
        <f>RawMaterials[[#This Row],[Lab Price 2]]/RawMaterials[[#This Row],[Lab Q Model Units 2]]</f>
        <v>#N/A</v>
      </c>
      <c r="AD502" s="392" t="e">
        <f>RawMaterials[[#This Row],[Lab Price 3]]/RawMaterials[[#This Row],[Lab Q Model Units 3]]</f>
        <v>#N/A</v>
      </c>
      <c r="AE502" s="392" t="e">
        <f>RawMaterials[[#This Row],[Lab Price 4]]/RawMaterials[[#This Row],[Lab Q Model Units 4]]</f>
        <v>#N/A</v>
      </c>
      <c r="AF502" s="392" t="str">
        <f ca="1">IF(RawMaterials[[#This Row],[Lab Quote Count]]&gt;1,SLOPE(LOG(INDIRECT("RawMaterials[@[Lab Unit P 1]:[Lab Unit P "&amp;RawMaterials[[#This Row],[Lab Quote Count]]&amp;"]]")),LOG(INDIRECT("RawMaterials[@[Lab Q Model Units 1]:[Lab Q Model Units "&amp;RawMaterials[[#This Row],[Lab Quote Count]]&amp;"]]"))),"")</f>
        <v/>
      </c>
      <c r="AG502" s="392" t="str">
        <f ca="1">IF(RawMaterials[[#This Row],[Lab Quote Count]]&gt;1,INTERCEPT(LOG(INDIRECT("RawMaterials[@[Lab Unit P 1]:[Lab Unit P "&amp;RawMaterials[[#This Row],[Lab Quote Count]]&amp;"]]")),LOG(INDIRECT("RawMaterials[@[Lab Q Model Units 1]:[Lab Q Model Units "&amp;RawMaterials[[#This Row],[Lab Quote Count]]&amp;"]]"))),"")</f>
        <v/>
      </c>
      <c r="AH502" s="393" t="str">
        <f>IF(RawMaterials[[#This Row],[Material Type]]="Metal Precursor","D13",IF(RawMaterials[[#This Row],[Material Type]]="Ligand","D13","D12"))</f>
        <v>D12</v>
      </c>
      <c r="AI502" s="394" t="str">
        <f ca="1">IF(RawMaterials[[#This Row],[Lab Quote Count]]&gt;1,10^RawMaterials[[#This Row],[Lab Log-Log Intercept]]*INDIRECT(RawMaterials[[#This Row],[Basis Cell]])^RawMaterials[[#This Row],[Lab Log-Log Slope]],"&gt;&gt;&gt; Enter 2 or more lab quotes &lt;&lt;&lt;")</f>
        <v>&gt;&gt;&gt; Enter 2 or more lab quotes &lt;&lt;&lt;</v>
      </c>
      <c r="AJ50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0.71650235210085211</v>
      </c>
      <c r="AL502" s="396">
        <f>IF(ISTEXT(RawMaterials[[#This Row],[Unit price in quote year]]),"Check calcs",RawMaterials[[#This Row],[Unit price in quote year]]/VLOOKUP(RawMaterials[[#This Row],[Quote Year]],ChemPPI[],14,FALSE)*VLOOKUP(BasisYear,ChemPPI[],14,FALSE))</f>
        <v>0.97244806019378882</v>
      </c>
      <c r="AM502" s="397" t="str">
        <f t="shared" si="7"/>
        <v>$/kg (2016)</v>
      </c>
    </row>
    <row r="503" spans="1:39">
      <c r="A503" s="259" t="s">
        <v>1587</v>
      </c>
      <c r="B503" s="260"/>
      <c r="C503" s="351"/>
      <c r="D503" s="351"/>
      <c r="E503" s="260">
        <v>100</v>
      </c>
      <c r="F503" s="260"/>
      <c r="G503" s="351"/>
      <c r="H503" s="351"/>
      <c r="I503" s="262"/>
      <c r="J503" s="351"/>
      <c r="K503" s="351"/>
      <c r="L503" s="351"/>
      <c r="M503" s="351"/>
      <c r="N503" s="351"/>
      <c r="O503" s="351"/>
      <c r="P503" s="261">
        <v>30</v>
      </c>
      <c r="Q503" s="260">
        <v>100</v>
      </c>
      <c r="R503" s="260" t="s">
        <v>20</v>
      </c>
      <c r="S503" s="260">
        <v>2006</v>
      </c>
      <c r="T503" s="260" t="s">
        <v>161</v>
      </c>
      <c r="U503" s="386">
        <v>42653</v>
      </c>
      <c r="V503" s="387"/>
      <c r="W503" s="354">
        <f>COUNT(RawMaterials[[#This Row],[Lab Quantity 1]:[Lab Quantity 4]])</f>
        <v>0</v>
      </c>
      <c r="X50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3" s="392" t="e">
        <f>RawMaterials[[#This Row],[Lab Price 1]]/RawMaterials[[#This Row],[Lab Q Model Units 1]]</f>
        <v>#N/A</v>
      </c>
      <c r="AC503" s="392" t="e">
        <f>RawMaterials[[#This Row],[Lab Price 2]]/RawMaterials[[#This Row],[Lab Q Model Units 2]]</f>
        <v>#N/A</v>
      </c>
      <c r="AD503" s="392" t="e">
        <f>RawMaterials[[#This Row],[Lab Price 3]]/RawMaterials[[#This Row],[Lab Q Model Units 3]]</f>
        <v>#N/A</v>
      </c>
      <c r="AE503" s="392" t="e">
        <f>RawMaterials[[#This Row],[Lab Price 4]]/RawMaterials[[#This Row],[Lab Q Model Units 4]]</f>
        <v>#N/A</v>
      </c>
      <c r="AF503" s="392" t="str">
        <f ca="1">IF(RawMaterials[[#This Row],[Lab Quote Count]]&gt;1,SLOPE(LOG(INDIRECT("RawMaterials[@[Lab Unit P 1]:[Lab Unit P "&amp;RawMaterials[[#This Row],[Lab Quote Count]]&amp;"]]")),LOG(INDIRECT("RawMaterials[@[Lab Q Model Units 1]:[Lab Q Model Units "&amp;RawMaterials[[#This Row],[Lab Quote Count]]&amp;"]]"))),"")</f>
        <v/>
      </c>
      <c r="AG503" s="392" t="str">
        <f ca="1">IF(RawMaterials[[#This Row],[Lab Quote Count]]&gt;1,INTERCEPT(LOG(INDIRECT("RawMaterials[@[Lab Unit P 1]:[Lab Unit P "&amp;RawMaterials[[#This Row],[Lab Quote Count]]&amp;"]]")),LOG(INDIRECT("RawMaterials[@[Lab Q Model Units 1]:[Lab Q Model Units "&amp;RawMaterials[[#This Row],[Lab Quote Count]]&amp;"]]"))),"")</f>
        <v/>
      </c>
      <c r="AH503" s="393" t="str">
        <f>IF(RawMaterials[[#This Row],[Material Type]]="Metal Precursor","D13",IF(RawMaterials[[#This Row],[Material Type]]="Ligand","D13","D12"))</f>
        <v>D12</v>
      </c>
      <c r="AI503" s="394" t="str">
        <f ca="1">IF(RawMaterials[[#This Row],[Lab Quote Count]]&gt;1,10^RawMaterials[[#This Row],[Lab Log-Log Intercept]]*INDIRECT(RawMaterials[[#This Row],[Basis Cell]])^RawMaterials[[#This Row],[Lab Log-Log Slope]],"&gt;&gt;&gt; Enter 2 or more lab quotes &lt;&lt;&lt;")</f>
        <v>&gt;&gt;&gt; Enter 2 or more lab quotes &lt;&lt;&lt;</v>
      </c>
      <c r="AJ50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0.66138678655463279</v>
      </c>
      <c r="AL503" s="396">
        <f>IF(ISTEXT(RawMaterials[[#This Row],[Unit price in quote year]]),"Check calcs",RawMaterials[[#This Row],[Unit price in quote year]]/VLOOKUP(RawMaterials[[#This Row],[Quote Year]],ChemPPI[],14,FALSE)*VLOOKUP(BasisYear,ChemPPI[],14,FALSE))</f>
        <v>0.8976443632558051</v>
      </c>
      <c r="AM503" s="397" t="str">
        <f t="shared" si="7"/>
        <v>$/kg (2016)</v>
      </c>
    </row>
    <row r="504" spans="1:39">
      <c r="A504" s="259" t="s">
        <v>1588</v>
      </c>
      <c r="B504" s="260"/>
      <c r="C504" s="351"/>
      <c r="D504" s="351"/>
      <c r="E504" s="260">
        <v>100</v>
      </c>
      <c r="F504" s="260"/>
      <c r="G504" s="351"/>
      <c r="H504" s="351"/>
      <c r="I504" s="262"/>
      <c r="J504" s="351"/>
      <c r="K504" s="351"/>
      <c r="L504" s="351"/>
      <c r="M504" s="351"/>
      <c r="N504" s="351"/>
      <c r="O504" s="351"/>
      <c r="P504" s="261">
        <v>24</v>
      </c>
      <c r="Q504" s="260">
        <v>100</v>
      </c>
      <c r="R504" s="260" t="s">
        <v>20</v>
      </c>
      <c r="S504" s="260">
        <v>2006</v>
      </c>
      <c r="T504" s="260" t="s">
        <v>161</v>
      </c>
      <c r="U504" s="386">
        <v>42653</v>
      </c>
      <c r="V504" s="387"/>
      <c r="W504" s="354">
        <f>COUNT(RawMaterials[[#This Row],[Lab Quantity 1]:[Lab Quantity 4]])</f>
        <v>0</v>
      </c>
      <c r="X50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4" s="392" t="e">
        <f>RawMaterials[[#This Row],[Lab Price 1]]/RawMaterials[[#This Row],[Lab Q Model Units 1]]</f>
        <v>#N/A</v>
      </c>
      <c r="AC504" s="392" t="e">
        <f>RawMaterials[[#This Row],[Lab Price 2]]/RawMaterials[[#This Row],[Lab Q Model Units 2]]</f>
        <v>#N/A</v>
      </c>
      <c r="AD504" s="392" t="e">
        <f>RawMaterials[[#This Row],[Lab Price 3]]/RawMaterials[[#This Row],[Lab Q Model Units 3]]</f>
        <v>#N/A</v>
      </c>
      <c r="AE504" s="392" t="e">
        <f>RawMaterials[[#This Row],[Lab Price 4]]/RawMaterials[[#This Row],[Lab Q Model Units 4]]</f>
        <v>#N/A</v>
      </c>
      <c r="AF504" s="392" t="str">
        <f ca="1">IF(RawMaterials[[#This Row],[Lab Quote Count]]&gt;1,SLOPE(LOG(INDIRECT("RawMaterials[@[Lab Unit P 1]:[Lab Unit P "&amp;RawMaterials[[#This Row],[Lab Quote Count]]&amp;"]]")),LOG(INDIRECT("RawMaterials[@[Lab Q Model Units 1]:[Lab Q Model Units "&amp;RawMaterials[[#This Row],[Lab Quote Count]]&amp;"]]"))),"")</f>
        <v/>
      </c>
      <c r="AG504" s="392" t="str">
        <f ca="1">IF(RawMaterials[[#This Row],[Lab Quote Count]]&gt;1,INTERCEPT(LOG(INDIRECT("RawMaterials[@[Lab Unit P 1]:[Lab Unit P "&amp;RawMaterials[[#This Row],[Lab Quote Count]]&amp;"]]")),LOG(INDIRECT("RawMaterials[@[Lab Q Model Units 1]:[Lab Q Model Units "&amp;RawMaterials[[#This Row],[Lab Quote Count]]&amp;"]]"))),"")</f>
        <v/>
      </c>
      <c r="AH504" s="393" t="str">
        <f>IF(RawMaterials[[#This Row],[Material Type]]="Metal Precursor","D13",IF(RawMaterials[[#This Row],[Material Type]]="Ligand","D13","D12"))</f>
        <v>D12</v>
      </c>
      <c r="AI504" s="394" t="str">
        <f ca="1">IF(RawMaterials[[#This Row],[Lab Quote Count]]&gt;1,10^RawMaterials[[#This Row],[Lab Log-Log Intercept]]*INDIRECT(RawMaterials[[#This Row],[Basis Cell]])^RawMaterials[[#This Row],[Lab Log-Log Slope]],"&gt;&gt;&gt; Enter 2 or more lab quotes &lt;&lt;&lt;")</f>
        <v>&gt;&gt;&gt; Enter 2 or more lab quotes &lt;&lt;&lt;</v>
      </c>
      <c r="AJ50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0.52910942924370619</v>
      </c>
      <c r="AL504" s="396">
        <f>IF(ISTEXT(RawMaterials[[#This Row],[Unit price in quote year]]),"Check calcs",RawMaterials[[#This Row],[Unit price in quote year]]/VLOOKUP(RawMaterials[[#This Row],[Quote Year]],ChemPPI[],14,FALSE)*VLOOKUP(BasisYear,ChemPPI[],14,FALSE))</f>
        <v>0.71811549060464397</v>
      </c>
      <c r="AM504" s="397" t="str">
        <f t="shared" si="7"/>
        <v>$/kg (2016)</v>
      </c>
    </row>
    <row r="505" spans="1:39">
      <c r="A505" s="259" t="s">
        <v>1589</v>
      </c>
      <c r="B505" s="260"/>
      <c r="C505" s="351"/>
      <c r="D505" s="351"/>
      <c r="E505" s="260">
        <v>100</v>
      </c>
      <c r="F505" s="260"/>
      <c r="G505" s="351"/>
      <c r="H505" s="351"/>
      <c r="I505" s="262"/>
      <c r="J505" s="351"/>
      <c r="K505" s="351"/>
      <c r="L505" s="351"/>
      <c r="M505" s="351"/>
      <c r="N505" s="351"/>
      <c r="O505" s="351"/>
      <c r="P505" s="261">
        <v>482.5</v>
      </c>
      <c r="Q505" s="260">
        <v>1</v>
      </c>
      <c r="R505" s="260" t="s">
        <v>401</v>
      </c>
      <c r="S505" s="260">
        <v>2006</v>
      </c>
      <c r="T505" s="260" t="s">
        <v>161</v>
      </c>
      <c r="U505" s="386">
        <v>42653</v>
      </c>
      <c r="V505" s="387"/>
      <c r="W505" s="354">
        <f>COUNT(RawMaterials[[#This Row],[Lab Quantity 1]:[Lab Quantity 4]])</f>
        <v>0</v>
      </c>
      <c r="X50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5" s="392" t="e">
        <f>RawMaterials[[#This Row],[Lab Price 1]]/RawMaterials[[#This Row],[Lab Q Model Units 1]]</f>
        <v>#N/A</v>
      </c>
      <c r="AC505" s="392" t="e">
        <f>RawMaterials[[#This Row],[Lab Price 2]]/RawMaterials[[#This Row],[Lab Q Model Units 2]]</f>
        <v>#N/A</v>
      </c>
      <c r="AD505" s="392" t="e">
        <f>RawMaterials[[#This Row],[Lab Price 3]]/RawMaterials[[#This Row],[Lab Q Model Units 3]]</f>
        <v>#N/A</v>
      </c>
      <c r="AE505" s="392" t="e">
        <f>RawMaterials[[#This Row],[Lab Price 4]]/RawMaterials[[#This Row],[Lab Q Model Units 4]]</f>
        <v>#N/A</v>
      </c>
      <c r="AF505" s="392" t="str">
        <f ca="1">IF(RawMaterials[[#This Row],[Lab Quote Count]]&gt;1,SLOPE(LOG(INDIRECT("RawMaterials[@[Lab Unit P 1]:[Lab Unit P "&amp;RawMaterials[[#This Row],[Lab Quote Count]]&amp;"]]")),LOG(INDIRECT("RawMaterials[@[Lab Q Model Units 1]:[Lab Q Model Units "&amp;RawMaterials[[#This Row],[Lab Quote Count]]&amp;"]]"))),"")</f>
        <v/>
      </c>
      <c r="AG505" s="392" t="str">
        <f ca="1">IF(RawMaterials[[#This Row],[Lab Quote Count]]&gt;1,INTERCEPT(LOG(INDIRECT("RawMaterials[@[Lab Unit P 1]:[Lab Unit P "&amp;RawMaterials[[#This Row],[Lab Quote Count]]&amp;"]]")),LOG(INDIRECT("RawMaterials[@[Lab Q Model Units 1]:[Lab Q Model Units "&amp;RawMaterials[[#This Row],[Lab Quote Count]]&amp;"]]"))),"")</f>
        <v/>
      </c>
      <c r="AH505" s="393" t="str">
        <f>IF(RawMaterials[[#This Row],[Material Type]]="Metal Precursor","D13",IF(RawMaterials[[#This Row],[Material Type]]="Ligand","D13","D12"))</f>
        <v>D12</v>
      </c>
      <c r="AI505" s="394" t="str">
        <f ca="1">IF(RawMaterials[[#This Row],[Lab Quote Count]]&gt;1,10^RawMaterials[[#This Row],[Lab Log-Log Intercept]]*INDIRECT(RawMaterials[[#This Row],[Basis Cell]])^RawMaterials[[#This Row],[Lab Log-Log Slope]],"&gt;&gt;&gt; Enter 2 or more lab quotes &lt;&lt;&lt;")</f>
        <v>&gt;&gt;&gt; Enter 2 or more lab quotes &lt;&lt;&lt;</v>
      </c>
      <c r="AJ50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0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0.53186520752101718</v>
      </c>
      <c r="AL505" s="396">
        <f>IF(ISTEXT(RawMaterials[[#This Row],[Unit price in quote year]]),"Check calcs",RawMaterials[[#This Row],[Unit price in quote year]]/VLOOKUP(RawMaterials[[#This Row],[Quote Year]],ChemPPI[],14,FALSE)*VLOOKUP(BasisYear,ChemPPI[],14,FALSE))</f>
        <v>0.72185567545154328</v>
      </c>
      <c r="AM505" s="397" t="str">
        <f t="shared" si="7"/>
        <v>$/kg (2016)</v>
      </c>
    </row>
    <row r="506" spans="1:39">
      <c r="A506" s="259" t="s">
        <v>1590</v>
      </c>
      <c r="B506" s="260"/>
      <c r="C506" s="351"/>
      <c r="D506" s="351"/>
      <c r="E506" s="260">
        <v>100</v>
      </c>
      <c r="F506" s="260"/>
      <c r="G506" s="351"/>
      <c r="H506" s="351"/>
      <c r="I506" s="262"/>
      <c r="J506" s="351"/>
      <c r="K506" s="351"/>
      <c r="L506" s="351"/>
      <c r="M506" s="351"/>
      <c r="N506" s="351"/>
      <c r="O506" s="351"/>
      <c r="P506" s="261">
        <v>680</v>
      </c>
      <c r="Q506" s="260">
        <v>1</v>
      </c>
      <c r="R506" s="260" t="s">
        <v>1112</v>
      </c>
      <c r="S506" s="260">
        <v>2006</v>
      </c>
      <c r="T506" s="260" t="s">
        <v>161</v>
      </c>
      <c r="U506" s="386">
        <v>42653</v>
      </c>
      <c r="V506" s="387"/>
      <c r="W506" s="354">
        <f>COUNT(RawMaterials[[#This Row],[Lab Quantity 1]:[Lab Quantity 4]])</f>
        <v>0</v>
      </c>
      <c r="X50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6" s="392" t="e">
        <f>RawMaterials[[#This Row],[Lab Price 1]]/RawMaterials[[#This Row],[Lab Q Model Units 1]]</f>
        <v>#N/A</v>
      </c>
      <c r="AC506" s="392" t="e">
        <f>RawMaterials[[#This Row],[Lab Price 2]]/RawMaterials[[#This Row],[Lab Q Model Units 2]]</f>
        <v>#N/A</v>
      </c>
      <c r="AD506" s="392" t="e">
        <f>RawMaterials[[#This Row],[Lab Price 3]]/RawMaterials[[#This Row],[Lab Q Model Units 3]]</f>
        <v>#N/A</v>
      </c>
      <c r="AE506" s="392" t="e">
        <f>RawMaterials[[#This Row],[Lab Price 4]]/RawMaterials[[#This Row],[Lab Q Model Units 4]]</f>
        <v>#N/A</v>
      </c>
      <c r="AF506" s="392" t="str">
        <f ca="1">IF(RawMaterials[[#This Row],[Lab Quote Count]]&gt;1,SLOPE(LOG(INDIRECT("RawMaterials[@[Lab Unit P 1]:[Lab Unit P "&amp;RawMaterials[[#This Row],[Lab Quote Count]]&amp;"]]")),LOG(INDIRECT("RawMaterials[@[Lab Q Model Units 1]:[Lab Q Model Units "&amp;RawMaterials[[#This Row],[Lab Quote Count]]&amp;"]]"))),"")</f>
        <v/>
      </c>
      <c r="AG506" s="392" t="str">
        <f ca="1">IF(RawMaterials[[#This Row],[Lab Quote Count]]&gt;1,INTERCEPT(LOG(INDIRECT("RawMaterials[@[Lab Unit P 1]:[Lab Unit P "&amp;RawMaterials[[#This Row],[Lab Quote Count]]&amp;"]]")),LOG(INDIRECT("RawMaterials[@[Lab Q Model Units 1]:[Lab Q Model Units "&amp;RawMaterials[[#This Row],[Lab Quote Count]]&amp;"]]"))),"")</f>
        <v/>
      </c>
      <c r="AH506" s="393" t="str">
        <f>IF(RawMaterials[[#This Row],[Material Type]]="Metal Precursor","D13",IF(RawMaterials[[#This Row],[Material Type]]="Ligand","D13","D12"))</f>
        <v>D12</v>
      </c>
      <c r="AI506" s="394" t="str">
        <f ca="1">IF(RawMaterials[[#This Row],[Lab Quote Count]]&gt;1,10^RawMaterials[[#This Row],[Lab Log-Log Intercept]]*INDIRECT(RawMaterials[[#This Row],[Basis Cell]])^RawMaterials[[#This Row],[Lab Log-Log Slope]],"&gt;&gt;&gt; Enter 2 or more lab quotes &lt;&lt;&lt;")</f>
        <v>&gt;&gt;&gt; Enter 2 or more lab quotes &lt;&lt;&lt;</v>
      </c>
      <c r="AJ50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0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0.68</v>
      </c>
      <c r="AL506" s="396">
        <f>IF(ISTEXT(RawMaterials[[#This Row],[Unit price in quote year]]),"Check calcs",RawMaterials[[#This Row],[Unit price in quote year]]/VLOOKUP(RawMaterials[[#This Row],[Quote Year]],ChemPPI[],14,FALSE)*VLOOKUP(BasisYear,ChemPPI[],14,FALSE))</f>
        <v>0.92290650406504093</v>
      </c>
      <c r="AM506" s="397" t="str">
        <f t="shared" si="7"/>
        <v>$/kg (2016)</v>
      </c>
    </row>
    <row r="507" spans="1:39">
      <c r="A507" s="259" t="s">
        <v>1591</v>
      </c>
      <c r="B507" s="260"/>
      <c r="C507" s="351"/>
      <c r="D507" s="351"/>
      <c r="E507" s="260">
        <v>100</v>
      </c>
      <c r="F507" s="260"/>
      <c r="G507" s="351"/>
      <c r="H507" s="351"/>
      <c r="I507" s="262"/>
      <c r="J507" s="351"/>
      <c r="K507" s="351"/>
      <c r="L507" s="351"/>
      <c r="M507" s="351"/>
      <c r="N507" s="351"/>
      <c r="O507" s="351"/>
      <c r="P507" s="261">
        <v>397.5</v>
      </c>
      <c r="Q507" s="260">
        <v>1</v>
      </c>
      <c r="R507" s="260" t="s">
        <v>401</v>
      </c>
      <c r="S507" s="260">
        <v>2006</v>
      </c>
      <c r="T507" s="260" t="s">
        <v>161</v>
      </c>
      <c r="U507" s="386">
        <v>42653</v>
      </c>
      <c r="V507" s="387"/>
      <c r="W507" s="354">
        <f>COUNT(RawMaterials[[#This Row],[Lab Quantity 1]:[Lab Quantity 4]])</f>
        <v>0</v>
      </c>
      <c r="X50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7" s="392" t="e">
        <f>RawMaterials[[#This Row],[Lab Price 1]]/RawMaterials[[#This Row],[Lab Q Model Units 1]]</f>
        <v>#N/A</v>
      </c>
      <c r="AC507" s="392" t="e">
        <f>RawMaterials[[#This Row],[Lab Price 2]]/RawMaterials[[#This Row],[Lab Q Model Units 2]]</f>
        <v>#N/A</v>
      </c>
      <c r="AD507" s="392" t="e">
        <f>RawMaterials[[#This Row],[Lab Price 3]]/RawMaterials[[#This Row],[Lab Q Model Units 3]]</f>
        <v>#N/A</v>
      </c>
      <c r="AE507" s="392" t="e">
        <f>RawMaterials[[#This Row],[Lab Price 4]]/RawMaterials[[#This Row],[Lab Q Model Units 4]]</f>
        <v>#N/A</v>
      </c>
      <c r="AF507" s="392" t="str">
        <f ca="1">IF(RawMaterials[[#This Row],[Lab Quote Count]]&gt;1,SLOPE(LOG(INDIRECT("RawMaterials[@[Lab Unit P 1]:[Lab Unit P "&amp;RawMaterials[[#This Row],[Lab Quote Count]]&amp;"]]")),LOG(INDIRECT("RawMaterials[@[Lab Q Model Units 1]:[Lab Q Model Units "&amp;RawMaterials[[#This Row],[Lab Quote Count]]&amp;"]]"))),"")</f>
        <v/>
      </c>
      <c r="AG507" s="392" t="str">
        <f ca="1">IF(RawMaterials[[#This Row],[Lab Quote Count]]&gt;1,INTERCEPT(LOG(INDIRECT("RawMaterials[@[Lab Unit P 1]:[Lab Unit P "&amp;RawMaterials[[#This Row],[Lab Quote Count]]&amp;"]]")),LOG(INDIRECT("RawMaterials[@[Lab Q Model Units 1]:[Lab Q Model Units "&amp;RawMaterials[[#This Row],[Lab Quote Count]]&amp;"]]"))),"")</f>
        <v/>
      </c>
      <c r="AH507" s="393" t="str">
        <f>IF(RawMaterials[[#This Row],[Material Type]]="Metal Precursor","D13",IF(RawMaterials[[#This Row],[Material Type]]="Ligand","D13","D12"))</f>
        <v>D12</v>
      </c>
      <c r="AI507" s="394" t="str">
        <f ca="1">IF(RawMaterials[[#This Row],[Lab Quote Count]]&gt;1,10^RawMaterials[[#This Row],[Lab Log-Log Intercept]]*INDIRECT(RawMaterials[[#This Row],[Basis Cell]])^RawMaterials[[#This Row],[Lab Log-Log Slope]],"&gt;&gt;&gt; Enter 2 or more lab quotes &lt;&lt;&lt;")</f>
        <v>&gt;&gt;&gt; Enter 2 or more lab quotes &lt;&lt;&lt;</v>
      </c>
      <c r="AJ50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0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0.43816874609244416</v>
      </c>
      <c r="AL507" s="396">
        <f>IF(ISTEXT(RawMaterials[[#This Row],[Unit price in quote year]]),"Check calcs",RawMaterials[[#This Row],[Unit price in quote year]]/VLOOKUP(RawMaterials[[#This Row],[Quote Year]],ChemPPI[],14,FALSE)*VLOOKUP(BasisYear,ChemPPI[],14,FALSE))</f>
        <v>0.5946893906569708</v>
      </c>
      <c r="AM507" s="397" t="str">
        <f t="shared" si="7"/>
        <v>$/kg (2016)</v>
      </c>
    </row>
    <row r="508" spans="1:39">
      <c r="A508" s="259" t="s">
        <v>1592</v>
      </c>
      <c r="B508" s="260"/>
      <c r="C508" s="351"/>
      <c r="D508" s="351"/>
      <c r="E508" s="260">
        <v>100</v>
      </c>
      <c r="F508" s="260"/>
      <c r="G508" s="351"/>
      <c r="H508" s="351"/>
      <c r="I508" s="262"/>
      <c r="J508" s="351"/>
      <c r="K508" s="351"/>
      <c r="L508" s="351"/>
      <c r="M508" s="351"/>
      <c r="N508" s="351"/>
      <c r="O508" s="351"/>
      <c r="P508" s="261">
        <v>1.56</v>
      </c>
      <c r="Q508" s="260">
        <v>1</v>
      </c>
      <c r="R508" s="260" t="s">
        <v>20</v>
      </c>
      <c r="S508" s="260">
        <v>2006</v>
      </c>
      <c r="T508" s="260" t="s">
        <v>161</v>
      </c>
      <c r="U508" s="386">
        <v>42653</v>
      </c>
      <c r="V508" s="387"/>
      <c r="W508" s="354">
        <f>COUNT(RawMaterials[[#This Row],[Lab Quantity 1]:[Lab Quantity 4]])</f>
        <v>0</v>
      </c>
      <c r="X50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8" s="392" t="e">
        <f>RawMaterials[[#This Row],[Lab Price 1]]/RawMaterials[[#This Row],[Lab Q Model Units 1]]</f>
        <v>#N/A</v>
      </c>
      <c r="AC508" s="392" t="e">
        <f>RawMaterials[[#This Row],[Lab Price 2]]/RawMaterials[[#This Row],[Lab Q Model Units 2]]</f>
        <v>#N/A</v>
      </c>
      <c r="AD508" s="392" t="e">
        <f>RawMaterials[[#This Row],[Lab Price 3]]/RawMaterials[[#This Row],[Lab Q Model Units 3]]</f>
        <v>#N/A</v>
      </c>
      <c r="AE508" s="392" t="e">
        <f>RawMaterials[[#This Row],[Lab Price 4]]/RawMaterials[[#This Row],[Lab Q Model Units 4]]</f>
        <v>#N/A</v>
      </c>
      <c r="AF508" s="392" t="str">
        <f ca="1">IF(RawMaterials[[#This Row],[Lab Quote Count]]&gt;1,SLOPE(LOG(INDIRECT("RawMaterials[@[Lab Unit P 1]:[Lab Unit P "&amp;RawMaterials[[#This Row],[Lab Quote Count]]&amp;"]]")),LOG(INDIRECT("RawMaterials[@[Lab Q Model Units 1]:[Lab Q Model Units "&amp;RawMaterials[[#This Row],[Lab Quote Count]]&amp;"]]"))),"")</f>
        <v/>
      </c>
      <c r="AG508" s="392" t="str">
        <f ca="1">IF(RawMaterials[[#This Row],[Lab Quote Count]]&gt;1,INTERCEPT(LOG(INDIRECT("RawMaterials[@[Lab Unit P 1]:[Lab Unit P "&amp;RawMaterials[[#This Row],[Lab Quote Count]]&amp;"]]")),LOG(INDIRECT("RawMaterials[@[Lab Q Model Units 1]:[Lab Q Model Units "&amp;RawMaterials[[#This Row],[Lab Quote Count]]&amp;"]]"))),"")</f>
        <v/>
      </c>
      <c r="AH508" s="393" t="str">
        <f>IF(RawMaterials[[#This Row],[Material Type]]="Metal Precursor","D13",IF(RawMaterials[[#This Row],[Material Type]]="Ligand","D13","D12"))</f>
        <v>D12</v>
      </c>
      <c r="AI508" s="394" t="str">
        <f ca="1">IF(RawMaterials[[#This Row],[Lab Quote Count]]&gt;1,10^RawMaterials[[#This Row],[Lab Log-Log Intercept]]*INDIRECT(RawMaterials[[#This Row],[Basis Cell]])^RawMaterials[[#This Row],[Lab Log-Log Slope]],"&gt;&gt;&gt; Enter 2 or more lab quotes &lt;&lt;&lt;")</f>
        <v>&gt;&gt;&gt; Enter 2 or more lab quotes &lt;&lt;&lt;</v>
      </c>
      <c r="AJ50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3.4392112900840903</v>
      </c>
      <c r="AL508" s="396">
        <f>IF(ISTEXT(RawMaterials[[#This Row],[Unit price in quote year]]),"Check calcs",RawMaterials[[#This Row],[Unit price in quote year]]/VLOOKUP(RawMaterials[[#This Row],[Quote Year]],ChemPPI[],14,FALSE)*VLOOKUP(BasisYear,ChemPPI[],14,FALSE))</f>
        <v>4.6677506889301865</v>
      </c>
      <c r="AM508" s="397" t="str">
        <f t="shared" si="7"/>
        <v>$/kg (2016)</v>
      </c>
    </row>
    <row r="509" spans="1:39">
      <c r="A509" s="259" t="s">
        <v>1593</v>
      </c>
      <c r="B509" s="260"/>
      <c r="C509" s="351"/>
      <c r="D509" s="351"/>
      <c r="E509" s="260">
        <v>100</v>
      </c>
      <c r="F509" s="260"/>
      <c r="G509" s="351"/>
      <c r="H509" s="351"/>
      <c r="I509" s="262"/>
      <c r="J509" s="351"/>
      <c r="K509" s="351"/>
      <c r="L509" s="351"/>
      <c r="M509" s="351"/>
      <c r="N509" s="351"/>
      <c r="O509" s="351"/>
      <c r="P509" s="261">
        <v>0.87</v>
      </c>
      <c r="Q509" s="260">
        <v>1</v>
      </c>
      <c r="R509" s="260" t="s">
        <v>20</v>
      </c>
      <c r="S509" s="260">
        <v>2006</v>
      </c>
      <c r="T509" s="260" t="s">
        <v>161</v>
      </c>
      <c r="U509" s="386">
        <v>42653</v>
      </c>
      <c r="V509" s="387"/>
      <c r="W509" s="354">
        <f>COUNT(RawMaterials[[#This Row],[Lab Quantity 1]:[Lab Quantity 4]])</f>
        <v>0</v>
      </c>
      <c r="X50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9" s="392" t="e">
        <f>RawMaterials[[#This Row],[Lab Price 1]]/RawMaterials[[#This Row],[Lab Q Model Units 1]]</f>
        <v>#N/A</v>
      </c>
      <c r="AC509" s="392" t="e">
        <f>RawMaterials[[#This Row],[Lab Price 2]]/RawMaterials[[#This Row],[Lab Q Model Units 2]]</f>
        <v>#N/A</v>
      </c>
      <c r="AD509" s="392" t="e">
        <f>RawMaterials[[#This Row],[Lab Price 3]]/RawMaterials[[#This Row],[Lab Q Model Units 3]]</f>
        <v>#N/A</v>
      </c>
      <c r="AE509" s="392" t="e">
        <f>RawMaterials[[#This Row],[Lab Price 4]]/RawMaterials[[#This Row],[Lab Q Model Units 4]]</f>
        <v>#N/A</v>
      </c>
      <c r="AF509" s="392" t="str">
        <f ca="1">IF(RawMaterials[[#This Row],[Lab Quote Count]]&gt;1,SLOPE(LOG(INDIRECT("RawMaterials[@[Lab Unit P 1]:[Lab Unit P "&amp;RawMaterials[[#This Row],[Lab Quote Count]]&amp;"]]")),LOG(INDIRECT("RawMaterials[@[Lab Q Model Units 1]:[Lab Q Model Units "&amp;RawMaterials[[#This Row],[Lab Quote Count]]&amp;"]]"))),"")</f>
        <v/>
      </c>
      <c r="AG509" s="392" t="str">
        <f ca="1">IF(RawMaterials[[#This Row],[Lab Quote Count]]&gt;1,INTERCEPT(LOG(INDIRECT("RawMaterials[@[Lab Unit P 1]:[Lab Unit P "&amp;RawMaterials[[#This Row],[Lab Quote Count]]&amp;"]]")),LOG(INDIRECT("RawMaterials[@[Lab Q Model Units 1]:[Lab Q Model Units "&amp;RawMaterials[[#This Row],[Lab Quote Count]]&amp;"]]"))),"")</f>
        <v/>
      </c>
      <c r="AH509" s="393" t="str">
        <f>IF(RawMaterials[[#This Row],[Material Type]]="Metal Precursor","D13",IF(RawMaterials[[#This Row],[Material Type]]="Ligand","D13","D12"))</f>
        <v>D12</v>
      </c>
      <c r="AI509" s="394" t="str">
        <f ca="1">IF(RawMaterials[[#This Row],[Lab Quote Count]]&gt;1,10^RawMaterials[[#This Row],[Lab Log-Log Intercept]]*INDIRECT(RawMaterials[[#This Row],[Basis Cell]])^RawMaterials[[#This Row],[Lab Log-Log Slope]],"&gt;&gt;&gt; Enter 2 or more lab quotes &lt;&lt;&lt;")</f>
        <v>&gt;&gt;&gt; Enter 2 or more lab quotes &lt;&lt;&lt;</v>
      </c>
      <c r="AJ50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1.918021681008435</v>
      </c>
      <c r="AL509" s="396">
        <f>IF(ISTEXT(RawMaterials[[#This Row],[Unit price in quote year]]),"Check calcs",RawMaterials[[#This Row],[Unit price in quote year]]/VLOOKUP(RawMaterials[[#This Row],[Quote Year]],ChemPPI[],14,FALSE)*VLOOKUP(BasisYear,ChemPPI[],14,FALSE))</f>
        <v>2.6031686534418346</v>
      </c>
      <c r="AM509" s="397" t="str">
        <f t="shared" si="7"/>
        <v>$/kg (2016)</v>
      </c>
    </row>
    <row r="510" spans="1:39">
      <c r="A510" s="259" t="s">
        <v>1594</v>
      </c>
      <c r="B510" s="260"/>
      <c r="C510" s="351"/>
      <c r="D510" s="351"/>
      <c r="E510" s="260">
        <v>100</v>
      </c>
      <c r="F510" s="260"/>
      <c r="G510" s="351"/>
      <c r="H510" s="351"/>
      <c r="I510" s="262"/>
      <c r="J510" s="351"/>
      <c r="K510" s="351"/>
      <c r="L510" s="351"/>
      <c r="M510" s="351"/>
      <c r="N510" s="351"/>
      <c r="O510" s="351"/>
      <c r="P510" s="261">
        <v>0.56000000000000005</v>
      </c>
      <c r="Q510" s="260">
        <v>1</v>
      </c>
      <c r="R510" s="260" t="s">
        <v>20</v>
      </c>
      <c r="S510" s="260">
        <v>2006</v>
      </c>
      <c r="T510" s="260" t="s">
        <v>161</v>
      </c>
      <c r="U510" s="386">
        <v>42653</v>
      </c>
      <c r="V510" s="387"/>
      <c r="W510" s="354">
        <f>COUNT(RawMaterials[[#This Row],[Lab Quantity 1]:[Lab Quantity 4]])</f>
        <v>0</v>
      </c>
      <c r="X51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0" s="392" t="e">
        <f>RawMaterials[[#This Row],[Lab Price 1]]/RawMaterials[[#This Row],[Lab Q Model Units 1]]</f>
        <v>#N/A</v>
      </c>
      <c r="AC510" s="392" t="e">
        <f>RawMaterials[[#This Row],[Lab Price 2]]/RawMaterials[[#This Row],[Lab Q Model Units 2]]</f>
        <v>#N/A</v>
      </c>
      <c r="AD510" s="392" t="e">
        <f>RawMaterials[[#This Row],[Lab Price 3]]/RawMaterials[[#This Row],[Lab Q Model Units 3]]</f>
        <v>#N/A</v>
      </c>
      <c r="AE510" s="392" t="e">
        <f>RawMaterials[[#This Row],[Lab Price 4]]/RawMaterials[[#This Row],[Lab Q Model Units 4]]</f>
        <v>#N/A</v>
      </c>
      <c r="AF510" s="392" t="str">
        <f ca="1">IF(RawMaterials[[#This Row],[Lab Quote Count]]&gt;1,SLOPE(LOG(INDIRECT("RawMaterials[@[Lab Unit P 1]:[Lab Unit P "&amp;RawMaterials[[#This Row],[Lab Quote Count]]&amp;"]]")),LOG(INDIRECT("RawMaterials[@[Lab Q Model Units 1]:[Lab Q Model Units "&amp;RawMaterials[[#This Row],[Lab Quote Count]]&amp;"]]"))),"")</f>
        <v/>
      </c>
      <c r="AG510" s="392" t="str">
        <f ca="1">IF(RawMaterials[[#This Row],[Lab Quote Count]]&gt;1,INTERCEPT(LOG(INDIRECT("RawMaterials[@[Lab Unit P 1]:[Lab Unit P "&amp;RawMaterials[[#This Row],[Lab Quote Count]]&amp;"]]")),LOG(INDIRECT("RawMaterials[@[Lab Q Model Units 1]:[Lab Q Model Units "&amp;RawMaterials[[#This Row],[Lab Quote Count]]&amp;"]]"))),"")</f>
        <v/>
      </c>
      <c r="AH510" s="393" t="str">
        <f>IF(RawMaterials[[#This Row],[Material Type]]="Metal Precursor","D13",IF(RawMaterials[[#This Row],[Material Type]]="Ligand","D13","D12"))</f>
        <v>D12</v>
      </c>
      <c r="AI510" s="394" t="str">
        <f ca="1">IF(RawMaterials[[#This Row],[Lab Quote Count]]&gt;1,10^RawMaterials[[#This Row],[Lab Log-Log Intercept]]*INDIRECT(RawMaterials[[#This Row],[Basis Cell]])^RawMaterials[[#This Row],[Lab Log-Log Slope]],"&gt;&gt;&gt; Enter 2 or more lab quotes &lt;&lt;&lt;")</f>
        <v>&gt;&gt;&gt; Enter 2 or more lab quotes &lt;&lt;&lt;</v>
      </c>
      <c r="AJ51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1.2345886682353144</v>
      </c>
      <c r="AL510" s="396">
        <f>IF(ISTEXT(RawMaterials[[#This Row],[Unit price in quote year]]),"Check calcs",RawMaterials[[#This Row],[Unit price in quote year]]/VLOOKUP(RawMaterials[[#This Row],[Quote Year]],ChemPPI[],14,FALSE)*VLOOKUP(BasisYear,ChemPPI[],14,FALSE))</f>
        <v>1.6756028114108361</v>
      </c>
      <c r="AM510" s="397" t="str">
        <f t="shared" si="7"/>
        <v>$/kg (2016)</v>
      </c>
    </row>
    <row r="511" spans="1:39">
      <c r="A511" s="259" t="s">
        <v>1595</v>
      </c>
      <c r="B511" s="260"/>
      <c r="C511" s="351"/>
      <c r="D511" s="351"/>
      <c r="E511" s="260">
        <v>100</v>
      </c>
      <c r="F511" s="260"/>
      <c r="G511" s="351"/>
      <c r="H511" s="351"/>
      <c r="I511" s="262"/>
      <c r="J511" s="351"/>
      <c r="K511" s="351"/>
      <c r="L511" s="351"/>
      <c r="M511" s="351"/>
      <c r="N511" s="351"/>
      <c r="O511" s="351"/>
      <c r="P511" s="261">
        <v>3.665</v>
      </c>
      <c r="Q511" s="260">
        <v>1</v>
      </c>
      <c r="R511" s="260" t="s">
        <v>20</v>
      </c>
      <c r="S511" s="260">
        <v>2006</v>
      </c>
      <c r="T511" s="260" t="s">
        <v>161</v>
      </c>
      <c r="U511" s="386">
        <v>42653</v>
      </c>
      <c r="V511" s="387"/>
      <c r="W511" s="354">
        <f>COUNT(RawMaterials[[#This Row],[Lab Quantity 1]:[Lab Quantity 4]])</f>
        <v>0</v>
      </c>
      <c r="X51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1" s="392" t="e">
        <f>RawMaterials[[#This Row],[Lab Price 1]]/RawMaterials[[#This Row],[Lab Q Model Units 1]]</f>
        <v>#N/A</v>
      </c>
      <c r="AC511" s="392" t="e">
        <f>RawMaterials[[#This Row],[Lab Price 2]]/RawMaterials[[#This Row],[Lab Q Model Units 2]]</f>
        <v>#N/A</v>
      </c>
      <c r="AD511" s="392" t="e">
        <f>RawMaterials[[#This Row],[Lab Price 3]]/RawMaterials[[#This Row],[Lab Q Model Units 3]]</f>
        <v>#N/A</v>
      </c>
      <c r="AE511" s="392" t="e">
        <f>RawMaterials[[#This Row],[Lab Price 4]]/RawMaterials[[#This Row],[Lab Q Model Units 4]]</f>
        <v>#N/A</v>
      </c>
      <c r="AF511" s="392" t="str">
        <f ca="1">IF(RawMaterials[[#This Row],[Lab Quote Count]]&gt;1,SLOPE(LOG(INDIRECT("RawMaterials[@[Lab Unit P 1]:[Lab Unit P "&amp;RawMaterials[[#This Row],[Lab Quote Count]]&amp;"]]")),LOG(INDIRECT("RawMaterials[@[Lab Q Model Units 1]:[Lab Q Model Units "&amp;RawMaterials[[#This Row],[Lab Quote Count]]&amp;"]]"))),"")</f>
        <v/>
      </c>
      <c r="AG511" s="392" t="str">
        <f ca="1">IF(RawMaterials[[#This Row],[Lab Quote Count]]&gt;1,INTERCEPT(LOG(INDIRECT("RawMaterials[@[Lab Unit P 1]:[Lab Unit P "&amp;RawMaterials[[#This Row],[Lab Quote Count]]&amp;"]]")),LOG(INDIRECT("RawMaterials[@[Lab Q Model Units 1]:[Lab Q Model Units "&amp;RawMaterials[[#This Row],[Lab Quote Count]]&amp;"]]"))),"")</f>
        <v/>
      </c>
      <c r="AH511" s="393" t="str">
        <f>IF(RawMaterials[[#This Row],[Material Type]]="Metal Precursor","D13",IF(RawMaterials[[#This Row],[Material Type]]="Ligand","D13","D12"))</f>
        <v>D12</v>
      </c>
      <c r="AI511" s="394" t="str">
        <f ca="1">IF(RawMaterials[[#This Row],[Lab Quote Count]]&gt;1,10^RawMaterials[[#This Row],[Lab Log-Log Intercept]]*INDIRECT(RawMaterials[[#This Row],[Basis Cell]])^RawMaterials[[#This Row],[Lab Log-Log Slope]],"&gt;&gt;&gt; Enter 2 or more lab quotes &lt;&lt;&lt;")</f>
        <v>&gt;&gt;&gt; Enter 2 or more lab quotes &lt;&lt;&lt;</v>
      </c>
      <c r="AJ51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8.0799419090757638</v>
      </c>
      <c r="AL511" s="396">
        <f>IF(ISTEXT(RawMaterials[[#This Row],[Unit price in quote year]]),"Check calcs",RawMaterials[[#This Row],[Unit price in quote year]]/VLOOKUP(RawMaterials[[#This Row],[Quote Year]],ChemPPI[],14,FALSE)*VLOOKUP(BasisYear,ChemPPI[],14,FALSE))</f>
        <v>10.966221971108419</v>
      </c>
      <c r="AM511" s="397" t="str">
        <f t="shared" si="7"/>
        <v>$/kg (2016)</v>
      </c>
    </row>
    <row r="512" spans="1:39">
      <c r="A512" s="259" t="s">
        <v>1596</v>
      </c>
      <c r="B512" s="260"/>
      <c r="C512" s="351"/>
      <c r="D512" s="351"/>
      <c r="E512" s="260">
        <v>100</v>
      </c>
      <c r="F512" s="260"/>
      <c r="G512" s="351"/>
      <c r="H512" s="351"/>
      <c r="I512" s="262"/>
      <c r="J512" s="351"/>
      <c r="K512" s="351"/>
      <c r="L512" s="351"/>
      <c r="M512" s="351"/>
      <c r="N512" s="351"/>
      <c r="O512" s="351"/>
      <c r="P512" s="261">
        <v>0.63</v>
      </c>
      <c r="Q512" s="260">
        <v>1</v>
      </c>
      <c r="R512" s="260" t="s">
        <v>20</v>
      </c>
      <c r="S512" s="260">
        <v>2006</v>
      </c>
      <c r="T512" s="260" t="s">
        <v>161</v>
      </c>
      <c r="U512" s="386">
        <v>42653</v>
      </c>
      <c r="V512" s="387"/>
      <c r="W512" s="354">
        <f>COUNT(RawMaterials[[#This Row],[Lab Quantity 1]:[Lab Quantity 4]])</f>
        <v>0</v>
      </c>
      <c r="X51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2" s="392" t="e">
        <f>RawMaterials[[#This Row],[Lab Price 1]]/RawMaterials[[#This Row],[Lab Q Model Units 1]]</f>
        <v>#N/A</v>
      </c>
      <c r="AC512" s="392" t="e">
        <f>RawMaterials[[#This Row],[Lab Price 2]]/RawMaterials[[#This Row],[Lab Q Model Units 2]]</f>
        <v>#N/A</v>
      </c>
      <c r="AD512" s="392" t="e">
        <f>RawMaterials[[#This Row],[Lab Price 3]]/RawMaterials[[#This Row],[Lab Q Model Units 3]]</f>
        <v>#N/A</v>
      </c>
      <c r="AE512" s="392" t="e">
        <f>RawMaterials[[#This Row],[Lab Price 4]]/RawMaterials[[#This Row],[Lab Q Model Units 4]]</f>
        <v>#N/A</v>
      </c>
      <c r="AF512" s="392" t="str">
        <f ca="1">IF(RawMaterials[[#This Row],[Lab Quote Count]]&gt;1,SLOPE(LOG(INDIRECT("RawMaterials[@[Lab Unit P 1]:[Lab Unit P "&amp;RawMaterials[[#This Row],[Lab Quote Count]]&amp;"]]")),LOG(INDIRECT("RawMaterials[@[Lab Q Model Units 1]:[Lab Q Model Units "&amp;RawMaterials[[#This Row],[Lab Quote Count]]&amp;"]]"))),"")</f>
        <v/>
      </c>
      <c r="AG512" s="392" t="str">
        <f ca="1">IF(RawMaterials[[#This Row],[Lab Quote Count]]&gt;1,INTERCEPT(LOG(INDIRECT("RawMaterials[@[Lab Unit P 1]:[Lab Unit P "&amp;RawMaterials[[#This Row],[Lab Quote Count]]&amp;"]]")),LOG(INDIRECT("RawMaterials[@[Lab Q Model Units 1]:[Lab Q Model Units "&amp;RawMaterials[[#This Row],[Lab Quote Count]]&amp;"]]"))),"")</f>
        <v/>
      </c>
      <c r="AH512" s="393" t="str">
        <f>IF(RawMaterials[[#This Row],[Material Type]]="Metal Precursor","D13",IF(RawMaterials[[#This Row],[Material Type]]="Ligand","D13","D12"))</f>
        <v>D12</v>
      </c>
      <c r="AI512" s="394" t="str">
        <f ca="1">IF(RawMaterials[[#This Row],[Lab Quote Count]]&gt;1,10^RawMaterials[[#This Row],[Lab Log-Log Intercept]]*INDIRECT(RawMaterials[[#This Row],[Basis Cell]])^RawMaterials[[#This Row],[Lab Log-Log Slope]],"&gt;&gt;&gt; Enter 2 or more lab quotes &lt;&lt;&lt;")</f>
        <v>&gt;&gt;&gt; Enter 2 or more lab quotes &lt;&lt;&lt;</v>
      </c>
      <c r="AJ51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1.3889122517647288</v>
      </c>
      <c r="AL512" s="396">
        <f>IF(ISTEXT(RawMaterials[[#This Row],[Unit price in quote year]]),"Check calcs",RawMaterials[[#This Row],[Unit price in quote year]]/VLOOKUP(RawMaterials[[#This Row],[Quote Year]],ChemPPI[],14,FALSE)*VLOOKUP(BasisYear,ChemPPI[],14,FALSE))</f>
        <v>1.8850531628371907</v>
      </c>
      <c r="AM512" s="397" t="str">
        <f t="shared" si="7"/>
        <v>$/kg (2016)</v>
      </c>
    </row>
    <row r="513" spans="1:39">
      <c r="A513" s="259" t="s">
        <v>1597</v>
      </c>
      <c r="B513" s="260"/>
      <c r="C513" s="351"/>
      <c r="D513" s="351"/>
      <c r="E513" s="260">
        <v>100</v>
      </c>
      <c r="F513" s="260"/>
      <c r="G513" s="351"/>
      <c r="H513" s="351"/>
      <c r="I513" s="262"/>
      <c r="J513" s="351"/>
      <c r="K513" s="351"/>
      <c r="L513" s="351"/>
      <c r="M513" s="351"/>
      <c r="N513" s="351"/>
      <c r="O513" s="351"/>
      <c r="P513" s="261">
        <v>0.6</v>
      </c>
      <c r="Q513" s="260">
        <v>1</v>
      </c>
      <c r="R513" s="260" t="s">
        <v>20</v>
      </c>
      <c r="S513" s="260">
        <v>2006</v>
      </c>
      <c r="T513" s="260" t="s">
        <v>161</v>
      </c>
      <c r="U513" s="386">
        <v>42653</v>
      </c>
      <c r="V513" s="387"/>
      <c r="W513" s="354">
        <f>COUNT(RawMaterials[[#This Row],[Lab Quantity 1]:[Lab Quantity 4]])</f>
        <v>0</v>
      </c>
      <c r="X51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3" s="392" t="e">
        <f>RawMaterials[[#This Row],[Lab Price 1]]/RawMaterials[[#This Row],[Lab Q Model Units 1]]</f>
        <v>#N/A</v>
      </c>
      <c r="AC513" s="392" t="e">
        <f>RawMaterials[[#This Row],[Lab Price 2]]/RawMaterials[[#This Row],[Lab Q Model Units 2]]</f>
        <v>#N/A</v>
      </c>
      <c r="AD513" s="392" t="e">
        <f>RawMaterials[[#This Row],[Lab Price 3]]/RawMaterials[[#This Row],[Lab Q Model Units 3]]</f>
        <v>#N/A</v>
      </c>
      <c r="AE513" s="392" t="e">
        <f>RawMaterials[[#This Row],[Lab Price 4]]/RawMaterials[[#This Row],[Lab Q Model Units 4]]</f>
        <v>#N/A</v>
      </c>
      <c r="AF513" s="392" t="str">
        <f ca="1">IF(RawMaterials[[#This Row],[Lab Quote Count]]&gt;1,SLOPE(LOG(INDIRECT("RawMaterials[@[Lab Unit P 1]:[Lab Unit P "&amp;RawMaterials[[#This Row],[Lab Quote Count]]&amp;"]]")),LOG(INDIRECT("RawMaterials[@[Lab Q Model Units 1]:[Lab Q Model Units "&amp;RawMaterials[[#This Row],[Lab Quote Count]]&amp;"]]"))),"")</f>
        <v/>
      </c>
      <c r="AG513" s="392" t="str">
        <f ca="1">IF(RawMaterials[[#This Row],[Lab Quote Count]]&gt;1,INTERCEPT(LOG(INDIRECT("RawMaterials[@[Lab Unit P 1]:[Lab Unit P "&amp;RawMaterials[[#This Row],[Lab Quote Count]]&amp;"]]")),LOG(INDIRECT("RawMaterials[@[Lab Q Model Units 1]:[Lab Q Model Units "&amp;RawMaterials[[#This Row],[Lab Quote Count]]&amp;"]]"))),"")</f>
        <v/>
      </c>
      <c r="AH513" s="393" t="str">
        <f>IF(RawMaterials[[#This Row],[Material Type]]="Metal Precursor","D13",IF(RawMaterials[[#This Row],[Material Type]]="Ligand","D13","D12"))</f>
        <v>D12</v>
      </c>
      <c r="AI513" s="394" t="str">
        <f ca="1">IF(RawMaterials[[#This Row],[Lab Quote Count]]&gt;1,10^RawMaterials[[#This Row],[Lab Log-Log Intercept]]*INDIRECT(RawMaterials[[#This Row],[Basis Cell]])^RawMaterials[[#This Row],[Lab Log-Log Slope]],"&gt;&gt;&gt; Enter 2 or more lab quotes &lt;&lt;&lt;")</f>
        <v>&gt;&gt;&gt; Enter 2 or more lab quotes &lt;&lt;&lt;</v>
      </c>
      <c r="AJ51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1.3227735731092654</v>
      </c>
      <c r="AL513" s="396">
        <f>IF(ISTEXT(RawMaterials[[#This Row],[Unit price in quote year]]),"Check calcs",RawMaterials[[#This Row],[Unit price in quote year]]/VLOOKUP(RawMaterials[[#This Row],[Quote Year]],ChemPPI[],14,FALSE)*VLOOKUP(BasisYear,ChemPPI[],14,FALSE))</f>
        <v>1.79528872651161</v>
      </c>
      <c r="AM513" s="397" t="str">
        <f t="shared" si="7"/>
        <v>$/kg (2016)</v>
      </c>
    </row>
    <row r="514" spans="1:39">
      <c r="A514" s="259" t="s">
        <v>1598</v>
      </c>
      <c r="B514" s="260"/>
      <c r="C514" s="351"/>
      <c r="D514" s="351"/>
      <c r="E514" s="260">
        <v>100</v>
      </c>
      <c r="F514" s="260"/>
      <c r="G514" s="351"/>
      <c r="H514" s="351"/>
      <c r="I514" s="262"/>
      <c r="J514" s="351"/>
      <c r="K514" s="351"/>
      <c r="L514" s="351"/>
      <c r="M514" s="351"/>
      <c r="N514" s="351"/>
      <c r="O514" s="351"/>
      <c r="P514" s="261">
        <v>0.67999999999999905</v>
      </c>
      <c r="Q514" s="260">
        <v>1</v>
      </c>
      <c r="R514" s="260" t="s">
        <v>20</v>
      </c>
      <c r="S514" s="260">
        <v>2006</v>
      </c>
      <c r="T514" s="260" t="s">
        <v>161</v>
      </c>
      <c r="U514" s="386">
        <v>42653</v>
      </c>
      <c r="V514" s="387"/>
      <c r="W514" s="354">
        <f>COUNT(RawMaterials[[#This Row],[Lab Quantity 1]:[Lab Quantity 4]])</f>
        <v>0</v>
      </c>
      <c r="X51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4" s="392" t="e">
        <f>RawMaterials[[#This Row],[Lab Price 1]]/RawMaterials[[#This Row],[Lab Q Model Units 1]]</f>
        <v>#N/A</v>
      </c>
      <c r="AC514" s="392" t="e">
        <f>RawMaterials[[#This Row],[Lab Price 2]]/RawMaterials[[#This Row],[Lab Q Model Units 2]]</f>
        <v>#N/A</v>
      </c>
      <c r="AD514" s="392" t="e">
        <f>RawMaterials[[#This Row],[Lab Price 3]]/RawMaterials[[#This Row],[Lab Q Model Units 3]]</f>
        <v>#N/A</v>
      </c>
      <c r="AE514" s="392" t="e">
        <f>RawMaterials[[#This Row],[Lab Price 4]]/RawMaterials[[#This Row],[Lab Q Model Units 4]]</f>
        <v>#N/A</v>
      </c>
      <c r="AF514" s="392" t="str">
        <f ca="1">IF(RawMaterials[[#This Row],[Lab Quote Count]]&gt;1,SLOPE(LOG(INDIRECT("RawMaterials[@[Lab Unit P 1]:[Lab Unit P "&amp;RawMaterials[[#This Row],[Lab Quote Count]]&amp;"]]")),LOG(INDIRECT("RawMaterials[@[Lab Q Model Units 1]:[Lab Q Model Units "&amp;RawMaterials[[#This Row],[Lab Quote Count]]&amp;"]]"))),"")</f>
        <v/>
      </c>
      <c r="AG514" s="392" t="str">
        <f ca="1">IF(RawMaterials[[#This Row],[Lab Quote Count]]&gt;1,INTERCEPT(LOG(INDIRECT("RawMaterials[@[Lab Unit P 1]:[Lab Unit P "&amp;RawMaterials[[#This Row],[Lab Quote Count]]&amp;"]]")),LOG(INDIRECT("RawMaterials[@[Lab Q Model Units 1]:[Lab Q Model Units "&amp;RawMaterials[[#This Row],[Lab Quote Count]]&amp;"]]"))),"")</f>
        <v/>
      </c>
      <c r="AH514" s="393" t="str">
        <f>IF(RawMaterials[[#This Row],[Material Type]]="Metal Precursor","D13",IF(RawMaterials[[#This Row],[Material Type]]="Ligand","D13","D12"))</f>
        <v>D12</v>
      </c>
      <c r="AI514" s="394" t="str">
        <f ca="1">IF(RawMaterials[[#This Row],[Lab Quote Count]]&gt;1,10^RawMaterials[[#This Row],[Lab Log-Log Intercept]]*INDIRECT(RawMaterials[[#This Row],[Basis Cell]])^RawMaterials[[#This Row],[Lab Log-Log Slope]],"&gt;&gt;&gt; Enter 2 or more lab quotes &lt;&lt;&lt;")</f>
        <v>&gt;&gt;&gt; Enter 2 or more lab quotes &lt;&lt;&lt;</v>
      </c>
      <c r="AJ51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1.4991433828571654</v>
      </c>
      <c r="AL514" s="396">
        <f>IF(ISTEXT(RawMaterials[[#This Row],[Unit price in quote year]]),"Check calcs",RawMaterials[[#This Row],[Unit price in quote year]]/VLOOKUP(RawMaterials[[#This Row],[Quote Year]],ChemPPI[],14,FALSE)*VLOOKUP(BasisYear,ChemPPI[],14,FALSE))</f>
        <v>2.0346605567131553</v>
      </c>
      <c r="AM514" s="397" t="str">
        <f t="shared" si="7"/>
        <v>$/kg (2016)</v>
      </c>
    </row>
    <row r="515" spans="1:39">
      <c r="A515" s="259" t="s">
        <v>1599</v>
      </c>
      <c r="B515" s="260"/>
      <c r="C515" s="351"/>
      <c r="D515" s="351"/>
      <c r="E515" s="260">
        <v>100</v>
      </c>
      <c r="F515" s="260"/>
      <c r="G515" s="351"/>
      <c r="H515" s="351"/>
      <c r="I515" s="262"/>
      <c r="J515" s="351"/>
      <c r="K515" s="351"/>
      <c r="L515" s="351"/>
      <c r="M515" s="351"/>
      <c r="N515" s="351"/>
      <c r="O515" s="351"/>
      <c r="P515" s="261">
        <v>6.15</v>
      </c>
      <c r="Q515" s="260">
        <v>1</v>
      </c>
      <c r="R515" s="260" t="s">
        <v>20</v>
      </c>
      <c r="S515" s="260">
        <v>2006</v>
      </c>
      <c r="T515" s="260" t="s">
        <v>161</v>
      </c>
      <c r="U515" s="386">
        <v>42653</v>
      </c>
      <c r="V515" s="387"/>
      <c r="W515" s="354">
        <f>COUNT(RawMaterials[[#This Row],[Lab Quantity 1]:[Lab Quantity 4]])</f>
        <v>0</v>
      </c>
      <c r="X51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5" s="392" t="e">
        <f>RawMaterials[[#This Row],[Lab Price 1]]/RawMaterials[[#This Row],[Lab Q Model Units 1]]</f>
        <v>#N/A</v>
      </c>
      <c r="AC515" s="392" t="e">
        <f>RawMaterials[[#This Row],[Lab Price 2]]/RawMaterials[[#This Row],[Lab Q Model Units 2]]</f>
        <v>#N/A</v>
      </c>
      <c r="AD515" s="392" t="e">
        <f>RawMaterials[[#This Row],[Lab Price 3]]/RawMaterials[[#This Row],[Lab Q Model Units 3]]</f>
        <v>#N/A</v>
      </c>
      <c r="AE515" s="392" t="e">
        <f>RawMaterials[[#This Row],[Lab Price 4]]/RawMaterials[[#This Row],[Lab Q Model Units 4]]</f>
        <v>#N/A</v>
      </c>
      <c r="AF515" s="392" t="str">
        <f ca="1">IF(RawMaterials[[#This Row],[Lab Quote Count]]&gt;1,SLOPE(LOG(INDIRECT("RawMaterials[@[Lab Unit P 1]:[Lab Unit P "&amp;RawMaterials[[#This Row],[Lab Quote Count]]&amp;"]]")),LOG(INDIRECT("RawMaterials[@[Lab Q Model Units 1]:[Lab Q Model Units "&amp;RawMaterials[[#This Row],[Lab Quote Count]]&amp;"]]"))),"")</f>
        <v/>
      </c>
      <c r="AG515" s="392" t="str">
        <f ca="1">IF(RawMaterials[[#This Row],[Lab Quote Count]]&gt;1,INTERCEPT(LOG(INDIRECT("RawMaterials[@[Lab Unit P 1]:[Lab Unit P "&amp;RawMaterials[[#This Row],[Lab Quote Count]]&amp;"]]")),LOG(INDIRECT("RawMaterials[@[Lab Q Model Units 1]:[Lab Q Model Units "&amp;RawMaterials[[#This Row],[Lab Quote Count]]&amp;"]]"))),"")</f>
        <v/>
      </c>
      <c r="AH515" s="393" t="str">
        <f>IF(RawMaterials[[#This Row],[Material Type]]="Metal Precursor","D13",IF(RawMaterials[[#This Row],[Material Type]]="Ligand","D13","D12"))</f>
        <v>D12</v>
      </c>
      <c r="AI515" s="394" t="str">
        <f ca="1">IF(RawMaterials[[#This Row],[Lab Quote Count]]&gt;1,10^RawMaterials[[#This Row],[Lab Log-Log Intercept]]*INDIRECT(RawMaterials[[#This Row],[Basis Cell]])^RawMaterials[[#This Row],[Lab Log-Log Slope]],"&gt;&gt;&gt; Enter 2 or more lab quotes &lt;&lt;&lt;")</f>
        <v>&gt;&gt;&gt; Enter 2 or more lab quotes &lt;&lt;&lt;</v>
      </c>
      <c r="AJ51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13.558429124369971</v>
      </c>
      <c r="AL515" s="396">
        <f>IF(ISTEXT(RawMaterials[[#This Row],[Unit price in quote year]]),"Check calcs",RawMaterials[[#This Row],[Unit price in quote year]]/VLOOKUP(RawMaterials[[#This Row],[Quote Year]],ChemPPI[],14,FALSE)*VLOOKUP(BasisYear,ChemPPI[],14,FALSE))</f>
        <v>18.401709446744004</v>
      </c>
      <c r="AM515" s="397" t="str">
        <f t="shared" si="7"/>
        <v>$/kg (2016)</v>
      </c>
    </row>
    <row r="516" spans="1:39">
      <c r="A516" s="259" t="s">
        <v>1600</v>
      </c>
      <c r="B516" s="260"/>
      <c r="C516" s="351"/>
      <c r="D516" s="351"/>
      <c r="E516" s="260">
        <v>100</v>
      </c>
      <c r="F516" s="260"/>
      <c r="G516" s="351"/>
      <c r="H516" s="351"/>
      <c r="I516" s="262"/>
      <c r="J516" s="351"/>
      <c r="K516" s="351"/>
      <c r="L516" s="351"/>
      <c r="M516" s="351"/>
      <c r="N516" s="351"/>
      <c r="O516" s="351"/>
      <c r="P516" s="261">
        <v>725</v>
      </c>
      <c r="Q516" s="260">
        <v>1</v>
      </c>
      <c r="R516" s="260" t="s">
        <v>401</v>
      </c>
      <c r="S516" s="260">
        <v>2006</v>
      </c>
      <c r="T516" s="260" t="s">
        <v>161</v>
      </c>
      <c r="U516" s="386">
        <v>42653</v>
      </c>
      <c r="V516" s="387"/>
      <c r="W516" s="354">
        <f>COUNT(RawMaterials[[#This Row],[Lab Quantity 1]:[Lab Quantity 4]])</f>
        <v>0</v>
      </c>
      <c r="X51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6" s="392" t="e">
        <f>RawMaterials[[#This Row],[Lab Price 1]]/RawMaterials[[#This Row],[Lab Q Model Units 1]]</f>
        <v>#N/A</v>
      </c>
      <c r="AC516" s="392" t="e">
        <f>RawMaterials[[#This Row],[Lab Price 2]]/RawMaterials[[#This Row],[Lab Q Model Units 2]]</f>
        <v>#N/A</v>
      </c>
      <c r="AD516" s="392" t="e">
        <f>RawMaterials[[#This Row],[Lab Price 3]]/RawMaterials[[#This Row],[Lab Q Model Units 3]]</f>
        <v>#N/A</v>
      </c>
      <c r="AE516" s="392" t="e">
        <f>RawMaterials[[#This Row],[Lab Price 4]]/RawMaterials[[#This Row],[Lab Q Model Units 4]]</f>
        <v>#N/A</v>
      </c>
      <c r="AF516" s="392" t="str">
        <f ca="1">IF(RawMaterials[[#This Row],[Lab Quote Count]]&gt;1,SLOPE(LOG(INDIRECT("RawMaterials[@[Lab Unit P 1]:[Lab Unit P "&amp;RawMaterials[[#This Row],[Lab Quote Count]]&amp;"]]")),LOG(INDIRECT("RawMaterials[@[Lab Q Model Units 1]:[Lab Q Model Units "&amp;RawMaterials[[#This Row],[Lab Quote Count]]&amp;"]]"))),"")</f>
        <v/>
      </c>
      <c r="AG516" s="392" t="str">
        <f ca="1">IF(RawMaterials[[#This Row],[Lab Quote Count]]&gt;1,INTERCEPT(LOG(INDIRECT("RawMaterials[@[Lab Unit P 1]:[Lab Unit P "&amp;RawMaterials[[#This Row],[Lab Quote Count]]&amp;"]]")),LOG(INDIRECT("RawMaterials[@[Lab Q Model Units 1]:[Lab Q Model Units "&amp;RawMaterials[[#This Row],[Lab Quote Count]]&amp;"]]"))),"")</f>
        <v/>
      </c>
      <c r="AH516" s="393" t="str">
        <f>IF(RawMaterials[[#This Row],[Material Type]]="Metal Precursor","D13",IF(RawMaterials[[#This Row],[Material Type]]="Ligand","D13","D12"))</f>
        <v>D12</v>
      </c>
      <c r="AI516" s="394" t="str">
        <f ca="1">IF(RawMaterials[[#This Row],[Lab Quote Count]]&gt;1,10^RawMaterials[[#This Row],[Lab Log-Log Intercept]]*INDIRECT(RawMaterials[[#This Row],[Basis Cell]])^RawMaterials[[#This Row],[Lab Log-Log Slope]],"&gt;&gt;&gt; Enter 2 or more lab quotes &lt;&lt;&lt;")</f>
        <v>&gt;&gt;&gt; Enter 2 or more lab quotes &lt;&lt;&lt;</v>
      </c>
      <c r="AJ51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1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0.79917570042018116</v>
      </c>
      <c r="AL516" s="396">
        <f>IF(ISTEXT(RawMaterials[[#This Row],[Unit price in quote year]]),"Check calcs",RawMaterials[[#This Row],[Unit price in quote year]]/VLOOKUP(RawMaterials[[#This Row],[Quote Year]],ChemPPI[],14,FALSE)*VLOOKUP(BasisYear,ChemPPI[],14,FALSE))</f>
        <v>1.0846536056007643</v>
      </c>
      <c r="AM516" s="397" t="str">
        <f t="shared" si="7"/>
        <v>$/kg (2016)</v>
      </c>
    </row>
    <row r="517" spans="1:39">
      <c r="A517" s="259" t="s">
        <v>1601</v>
      </c>
      <c r="B517" s="260"/>
      <c r="C517" s="351"/>
      <c r="D517" s="351"/>
      <c r="E517" s="260">
        <v>100</v>
      </c>
      <c r="F517" s="260"/>
      <c r="G517" s="351"/>
      <c r="H517" s="351"/>
      <c r="I517" s="262"/>
      <c r="J517" s="351"/>
      <c r="K517" s="351"/>
      <c r="L517" s="351"/>
      <c r="M517" s="351"/>
      <c r="N517" s="351"/>
      <c r="O517" s="351"/>
      <c r="P517" s="261">
        <v>550</v>
      </c>
      <c r="Q517" s="260">
        <v>1</v>
      </c>
      <c r="R517" s="260" t="s">
        <v>401</v>
      </c>
      <c r="S517" s="260">
        <v>2006</v>
      </c>
      <c r="T517" s="260" t="s">
        <v>161</v>
      </c>
      <c r="U517" s="386">
        <v>42653</v>
      </c>
      <c r="V517" s="387"/>
      <c r="W517" s="354">
        <f>COUNT(RawMaterials[[#This Row],[Lab Quantity 1]:[Lab Quantity 4]])</f>
        <v>0</v>
      </c>
      <c r="X51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7" s="392" t="e">
        <f>RawMaterials[[#This Row],[Lab Price 1]]/RawMaterials[[#This Row],[Lab Q Model Units 1]]</f>
        <v>#N/A</v>
      </c>
      <c r="AC517" s="392" t="e">
        <f>RawMaterials[[#This Row],[Lab Price 2]]/RawMaterials[[#This Row],[Lab Q Model Units 2]]</f>
        <v>#N/A</v>
      </c>
      <c r="AD517" s="392" t="e">
        <f>RawMaterials[[#This Row],[Lab Price 3]]/RawMaterials[[#This Row],[Lab Q Model Units 3]]</f>
        <v>#N/A</v>
      </c>
      <c r="AE517" s="392" t="e">
        <f>RawMaterials[[#This Row],[Lab Price 4]]/RawMaterials[[#This Row],[Lab Q Model Units 4]]</f>
        <v>#N/A</v>
      </c>
      <c r="AF517" s="392" t="str">
        <f ca="1">IF(RawMaterials[[#This Row],[Lab Quote Count]]&gt;1,SLOPE(LOG(INDIRECT("RawMaterials[@[Lab Unit P 1]:[Lab Unit P "&amp;RawMaterials[[#This Row],[Lab Quote Count]]&amp;"]]")),LOG(INDIRECT("RawMaterials[@[Lab Q Model Units 1]:[Lab Q Model Units "&amp;RawMaterials[[#This Row],[Lab Quote Count]]&amp;"]]"))),"")</f>
        <v/>
      </c>
      <c r="AG517" s="392" t="str">
        <f ca="1">IF(RawMaterials[[#This Row],[Lab Quote Count]]&gt;1,INTERCEPT(LOG(INDIRECT("RawMaterials[@[Lab Unit P 1]:[Lab Unit P "&amp;RawMaterials[[#This Row],[Lab Quote Count]]&amp;"]]")),LOG(INDIRECT("RawMaterials[@[Lab Q Model Units 1]:[Lab Q Model Units "&amp;RawMaterials[[#This Row],[Lab Quote Count]]&amp;"]]"))),"")</f>
        <v/>
      </c>
      <c r="AH517" s="393" t="str">
        <f>IF(RawMaterials[[#This Row],[Material Type]]="Metal Precursor","D13",IF(RawMaterials[[#This Row],[Material Type]]="Ligand","D13","D12"))</f>
        <v>D12</v>
      </c>
      <c r="AI517" s="394" t="str">
        <f ca="1">IF(RawMaterials[[#This Row],[Lab Quote Count]]&gt;1,10^RawMaterials[[#This Row],[Lab Log-Log Intercept]]*INDIRECT(RawMaterials[[#This Row],[Basis Cell]])^RawMaterials[[#This Row],[Lab Log-Log Slope]],"&gt;&gt;&gt; Enter 2 or more lab quotes &lt;&lt;&lt;")</f>
        <v>&gt;&gt;&gt; Enter 2 or more lab quotes &lt;&lt;&lt;</v>
      </c>
      <c r="AJ51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1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0.60627122100841335</v>
      </c>
      <c r="AL517" s="396">
        <f>IF(ISTEXT(RawMaterials[[#This Row],[Unit price in quote year]]),"Check calcs",RawMaterials[[#This Row],[Unit price in quote year]]/VLOOKUP(RawMaterials[[#This Row],[Quote Year]],ChemPPI[],14,FALSE)*VLOOKUP(BasisYear,ChemPPI[],14,FALSE))</f>
        <v>0.82284066631782127</v>
      </c>
      <c r="AM517" s="397" t="str">
        <f t="shared" si="7"/>
        <v>$/kg (2016)</v>
      </c>
    </row>
    <row r="518" spans="1:39">
      <c r="A518" s="259" t="s">
        <v>1602</v>
      </c>
      <c r="B518" s="260"/>
      <c r="C518" s="351"/>
      <c r="D518" s="351"/>
      <c r="E518" s="260">
        <v>100</v>
      </c>
      <c r="F518" s="260"/>
      <c r="G518" s="351"/>
      <c r="H518" s="351"/>
      <c r="I518" s="262"/>
      <c r="J518" s="351"/>
      <c r="K518" s="351"/>
      <c r="L518" s="351"/>
      <c r="M518" s="351"/>
      <c r="N518" s="351"/>
      <c r="O518" s="351"/>
      <c r="P518" s="261">
        <v>0.64999999999999902</v>
      </c>
      <c r="Q518" s="260">
        <v>1</v>
      </c>
      <c r="R518" s="260" t="s">
        <v>20</v>
      </c>
      <c r="S518" s="260">
        <v>2006</v>
      </c>
      <c r="T518" s="260" t="s">
        <v>161</v>
      </c>
      <c r="U518" s="386">
        <v>42653</v>
      </c>
      <c r="V518" s="387"/>
      <c r="W518" s="354">
        <f>COUNT(RawMaterials[[#This Row],[Lab Quantity 1]:[Lab Quantity 4]])</f>
        <v>0</v>
      </c>
      <c r="X51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8" s="392" t="e">
        <f>RawMaterials[[#This Row],[Lab Price 1]]/RawMaterials[[#This Row],[Lab Q Model Units 1]]</f>
        <v>#N/A</v>
      </c>
      <c r="AC518" s="392" t="e">
        <f>RawMaterials[[#This Row],[Lab Price 2]]/RawMaterials[[#This Row],[Lab Q Model Units 2]]</f>
        <v>#N/A</v>
      </c>
      <c r="AD518" s="392" t="e">
        <f>RawMaterials[[#This Row],[Lab Price 3]]/RawMaterials[[#This Row],[Lab Q Model Units 3]]</f>
        <v>#N/A</v>
      </c>
      <c r="AE518" s="392" t="e">
        <f>RawMaterials[[#This Row],[Lab Price 4]]/RawMaterials[[#This Row],[Lab Q Model Units 4]]</f>
        <v>#N/A</v>
      </c>
      <c r="AF518" s="392" t="str">
        <f ca="1">IF(RawMaterials[[#This Row],[Lab Quote Count]]&gt;1,SLOPE(LOG(INDIRECT("RawMaterials[@[Lab Unit P 1]:[Lab Unit P "&amp;RawMaterials[[#This Row],[Lab Quote Count]]&amp;"]]")),LOG(INDIRECT("RawMaterials[@[Lab Q Model Units 1]:[Lab Q Model Units "&amp;RawMaterials[[#This Row],[Lab Quote Count]]&amp;"]]"))),"")</f>
        <v/>
      </c>
      <c r="AG518" s="392" t="str">
        <f ca="1">IF(RawMaterials[[#This Row],[Lab Quote Count]]&gt;1,INTERCEPT(LOG(INDIRECT("RawMaterials[@[Lab Unit P 1]:[Lab Unit P "&amp;RawMaterials[[#This Row],[Lab Quote Count]]&amp;"]]")),LOG(INDIRECT("RawMaterials[@[Lab Q Model Units 1]:[Lab Q Model Units "&amp;RawMaterials[[#This Row],[Lab Quote Count]]&amp;"]]"))),"")</f>
        <v/>
      </c>
      <c r="AH518" s="393" t="str">
        <f>IF(RawMaterials[[#This Row],[Material Type]]="Metal Precursor","D13",IF(RawMaterials[[#This Row],[Material Type]]="Ligand","D13","D12"))</f>
        <v>D12</v>
      </c>
      <c r="AI518" s="394" t="str">
        <f ca="1">IF(RawMaterials[[#This Row],[Lab Quote Count]]&gt;1,10^RawMaterials[[#This Row],[Lab Log-Log Intercept]]*INDIRECT(RawMaterials[[#This Row],[Basis Cell]])^RawMaterials[[#This Row],[Lab Log-Log Slope]],"&gt;&gt;&gt; Enter 2 or more lab quotes &lt;&lt;&lt;")</f>
        <v>&gt;&gt;&gt; Enter 2 or more lab quotes &lt;&lt;&lt;</v>
      </c>
      <c r="AJ51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1.433004704201702</v>
      </c>
      <c r="AL518" s="396">
        <f>IF(ISTEXT(RawMaterials[[#This Row],[Unit price in quote year]]),"Check calcs",RawMaterials[[#This Row],[Unit price in quote year]]/VLOOKUP(RawMaterials[[#This Row],[Quote Year]],ChemPPI[],14,FALSE)*VLOOKUP(BasisYear,ChemPPI[],14,FALSE))</f>
        <v>1.9448961203875745</v>
      </c>
      <c r="AM518" s="397" t="str">
        <f t="shared" si="7"/>
        <v>$/kg (2016)</v>
      </c>
    </row>
    <row r="519" spans="1:39">
      <c r="A519" s="259" t="s">
        <v>1603</v>
      </c>
      <c r="B519" s="260"/>
      <c r="C519" s="351"/>
      <c r="D519" s="351"/>
      <c r="E519" s="260">
        <v>100</v>
      </c>
      <c r="F519" s="260"/>
      <c r="G519" s="351"/>
      <c r="H519" s="351"/>
      <c r="I519" s="262"/>
      <c r="J519" s="351"/>
      <c r="K519" s="351"/>
      <c r="L519" s="351"/>
      <c r="M519" s="351"/>
      <c r="N519" s="351"/>
      <c r="O519" s="351"/>
      <c r="P519" s="261">
        <v>1.85</v>
      </c>
      <c r="Q519" s="260">
        <v>1</v>
      </c>
      <c r="R519" s="260" t="s">
        <v>20</v>
      </c>
      <c r="S519" s="260">
        <v>2006</v>
      </c>
      <c r="T519" s="260" t="s">
        <v>161</v>
      </c>
      <c r="U519" s="386">
        <v>42653</v>
      </c>
      <c r="V519" s="387"/>
      <c r="W519" s="354">
        <f>COUNT(RawMaterials[[#This Row],[Lab Quantity 1]:[Lab Quantity 4]])</f>
        <v>0</v>
      </c>
      <c r="X51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9" s="392" t="e">
        <f>RawMaterials[[#This Row],[Lab Price 1]]/RawMaterials[[#This Row],[Lab Q Model Units 1]]</f>
        <v>#N/A</v>
      </c>
      <c r="AC519" s="392" t="e">
        <f>RawMaterials[[#This Row],[Lab Price 2]]/RawMaterials[[#This Row],[Lab Q Model Units 2]]</f>
        <v>#N/A</v>
      </c>
      <c r="AD519" s="392" t="e">
        <f>RawMaterials[[#This Row],[Lab Price 3]]/RawMaterials[[#This Row],[Lab Q Model Units 3]]</f>
        <v>#N/A</v>
      </c>
      <c r="AE519" s="392" t="e">
        <f>RawMaterials[[#This Row],[Lab Price 4]]/RawMaterials[[#This Row],[Lab Q Model Units 4]]</f>
        <v>#N/A</v>
      </c>
      <c r="AF519" s="392" t="str">
        <f ca="1">IF(RawMaterials[[#This Row],[Lab Quote Count]]&gt;1,SLOPE(LOG(INDIRECT("RawMaterials[@[Lab Unit P 1]:[Lab Unit P "&amp;RawMaterials[[#This Row],[Lab Quote Count]]&amp;"]]")),LOG(INDIRECT("RawMaterials[@[Lab Q Model Units 1]:[Lab Q Model Units "&amp;RawMaterials[[#This Row],[Lab Quote Count]]&amp;"]]"))),"")</f>
        <v/>
      </c>
      <c r="AG519" s="392" t="str">
        <f ca="1">IF(RawMaterials[[#This Row],[Lab Quote Count]]&gt;1,INTERCEPT(LOG(INDIRECT("RawMaterials[@[Lab Unit P 1]:[Lab Unit P "&amp;RawMaterials[[#This Row],[Lab Quote Count]]&amp;"]]")),LOG(INDIRECT("RawMaterials[@[Lab Q Model Units 1]:[Lab Q Model Units "&amp;RawMaterials[[#This Row],[Lab Quote Count]]&amp;"]]"))),"")</f>
        <v/>
      </c>
      <c r="AH519" s="393" t="str">
        <f>IF(RawMaterials[[#This Row],[Material Type]]="Metal Precursor","D13",IF(RawMaterials[[#This Row],[Material Type]]="Ligand","D13","D12"))</f>
        <v>D12</v>
      </c>
      <c r="AI519" s="394" t="str">
        <f ca="1">IF(RawMaterials[[#This Row],[Lab Quote Count]]&gt;1,10^RawMaterials[[#This Row],[Lab Log-Log Intercept]]*INDIRECT(RawMaterials[[#This Row],[Basis Cell]])^RawMaterials[[#This Row],[Lab Log-Log Slope]],"&gt;&gt;&gt; Enter 2 or more lab quotes &lt;&lt;&lt;")</f>
        <v>&gt;&gt;&gt; Enter 2 or more lab quotes &lt;&lt;&lt;</v>
      </c>
      <c r="AJ51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4.0785518504202356</v>
      </c>
      <c r="AL519" s="396">
        <f>IF(ISTEXT(RawMaterials[[#This Row],[Unit price in quote year]]),"Check calcs",RawMaterials[[#This Row],[Unit price in quote year]]/VLOOKUP(RawMaterials[[#This Row],[Quote Year]],ChemPPI[],14,FALSE)*VLOOKUP(BasisYear,ChemPPI[],14,FALSE))</f>
        <v>5.5354735734107976</v>
      </c>
      <c r="AM519" s="397" t="str">
        <f t="shared" si="7"/>
        <v>$/kg (2016)</v>
      </c>
    </row>
    <row r="520" spans="1:39">
      <c r="A520" s="259" t="s">
        <v>1604</v>
      </c>
      <c r="B520" s="260"/>
      <c r="C520" s="351"/>
      <c r="D520" s="351"/>
      <c r="E520" s="260">
        <v>100</v>
      </c>
      <c r="F520" s="260"/>
      <c r="G520" s="351"/>
      <c r="H520" s="351"/>
      <c r="I520" s="262"/>
      <c r="J520" s="351"/>
      <c r="K520" s="351"/>
      <c r="L520" s="351"/>
      <c r="M520" s="351"/>
      <c r="N520" s="351"/>
      <c r="O520" s="351"/>
      <c r="P520" s="261">
        <v>79.25</v>
      </c>
      <c r="Q520" s="260">
        <v>100</v>
      </c>
      <c r="R520" s="260" t="s">
        <v>20</v>
      </c>
      <c r="S520" s="260">
        <v>2006</v>
      </c>
      <c r="T520" s="260" t="s">
        <v>161</v>
      </c>
      <c r="U520" s="386">
        <v>42653</v>
      </c>
      <c r="V520" s="387"/>
      <c r="W520" s="354">
        <f>COUNT(RawMaterials[[#This Row],[Lab Quantity 1]:[Lab Quantity 4]])</f>
        <v>0</v>
      </c>
      <c r="X52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0" s="392" t="e">
        <f>RawMaterials[[#This Row],[Lab Price 1]]/RawMaterials[[#This Row],[Lab Q Model Units 1]]</f>
        <v>#N/A</v>
      </c>
      <c r="AC520" s="392" t="e">
        <f>RawMaterials[[#This Row],[Lab Price 2]]/RawMaterials[[#This Row],[Lab Q Model Units 2]]</f>
        <v>#N/A</v>
      </c>
      <c r="AD520" s="392" t="e">
        <f>RawMaterials[[#This Row],[Lab Price 3]]/RawMaterials[[#This Row],[Lab Q Model Units 3]]</f>
        <v>#N/A</v>
      </c>
      <c r="AE520" s="392" t="e">
        <f>RawMaterials[[#This Row],[Lab Price 4]]/RawMaterials[[#This Row],[Lab Q Model Units 4]]</f>
        <v>#N/A</v>
      </c>
      <c r="AF520" s="392" t="str">
        <f ca="1">IF(RawMaterials[[#This Row],[Lab Quote Count]]&gt;1,SLOPE(LOG(INDIRECT("RawMaterials[@[Lab Unit P 1]:[Lab Unit P "&amp;RawMaterials[[#This Row],[Lab Quote Count]]&amp;"]]")),LOG(INDIRECT("RawMaterials[@[Lab Q Model Units 1]:[Lab Q Model Units "&amp;RawMaterials[[#This Row],[Lab Quote Count]]&amp;"]]"))),"")</f>
        <v/>
      </c>
      <c r="AG520" s="392" t="str">
        <f ca="1">IF(RawMaterials[[#This Row],[Lab Quote Count]]&gt;1,INTERCEPT(LOG(INDIRECT("RawMaterials[@[Lab Unit P 1]:[Lab Unit P "&amp;RawMaterials[[#This Row],[Lab Quote Count]]&amp;"]]")),LOG(INDIRECT("RawMaterials[@[Lab Q Model Units 1]:[Lab Q Model Units "&amp;RawMaterials[[#This Row],[Lab Quote Count]]&amp;"]]"))),"")</f>
        <v/>
      </c>
      <c r="AH520" s="393" t="str">
        <f>IF(RawMaterials[[#This Row],[Material Type]]="Metal Precursor","D13",IF(RawMaterials[[#This Row],[Material Type]]="Ligand","D13","D12"))</f>
        <v>D12</v>
      </c>
      <c r="AI520" s="394" t="str">
        <f ca="1">IF(RawMaterials[[#This Row],[Lab Quote Count]]&gt;1,10^RawMaterials[[#This Row],[Lab Log-Log Intercept]]*INDIRECT(RawMaterials[[#This Row],[Basis Cell]])^RawMaterials[[#This Row],[Lab Log-Log Slope]],"&gt;&gt;&gt; Enter 2 or more lab quotes &lt;&lt;&lt;")</f>
        <v>&gt;&gt;&gt; Enter 2 or more lab quotes &lt;&lt;&lt;</v>
      </c>
      <c r="AJ52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1.7471634278151549</v>
      </c>
      <c r="AL520" s="396">
        <f>IF(ISTEXT(RawMaterials[[#This Row],[Unit price in quote year]]),"Check calcs",RawMaterials[[#This Row],[Unit price in quote year]]/VLOOKUP(RawMaterials[[#This Row],[Quote Year]],ChemPPI[],14,FALSE)*VLOOKUP(BasisYear,ChemPPI[],14,FALSE))</f>
        <v>2.3712771929340852</v>
      </c>
      <c r="AM520" s="397" t="str">
        <f t="shared" si="7"/>
        <v>$/kg (2016)</v>
      </c>
    </row>
    <row r="521" spans="1:39">
      <c r="A521" s="259" t="s">
        <v>1605</v>
      </c>
      <c r="B521" s="260"/>
      <c r="C521" s="351"/>
      <c r="D521" s="351"/>
      <c r="E521" s="260">
        <v>100</v>
      </c>
      <c r="F521" s="260"/>
      <c r="G521" s="351"/>
      <c r="H521" s="351"/>
      <c r="I521" s="262"/>
      <c r="J521" s="351"/>
      <c r="K521" s="351"/>
      <c r="L521" s="351"/>
      <c r="M521" s="351"/>
      <c r="N521" s="351"/>
      <c r="O521" s="351"/>
      <c r="P521" s="261">
        <v>76.25</v>
      </c>
      <c r="Q521" s="260">
        <v>100</v>
      </c>
      <c r="R521" s="260" t="s">
        <v>20</v>
      </c>
      <c r="S521" s="260">
        <v>2006</v>
      </c>
      <c r="T521" s="260" t="s">
        <v>161</v>
      </c>
      <c r="U521" s="386">
        <v>42653</v>
      </c>
      <c r="V521" s="387"/>
      <c r="W521" s="354">
        <f>COUNT(RawMaterials[[#This Row],[Lab Quantity 1]:[Lab Quantity 4]])</f>
        <v>0</v>
      </c>
      <c r="X52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1" s="392" t="e">
        <f>RawMaterials[[#This Row],[Lab Price 1]]/RawMaterials[[#This Row],[Lab Q Model Units 1]]</f>
        <v>#N/A</v>
      </c>
      <c r="AC521" s="392" t="e">
        <f>RawMaterials[[#This Row],[Lab Price 2]]/RawMaterials[[#This Row],[Lab Q Model Units 2]]</f>
        <v>#N/A</v>
      </c>
      <c r="AD521" s="392" t="e">
        <f>RawMaterials[[#This Row],[Lab Price 3]]/RawMaterials[[#This Row],[Lab Q Model Units 3]]</f>
        <v>#N/A</v>
      </c>
      <c r="AE521" s="392" t="e">
        <f>RawMaterials[[#This Row],[Lab Price 4]]/RawMaterials[[#This Row],[Lab Q Model Units 4]]</f>
        <v>#N/A</v>
      </c>
      <c r="AF521" s="392" t="str">
        <f ca="1">IF(RawMaterials[[#This Row],[Lab Quote Count]]&gt;1,SLOPE(LOG(INDIRECT("RawMaterials[@[Lab Unit P 1]:[Lab Unit P "&amp;RawMaterials[[#This Row],[Lab Quote Count]]&amp;"]]")),LOG(INDIRECT("RawMaterials[@[Lab Q Model Units 1]:[Lab Q Model Units "&amp;RawMaterials[[#This Row],[Lab Quote Count]]&amp;"]]"))),"")</f>
        <v/>
      </c>
      <c r="AG521" s="392" t="str">
        <f ca="1">IF(RawMaterials[[#This Row],[Lab Quote Count]]&gt;1,INTERCEPT(LOG(INDIRECT("RawMaterials[@[Lab Unit P 1]:[Lab Unit P "&amp;RawMaterials[[#This Row],[Lab Quote Count]]&amp;"]]")),LOG(INDIRECT("RawMaterials[@[Lab Q Model Units 1]:[Lab Q Model Units "&amp;RawMaterials[[#This Row],[Lab Quote Count]]&amp;"]]"))),"")</f>
        <v/>
      </c>
      <c r="AH521" s="393" t="str">
        <f>IF(RawMaterials[[#This Row],[Material Type]]="Metal Precursor","D13",IF(RawMaterials[[#This Row],[Material Type]]="Ligand","D13","D12"))</f>
        <v>D12</v>
      </c>
      <c r="AI521" s="394" t="str">
        <f ca="1">IF(RawMaterials[[#This Row],[Lab Quote Count]]&gt;1,10^RawMaterials[[#This Row],[Lab Log-Log Intercept]]*INDIRECT(RawMaterials[[#This Row],[Basis Cell]])^RawMaterials[[#This Row],[Lab Log-Log Slope]],"&gt;&gt;&gt; Enter 2 or more lab quotes &lt;&lt;&lt;")</f>
        <v>&gt;&gt;&gt; Enter 2 or more lab quotes &lt;&lt;&lt;</v>
      </c>
      <c r="AJ52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1.6810247491596915</v>
      </c>
      <c r="AL521" s="396">
        <f>IF(ISTEXT(RawMaterials[[#This Row],[Unit price in quote year]]),"Check calcs",RawMaterials[[#This Row],[Unit price in quote year]]/VLOOKUP(RawMaterials[[#This Row],[Quote Year]],ChemPPI[],14,FALSE)*VLOOKUP(BasisYear,ChemPPI[],14,FALSE))</f>
        <v>2.2815127566085045</v>
      </c>
      <c r="AM521" s="397" t="str">
        <f t="shared" si="7"/>
        <v>$/kg (2016)</v>
      </c>
    </row>
    <row r="522" spans="1:39">
      <c r="A522" s="259" t="s">
        <v>1606</v>
      </c>
      <c r="B522" s="260"/>
      <c r="C522" s="351"/>
      <c r="D522" s="351"/>
      <c r="E522" s="260">
        <v>100</v>
      </c>
      <c r="F522" s="260"/>
      <c r="G522" s="351"/>
      <c r="H522" s="351"/>
      <c r="I522" s="262"/>
      <c r="J522" s="351"/>
      <c r="K522" s="351"/>
      <c r="L522" s="351"/>
      <c r="M522" s="351"/>
      <c r="N522" s="351"/>
      <c r="O522" s="351"/>
      <c r="P522" s="261">
        <v>81.5</v>
      </c>
      <c r="Q522" s="260">
        <v>100</v>
      </c>
      <c r="R522" s="260" t="s">
        <v>20</v>
      </c>
      <c r="S522" s="260">
        <v>2006</v>
      </c>
      <c r="T522" s="260" t="s">
        <v>161</v>
      </c>
      <c r="U522" s="386">
        <v>42653</v>
      </c>
      <c r="V522" s="387"/>
      <c r="W522" s="354">
        <f>COUNT(RawMaterials[[#This Row],[Lab Quantity 1]:[Lab Quantity 4]])</f>
        <v>0</v>
      </c>
      <c r="X52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2" s="392" t="e">
        <f>RawMaterials[[#This Row],[Lab Price 1]]/RawMaterials[[#This Row],[Lab Q Model Units 1]]</f>
        <v>#N/A</v>
      </c>
      <c r="AC522" s="392" t="e">
        <f>RawMaterials[[#This Row],[Lab Price 2]]/RawMaterials[[#This Row],[Lab Q Model Units 2]]</f>
        <v>#N/A</v>
      </c>
      <c r="AD522" s="392" t="e">
        <f>RawMaterials[[#This Row],[Lab Price 3]]/RawMaterials[[#This Row],[Lab Q Model Units 3]]</f>
        <v>#N/A</v>
      </c>
      <c r="AE522" s="392" t="e">
        <f>RawMaterials[[#This Row],[Lab Price 4]]/RawMaterials[[#This Row],[Lab Q Model Units 4]]</f>
        <v>#N/A</v>
      </c>
      <c r="AF522" s="392" t="str">
        <f ca="1">IF(RawMaterials[[#This Row],[Lab Quote Count]]&gt;1,SLOPE(LOG(INDIRECT("RawMaterials[@[Lab Unit P 1]:[Lab Unit P "&amp;RawMaterials[[#This Row],[Lab Quote Count]]&amp;"]]")),LOG(INDIRECT("RawMaterials[@[Lab Q Model Units 1]:[Lab Q Model Units "&amp;RawMaterials[[#This Row],[Lab Quote Count]]&amp;"]]"))),"")</f>
        <v/>
      </c>
      <c r="AG522" s="392" t="str">
        <f ca="1">IF(RawMaterials[[#This Row],[Lab Quote Count]]&gt;1,INTERCEPT(LOG(INDIRECT("RawMaterials[@[Lab Unit P 1]:[Lab Unit P "&amp;RawMaterials[[#This Row],[Lab Quote Count]]&amp;"]]")),LOG(INDIRECT("RawMaterials[@[Lab Q Model Units 1]:[Lab Q Model Units "&amp;RawMaterials[[#This Row],[Lab Quote Count]]&amp;"]]"))),"")</f>
        <v/>
      </c>
      <c r="AH522" s="393" t="str">
        <f>IF(RawMaterials[[#This Row],[Material Type]]="Metal Precursor","D13",IF(RawMaterials[[#This Row],[Material Type]]="Ligand","D13","D12"))</f>
        <v>D12</v>
      </c>
      <c r="AI522" s="394" t="str">
        <f ca="1">IF(RawMaterials[[#This Row],[Lab Quote Count]]&gt;1,10^RawMaterials[[#This Row],[Lab Log-Log Intercept]]*INDIRECT(RawMaterials[[#This Row],[Basis Cell]])^RawMaterials[[#This Row],[Lab Log-Log Slope]],"&gt;&gt;&gt; Enter 2 or more lab quotes &lt;&lt;&lt;")</f>
        <v>&gt;&gt;&gt; Enter 2 or more lab quotes &lt;&lt;&lt;</v>
      </c>
      <c r="AJ52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1.7967674368067523</v>
      </c>
      <c r="AL522" s="396">
        <f>IF(ISTEXT(RawMaterials[[#This Row],[Unit price in quote year]]),"Check calcs",RawMaterials[[#This Row],[Unit price in quote year]]/VLOOKUP(RawMaterials[[#This Row],[Quote Year]],ChemPPI[],14,FALSE)*VLOOKUP(BasisYear,ChemPPI[],14,FALSE))</f>
        <v>2.4386005201782703</v>
      </c>
      <c r="AM522" s="397" t="str">
        <f t="shared" si="7"/>
        <v>$/kg (2016)</v>
      </c>
    </row>
    <row r="523" spans="1:39">
      <c r="A523" s="259" t="s">
        <v>1607</v>
      </c>
      <c r="B523" s="260"/>
      <c r="C523" s="351"/>
      <c r="D523" s="351"/>
      <c r="E523" s="260">
        <v>100</v>
      </c>
      <c r="F523" s="260"/>
      <c r="G523" s="351"/>
      <c r="H523" s="351"/>
      <c r="I523" s="262"/>
      <c r="J523" s="351"/>
      <c r="K523" s="351"/>
      <c r="L523" s="351"/>
      <c r="M523" s="351"/>
      <c r="N523" s="351"/>
      <c r="O523" s="351"/>
      <c r="P523" s="261">
        <v>84</v>
      </c>
      <c r="Q523" s="260">
        <v>100</v>
      </c>
      <c r="R523" s="260" t="s">
        <v>20</v>
      </c>
      <c r="S523" s="260">
        <v>2006</v>
      </c>
      <c r="T523" s="260" t="s">
        <v>161</v>
      </c>
      <c r="U523" s="386">
        <v>42653</v>
      </c>
      <c r="V523" s="387"/>
      <c r="W523" s="354">
        <f>COUNT(RawMaterials[[#This Row],[Lab Quantity 1]:[Lab Quantity 4]])</f>
        <v>0</v>
      </c>
      <c r="X52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3" s="392" t="e">
        <f>RawMaterials[[#This Row],[Lab Price 1]]/RawMaterials[[#This Row],[Lab Q Model Units 1]]</f>
        <v>#N/A</v>
      </c>
      <c r="AC523" s="392" t="e">
        <f>RawMaterials[[#This Row],[Lab Price 2]]/RawMaterials[[#This Row],[Lab Q Model Units 2]]</f>
        <v>#N/A</v>
      </c>
      <c r="AD523" s="392" t="e">
        <f>RawMaterials[[#This Row],[Lab Price 3]]/RawMaterials[[#This Row],[Lab Q Model Units 3]]</f>
        <v>#N/A</v>
      </c>
      <c r="AE523" s="392" t="e">
        <f>RawMaterials[[#This Row],[Lab Price 4]]/RawMaterials[[#This Row],[Lab Q Model Units 4]]</f>
        <v>#N/A</v>
      </c>
      <c r="AF523" s="392" t="str">
        <f ca="1">IF(RawMaterials[[#This Row],[Lab Quote Count]]&gt;1,SLOPE(LOG(INDIRECT("RawMaterials[@[Lab Unit P 1]:[Lab Unit P "&amp;RawMaterials[[#This Row],[Lab Quote Count]]&amp;"]]")),LOG(INDIRECT("RawMaterials[@[Lab Q Model Units 1]:[Lab Q Model Units "&amp;RawMaterials[[#This Row],[Lab Quote Count]]&amp;"]]"))),"")</f>
        <v/>
      </c>
      <c r="AG523" s="392" t="str">
        <f ca="1">IF(RawMaterials[[#This Row],[Lab Quote Count]]&gt;1,INTERCEPT(LOG(INDIRECT("RawMaterials[@[Lab Unit P 1]:[Lab Unit P "&amp;RawMaterials[[#This Row],[Lab Quote Count]]&amp;"]]")),LOG(INDIRECT("RawMaterials[@[Lab Q Model Units 1]:[Lab Q Model Units "&amp;RawMaterials[[#This Row],[Lab Quote Count]]&amp;"]]"))),"")</f>
        <v/>
      </c>
      <c r="AH523" s="393" t="str">
        <f>IF(RawMaterials[[#This Row],[Material Type]]="Metal Precursor","D13",IF(RawMaterials[[#This Row],[Material Type]]="Ligand","D13","D12"))</f>
        <v>D12</v>
      </c>
      <c r="AI523" s="394" t="str">
        <f ca="1">IF(RawMaterials[[#This Row],[Lab Quote Count]]&gt;1,10^RawMaterials[[#This Row],[Lab Log-Log Intercept]]*INDIRECT(RawMaterials[[#This Row],[Basis Cell]])^RawMaterials[[#This Row],[Lab Log-Log Slope]],"&gt;&gt;&gt; Enter 2 or more lab quotes &lt;&lt;&lt;")</f>
        <v>&gt;&gt;&gt; Enter 2 or more lab quotes &lt;&lt;&lt;</v>
      </c>
      <c r="AJ52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1.8518830023529718</v>
      </c>
      <c r="AL523" s="396">
        <f>IF(ISTEXT(RawMaterials[[#This Row],[Unit price in quote year]]),"Check calcs",RawMaterials[[#This Row],[Unit price in quote year]]/VLOOKUP(RawMaterials[[#This Row],[Quote Year]],ChemPPI[],14,FALSE)*VLOOKUP(BasisYear,ChemPPI[],14,FALSE))</f>
        <v>2.5134042171162543</v>
      </c>
      <c r="AM523" s="397" t="str">
        <f t="shared" si="7"/>
        <v>$/kg (2016)</v>
      </c>
    </row>
    <row r="524" spans="1:39">
      <c r="A524" s="259" t="s">
        <v>1608</v>
      </c>
      <c r="B524" s="260"/>
      <c r="C524" s="351"/>
      <c r="D524" s="351"/>
      <c r="E524" s="260">
        <v>100</v>
      </c>
      <c r="F524" s="260"/>
      <c r="G524" s="351"/>
      <c r="H524" s="351"/>
      <c r="I524" s="262"/>
      <c r="J524" s="351"/>
      <c r="K524" s="351"/>
      <c r="L524" s="351"/>
      <c r="M524" s="351"/>
      <c r="N524" s="351"/>
      <c r="O524" s="351"/>
      <c r="P524" s="261">
        <v>80.5</v>
      </c>
      <c r="Q524" s="260">
        <v>100</v>
      </c>
      <c r="R524" s="260" t="s">
        <v>20</v>
      </c>
      <c r="S524" s="260">
        <v>2006</v>
      </c>
      <c r="T524" s="260" t="s">
        <v>161</v>
      </c>
      <c r="U524" s="386">
        <v>42653</v>
      </c>
      <c r="V524" s="387"/>
      <c r="W524" s="354">
        <f>COUNT(RawMaterials[[#This Row],[Lab Quantity 1]:[Lab Quantity 4]])</f>
        <v>0</v>
      </c>
      <c r="X52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4" s="392" t="e">
        <f>RawMaterials[[#This Row],[Lab Price 1]]/RawMaterials[[#This Row],[Lab Q Model Units 1]]</f>
        <v>#N/A</v>
      </c>
      <c r="AC524" s="392" t="e">
        <f>RawMaterials[[#This Row],[Lab Price 2]]/RawMaterials[[#This Row],[Lab Q Model Units 2]]</f>
        <v>#N/A</v>
      </c>
      <c r="AD524" s="392" t="e">
        <f>RawMaterials[[#This Row],[Lab Price 3]]/RawMaterials[[#This Row],[Lab Q Model Units 3]]</f>
        <v>#N/A</v>
      </c>
      <c r="AE524" s="392" t="e">
        <f>RawMaterials[[#This Row],[Lab Price 4]]/RawMaterials[[#This Row],[Lab Q Model Units 4]]</f>
        <v>#N/A</v>
      </c>
      <c r="AF524" s="392" t="str">
        <f ca="1">IF(RawMaterials[[#This Row],[Lab Quote Count]]&gt;1,SLOPE(LOG(INDIRECT("RawMaterials[@[Lab Unit P 1]:[Lab Unit P "&amp;RawMaterials[[#This Row],[Lab Quote Count]]&amp;"]]")),LOG(INDIRECT("RawMaterials[@[Lab Q Model Units 1]:[Lab Q Model Units "&amp;RawMaterials[[#This Row],[Lab Quote Count]]&amp;"]]"))),"")</f>
        <v/>
      </c>
      <c r="AG524" s="392" t="str">
        <f ca="1">IF(RawMaterials[[#This Row],[Lab Quote Count]]&gt;1,INTERCEPT(LOG(INDIRECT("RawMaterials[@[Lab Unit P 1]:[Lab Unit P "&amp;RawMaterials[[#This Row],[Lab Quote Count]]&amp;"]]")),LOG(INDIRECT("RawMaterials[@[Lab Q Model Units 1]:[Lab Q Model Units "&amp;RawMaterials[[#This Row],[Lab Quote Count]]&amp;"]]"))),"")</f>
        <v/>
      </c>
      <c r="AH524" s="393" t="str">
        <f>IF(RawMaterials[[#This Row],[Material Type]]="Metal Precursor","D13",IF(RawMaterials[[#This Row],[Material Type]]="Ligand","D13","D12"))</f>
        <v>D12</v>
      </c>
      <c r="AI524" s="394" t="str">
        <f ca="1">IF(RawMaterials[[#This Row],[Lab Quote Count]]&gt;1,10^RawMaterials[[#This Row],[Lab Log-Log Intercept]]*INDIRECT(RawMaterials[[#This Row],[Basis Cell]])^RawMaterials[[#This Row],[Lab Log-Log Slope]],"&gt;&gt;&gt; Enter 2 or more lab quotes &lt;&lt;&lt;")</f>
        <v>&gt;&gt;&gt; Enter 2 or more lab quotes &lt;&lt;&lt;</v>
      </c>
      <c r="AJ52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1.7747212105882646</v>
      </c>
      <c r="AL524" s="396">
        <f>IF(ISTEXT(RawMaterials[[#This Row],[Unit price in quote year]]),"Check calcs",RawMaterials[[#This Row],[Unit price in quote year]]/VLOOKUP(RawMaterials[[#This Row],[Quote Year]],ChemPPI[],14,FALSE)*VLOOKUP(BasisYear,ChemPPI[],14,FALSE))</f>
        <v>2.4086790414030772</v>
      </c>
      <c r="AM524" s="397" t="str">
        <f t="shared" si="7"/>
        <v>$/kg (2016)</v>
      </c>
    </row>
    <row r="525" spans="1:39">
      <c r="A525" s="259" t="s">
        <v>1609</v>
      </c>
      <c r="B525" s="260"/>
      <c r="C525" s="351"/>
      <c r="D525" s="351"/>
      <c r="E525" s="260">
        <v>100</v>
      </c>
      <c r="F525" s="260"/>
      <c r="G525" s="351"/>
      <c r="H525" s="351"/>
      <c r="I525" s="262"/>
      <c r="J525" s="351"/>
      <c r="K525" s="351"/>
      <c r="L525" s="351"/>
      <c r="M525" s="351"/>
      <c r="N525" s="351"/>
      <c r="O525" s="351"/>
      <c r="P525" s="261">
        <v>52.5</v>
      </c>
      <c r="Q525" s="260">
        <v>100</v>
      </c>
      <c r="R525" s="260" t="s">
        <v>20</v>
      </c>
      <c r="S525" s="260">
        <v>2006</v>
      </c>
      <c r="T525" s="260" t="s">
        <v>161</v>
      </c>
      <c r="U525" s="386">
        <v>42653</v>
      </c>
      <c r="V525" s="387"/>
      <c r="W525" s="354">
        <f>COUNT(RawMaterials[[#This Row],[Lab Quantity 1]:[Lab Quantity 4]])</f>
        <v>0</v>
      </c>
      <c r="X52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5" s="392" t="e">
        <f>RawMaterials[[#This Row],[Lab Price 1]]/RawMaterials[[#This Row],[Lab Q Model Units 1]]</f>
        <v>#N/A</v>
      </c>
      <c r="AC525" s="392" t="e">
        <f>RawMaterials[[#This Row],[Lab Price 2]]/RawMaterials[[#This Row],[Lab Q Model Units 2]]</f>
        <v>#N/A</v>
      </c>
      <c r="AD525" s="392" t="e">
        <f>RawMaterials[[#This Row],[Lab Price 3]]/RawMaterials[[#This Row],[Lab Q Model Units 3]]</f>
        <v>#N/A</v>
      </c>
      <c r="AE525" s="392" t="e">
        <f>RawMaterials[[#This Row],[Lab Price 4]]/RawMaterials[[#This Row],[Lab Q Model Units 4]]</f>
        <v>#N/A</v>
      </c>
      <c r="AF525" s="392" t="str">
        <f ca="1">IF(RawMaterials[[#This Row],[Lab Quote Count]]&gt;1,SLOPE(LOG(INDIRECT("RawMaterials[@[Lab Unit P 1]:[Lab Unit P "&amp;RawMaterials[[#This Row],[Lab Quote Count]]&amp;"]]")),LOG(INDIRECT("RawMaterials[@[Lab Q Model Units 1]:[Lab Q Model Units "&amp;RawMaterials[[#This Row],[Lab Quote Count]]&amp;"]]"))),"")</f>
        <v/>
      </c>
      <c r="AG525" s="392" t="str">
        <f ca="1">IF(RawMaterials[[#This Row],[Lab Quote Count]]&gt;1,INTERCEPT(LOG(INDIRECT("RawMaterials[@[Lab Unit P 1]:[Lab Unit P "&amp;RawMaterials[[#This Row],[Lab Quote Count]]&amp;"]]")),LOG(INDIRECT("RawMaterials[@[Lab Q Model Units 1]:[Lab Q Model Units "&amp;RawMaterials[[#This Row],[Lab Quote Count]]&amp;"]]"))),"")</f>
        <v/>
      </c>
      <c r="AH525" s="393" t="str">
        <f>IF(RawMaterials[[#This Row],[Material Type]]="Metal Precursor","D13",IF(RawMaterials[[#This Row],[Material Type]]="Ligand","D13","D12"))</f>
        <v>D12</v>
      </c>
      <c r="AI525" s="394" t="str">
        <f ca="1">IF(RawMaterials[[#This Row],[Lab Quote Count]]&gt;1,10^RawMaterials[[#This Row],[Lab Log-Log Intercept]]*INDIRECT(RawMaterials[[#This Row],[Basis Cell]])^RawMaterials[[#This Row],[Lab Log-Log Slope]],"&gt;&gt;&gt; Enter 2 or more lab quotes &lt;&lt;&lt;")</f>
        <v>&gt;&gt;&gt; Enter 2 or more lab quotes &lt;&lt;&lt;</v>
      </c>
      <c r="AJ52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1.1574268764706073</v>
      </c>
      <c r="AL525" s="396">
        <f>IF(ISTEXT(RawMaterials[[#This Row],[Unit price in quote year]]),"Check calcs",RawMaterials[[#This Row],[Unit price in quote year]]/VLOOKUP(RawMaterials[[#This Row],[Quote Year]],ChemPPI[],14,FALSE)*VLOOKUP(BasisYear,ChemPPI[],14,FALSE))</f>
        <v>1.5708776356976588</v>
      </c>
      <c r="AM525" s="397" t="str">
        <f t="shared" si="7"/>
        <v>$/kg (2016)</v>
      </c>
    </row>
    <row r="526" spans="1:39">
      <c r="A526" s="259" t="s">
        <v>1610</v>
      </c>
      <c r="B526" s="260"/>
      <c r="C526" s="351"/>
      <c r="D526" s="351"/>
      <c r="E526" s="260">
        <v>100</v>
      </c>
      <c r="F526" s="260"/>
      <c r="G526" s="351"/>
      <c r="H526" s="351"/>
      <c r="I526" s="262"/>
      <c r="J526" s="351"/>
      <c r="K526" s="351"/>
      <c r="L526" s="351"/>
      <c r="M526" s="351"/>
      <c r="N526" s="351"/>
      <c r="O526" s="351"/>
      <c r="P526" s="261">
        <v>34.75</v>
      </c>
      <c r="Q526" s="260">
        <v>100</v>
      </c>
      <c r="R526" s="260" t="s">
        <v>20</v>
      </c>
      <c r="S526" s="260">
        <v>2006</v>
      </c>
      <c r="T526" s="260" t="s">
        <v>161</v>
      </c>
      <c r="U526" s="386">
        <v>42653</v>
      </c>
      <c r="V526" s="387"/>
      <c r="W526" s="354">
        <f>COUNT(RawMaterials[[#This Row],[Lab Quantity 1]:[Lab Quantity 4]])</f>
        <v>0</v>
      </c>
      <c r="X52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6" s="392" t="e">
        <f>RawMaterials[[#This Row],[Lab Price 1]]/RawMaterials[[#This Row],[Lab Q Model Units 1]]</f>
        <v>#N/A</v>
      </c>
      <c r="AC526" s="392" t="e">
        <f>RawMaterials[[#This Row],[Lab Price 2]]/RawMaterials[[#This Row],[Lab Q Model Units 2]]</f>
        <v>#N/A</v>
      </c>
      <c r="AD526" s="392" t="e">
        <f>RawMaterials[[#This Row],[Lab Price 3]]/RawMaterials[[#This Row],[Lab Q Model Units 3]]</f>
        <v>#N/A</v>
      </c>
      <c r="AE526" s="392" t="e">
        <f>RawMaterials[[#This Row],[Lab Price 4]]/RawMaterials[[#This Row],[Lab Q Model Units 4]]</f>
        <v>#N/A</v>
      </c>
      <c r="AF526" s="392" t="str">
        <f ca="1">IF(RawMaterials[[#This Row],[Lab Quote Count]]&gt;1,SLOPE(LOG(INDIRECT("RawMaterials[@[Lab Unit P 1]:[Lab Unit P "&amp;RawMaterials[[#This Row],[Lab Quote Count]]&amp;"]]")),LOG(INDIRECT("RawMaterials[@[Lab Q Model Units 1]:[Lab Q Model Units "&amp;RawMaterials[[#This Row],[Lab Quote Count]]&amp;"]]"))),"")</f>
        <v/>
      </c>
      <c r="AG526" s="392" t="str">
        <f ca="1">IF(RawMaterials[[#This Row],[Lab Quote Count]]&gt;1,INTERCEPT(LOG(INDIRECT("RawMaterials[@[Lab Unit P 1]:[Lab Unit P "&amp;RawMaterials[[#This Row],[Lab Quote Count]]&amp;"]]")),LOG(INDIRECT("RawMaterials[@[Lab Q Model Units 1]:[Lab Q Model Units "&amp;RawMaterials[[#This Row],[Lab Quote Count]]&amp;"]]"))),"")</f>
        <v/>
      </c>
      <c r="AH526" s="393" t="str">
        <f>IF(RawMaterials[[#This Row],[Material Type]]="Metal Precursor","D13",IF(RawMaterials[[#This Row],[Material Type]]="Ligand","D13","D12"))</f>
        <v>D12</v>
      </c>
      <c r="AI526" s="394" t="str">
        <f ca="1">IF(RawMaterials[[#This Row],[Lab Quote Count]]&gt;1,10^RawMaterials[[#This Row],[Lab Log-Log Intercept]]*INDIRECT(RawMaterials[[#This Row],[Basis Cell]])^RawMaterials[[#This Row],[Lab Log-Log Slope]],"&gt;&gt;&gt; Enter 2 or more lab quotes &lt;&lt;&lt;")</f>
        <v>&gt;&gt;&gt; Enter 2 or more lab quotes &lt;&lt;&lt;</v>
      </c>
      <c r="AJ52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0.76610636109244956</v>
      </c>
      <c r="AL526" s="396">
        <f>IF(ISTEXT(RawMaterials[[#This Row],[Unit price in quote year]]),"Check calcs",RawMaterials[[#This Row],[Unit price in quote year]]/VLOOKUP(RawMaterials[[#This Row],[Quote Year]],ChemPPI[],14,FALSE)*VLOOKUP(BasisYear,ChemPPI[],14,FALSE))</f>
        <v>1.0397713874379741</v>
      </c>
      <c r="AM526" s="397" t="str">
        <f t="shared" si="7"/>
        <v>$/kg (2016)</v>
      </c>
    </row>
    <row r="527" spans="1:39">
      <c r="A527" s="259" t="s">
        <v>1611</v>
      </c>
      <c r="B527" s="260"/>
      <c r="C527" s="351"/>
      <c r="D527" s="351"/>
      <c r="E527" s="260">
        <v>100</v>
      </c>
      <c r="F527" s="260"/>
      <c r="G527" s="351"/>
      <c r="H527" s="351"/>
      <c r="I527" s="262"/>
      <c r="J527" s="351"/>
      <c r="K527" s="351"/>
      <c r="L527" s="351"/>
      <c r="M527" s="351"/>
      <c r="N527" s="351"/>
      <c r="O527" s="351"/>
      <c r="P527" s="261">
        <v>90.75</v>
      </c>
      <c r="Q527" s="260">
        <v>100</v>
      </c>
      <c r="R527" s="260" t="s">
        <v>20</v>
      </c>
      <c r="S527" s="260">
        <v>2006</v>
      </c>
      <c r="T527" s="260" t="s">
        <v>161</v>
      </c>
      <c r="U527" s="386">
        <v>42653</v>
      </c>
      <c r="V527" s="387"/>
      <c r="W527" s="354">
        <f>COUNT(RawMaterials[[#This Row],[Lab Quantity 1]:[Lab Quantity 4]])</f>
        <v>0</v>
      </c>
      <c r="X52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7" s="392" t="e">
        <f>RawMaterials[[#This Row],[Lab Price 1]]/RawMaterials[[#This Row],[Lab Q Model Units 1]]</f>
        <v>#N/A</v>
      </c>
      <c r="AC527" s="392" t="e">
        <f>RawMaterials[[#This Row],[Lab Price 2]]/RawMaterials[[#This Row],[Lab Q Model Units 2]]</f>
        <v>#N/A</v>
      </c>
      <c r="AD527" s="392" t="e">
        <f>RawMaterials[[#This Row],[Lab Price 3]]/RawMaterials[[#This Row],[Lab Q Model Units 3]]</f>
        <v>#N/A</v>
      </c>
      <c r="AE527" s="392" t="e">
        <f>RawMaterials[[#This Row],[Lab Price 4]]/RawMaterials[[#This Row],[Lab Q Model Units 4]]</f>
        <v>#N/A</v>
      </c>
      <c r="AF527" s="392" t="str">
        <f ca="1">IF(RawMaterials[[#This Row],[Lab Quote Count]]&gt;1,SLOPE(LOG(INDIRECT("RawMaterials[@[Lab Unit P 1]:[Lab Unit P "&amp;RawMaterials[[#This Row],[Lab Quote Count]]&amp;"]]")),LOG(INDIRECT("RawMaterials[@[Lab Q Model Units 1]:[Lab Q Model Units "&amp;RawMaterials[[#This Row],[Lab Quote Count]]&amp;"]]"))),"")</f>
        <v/>
      </c>
      <c r="AG527" s="392" t="str">
        <f ca="1">IF(RawMaterials[[#This Row],[Lab Quote Count]]&gt;1,INTERCEPT(LOG(INDIRECT("RawMaterials[@[Lab Unit P 1]:[Lab Unit P "&amp;RawMaterials[[#This Row],[Lab Quote Count]]&amp;"]]")),LOG(INDIRECT("RawMaterials[@[Lab Q Model Units 1]:[Lab Q Model Units "&amp;RawMaterials[[#This Row],[Lab Quote Count]]&amp;"]]"))),"")</f>
        <v/>
      </c>
      <c r="AH527" s="393" t="str">
        <f>IF(RawMaterials[[#This Row],[Material Type]]="Metal Precursor","D13",IF(RawMaterials[[#This Row],[Material Type]]="Ligand","D13","D12"))</f>
        <v>D12</v>
      </c>
      <c r="AI527" s="394" t="str">
        <f ca="1">IF(RawMaterials[[#This Row],[Lab Quote Count]]&gt;1,10^RawMaterials[[#This Row],[Lab Log-Log Intercept]]*INDIRECT(RawMaterials[[#This Row],[Basis Cell]])^RawMaterials[[#This Row],[Lab Log-Log Slope]],"&gt;&gt;&gt; Enter 2 or more lab quotes &lt;&lt;&lt;")</f>
        <v>&gt;&gt;&gt; Enter 2 or more lab quotes &lt;&lt;&lt;</v>
      </c>
      <c r="AJ52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2.0006950293277641</v>
      </c>
      <c r="AL527" s="396">
        <f>IF(ISTEXT(RawMaterials[[#This Row],[Unit price in quote year]]),"Check calcs",RawMaterials[[#This Row],[Unit price in quote year]]/VLOOKUP(RawMaterials[[#This Row],[Quote Year]],ChemPPI[],14,FALSE)*VLOOKUP(BasisYear,ChemPPI[],14,FALSE))</f>
        <v>2.7153741988488105</v>
      </c>
      <c r="AM527" s="397" t="str">
        <f t="shared" si="7"/>
        <v>$/kg (2016)</v>
      </c>
    </row>
    <row r="528" spans="1:39">
      <c r="A528" s="259" t="s">
        <v>1612</v>
      </c>
      <c r="B528" s="260"/>
      <c r="C528" s="351"/>
      <c r="D528" s="351"/>
      <c r="E528" s="260">
        <v>100</v>
      </c>
      <c r="F528" s="260"/>
      <c r="G528" s="351"/>
      <c r="H528" s="351"/>
      <c r="I528" s="262"/>
      <c r="J528" s="351"/>
      <c r="K528" s="351"/>
      <c r="L528" s="351"/>
      <c r="M528" s="351"/>
      <c r="N528" s="351"/>
      <c r="O528" s="351"/>
      <c r="P528" s="261">
        <v>257.5</v>
      </c>
      <c r="Q528" s="260">
        <v>1</v>
      </c>
      <c r="R528" s="260" t="s">
        <v>401</v>
      </c>
      <c r="S528" s="260">
        <v>2006</v>
      </c>
      <c r="T528" s="260" t="s">
        <v>161</v>
      </c>
      <c r="U528" s="386">
        <v>42653</v>
      </c>
      <c r="V528" s="387"/>
      <c r="W528" s="354">
        <f>COUNT(RawMaterials[[#This Row],[Lab Quantity 1]:[Lab Quantity 4]])</f>
        <v>0</v>
      </c>
      <c r="X52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8" s="392" t="e">
        <f>RawMaterials[[#This Row],[Lab Price 1]]/RawMaterials[[#This Row],[Lab Q Model Units 1]]</f>
        <v>#N/A</v>
      </c>
      <c r="AC528" s="392" t="e">
        <f>RawMaterials[[#This Row],[Lab Price 2]]/RawMaterials[[#This Row],[Lab Q Model Units 2]]</f>
        <v>#N/A</v>
      </c>
      <c r="AD528" s="392" t="e">
        <f>RawMaterials[[#This Row],[Lab Price 3]]/RawMaterials[[#This Row],[Lab Q Model Units 3]]</f>
        <v>#N/A</v>
      </c>
      <c r="AE528" s="392" t="e">
        <f>RawMaterials[[#This Row],[Lab Price 4]]/RawMaterials[[#This Row],[Lab Q Model Units 4]]</f>
        <v>#N/A</v>
      </c>
      <c r="AF528" s="392" t="str">
        <f ca="1">IF(RawMaterials[[#This Row],[Lab Quote Count]]&gt;1,SLOPE(LOG(INDIRECT("RawMaterials[@[Lab Unit P 1]:[Lab Unit P "&amp;RawMaterials[[#This Row],[Lab Quote Count]]&amp;"]]")),LOG(INDIRECT("RawMaterials[@[Lab Q Model Units 1]:[Lab Q Model Units "&amp;RawMaterials[[#This Row],[Lab Quote Count]]&amp;"]]"))),"")</f>
        <v/>
      </c>
      <c r="AG528" s="392" t="str">
        <f ca="1">IF(RawMaterials[[#This Row],[Lab Quote Count]]&gt;1,INTERCEPT(LOG(INDIRECT("RawMaterials[@[Lab Unit P 1]:[Lab Unit P "&amp;RawMaterials[[#This Row],[Lab Quote Count]]&amp;"]]")),LOG(INDIRECT("RawMaterials[@[Lab Q Model Units 1]:[Lab Q Model Units "&amp;RawMaterials[[#This Row],[Lab Quote Count]]&amp;"]]"))),"")</f>
        <v/>
      </c>
      <c r="AH528" s="393" t="str">
        <f>IF(RawMaterials[[#This Row],[Material Type]]="Metal Precursor","D13",IF(RawMaterials[[#This Row],[Material Type]]="Ligand","D13","D12"))</f>
        <v>D12</v>
      </c>
      <c r="AI528" s="394" t="str">
        <f ca="1">IF(RawMaterials[[#This Row],[Lab Quote Count]]&gt;1,10^RawMaterials[[#This Row],[Lab Log-Log Intercept]]*INDIRECT(RawMaterials[[#This Row],[Basis Cell]])^RawMaterials[[#This Row],[Lab Log-Log Slope]],"&gt;&gt;&gt; Enter 2 or more lab quotes &lt;&lt;&lt;")</f>
        <v>&gt;&gt;&gt; Enter 2 or more lab quotes &lt;&lt;&lt;</v>
      </c>
      <c r="AJ52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2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0.28384516256302988</v>
      </c>
      <c r="AL528" s="396">
        <f>IF(ISTEXT(RawMaterials[[#This Row],[Unit price in quote year]]),"Check calcs",RawMaterials[[#This Row],[Unit price in quote year]]/VLOOKUP(RawMaterials[[#This Row],[Quote Year]],ChemPPI[],14,FALSE)*VLOOKUP(BasisYear,ChemPPI[],14,FALSE))</f>
        <v>0.38523903923061636</v>
      </c>
      <c r="AM528" s="397" t="str">
        <f t="shared" ref="AM528:AM591" si="8">CurrencySymbol&amp;"/"&amp;OutMassUnit&amp;" ("&amp;BasisYear&amp;")"</f>
        <v>$/kg (2016)</v>
      </c>
    </row>
    <row r="529" spans="1:39">
      <c r="A529" s="259" t="s">
        <v>1613</v>
      </c>
      <c r="B529" s="260"/>
      <c r="C529" s="351"/>
      <c r="D529" s="351"/>
      <c r="E529" s="260">
        <v>100</v>
      </c>
      <c r="F529" s="260"/>
      <c r="G529" s="351"/>
      <c r="H529" s="351"/>
      <c r="I529" s="262"/>
      <c r="J529" s="351"/>
      <c r="K529" s="351"/>
      <c r="L529" s="351"/>
      <c r="M529" s="351"/>
      <c r="N529" s="351"/>
      <c r="O529" s="351"/>
      <c r="P529" s="261">
        <v>12.025</v>
      </c>
      <c r="Q529" s="260">
        <v>100</v>
      </c>
      <c r="R529" s="260" t="s">
        <v>20</v>
      </c>
      <c r="S529" s="260">
        <v>2006</v>
      </c>
      <c r="T529" s="260" t="s">
        <v>161</v>
      </c>
      <c r="U529" s="386">
        <v>42653</v>
      </c>
      <c r="V529" s="387"/>
      <c r="W529" s="354">
        <f>COUNT(RawMaterials[[#This Row],[Lab Quantity 1]:[Lab Quantity 4]])</f>
        <v>0</v>
      </c>
      <c r="X52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9" s="392" t="e">
        <f>RawMaterials[[#This Row],[Lab Price 1]]/RawMaterials[[#This Row],[Lab Q Model Units 1]]</f>
        <v>#N/A</v>
      </c>
      <c r="AC529" s="392" t="e">
        <f>RawMaterials[[#This Row],[Lab Price 2]]/RawMaterials[[#This Row],[Lab Q Model Units 2]]</f>
        <v>#N/A</v>
      </c>
      <c r="AD529" s="392" t="e">
        <f>RawMaterials[[#This Row],[Lab Price 3]]/RawMaterials[[#This Row],[Lab Q Model Units 3]]</f>
        <v>#N/A</v>
      </c>
      <c r="AE529" s="392" t="e">
        <f>RawMaterials[[#This Row],[Lab Price 4]]/RawMaterials[[#This Row],[Lab Q Model Units 4]]</f>
        <v>#N/A</v>
      </c>
      <c r="AF529" s="392" t="str">
        <f ca="1">IF(RawMaterials[[#This Row],[Lab Quote Count]]&gt;1,SLOPE(LOG(INDIRECT("RawMaterials[@[Lab Unit P 1]:[Lab Unit P "&amp;RawMaterials[[#This Row],[Lab Quote Count]]&amp;"]]")),LOG(INDIRECT("RawMaterials[@[Lab Q Model Units 1]:[Lab Q Model Units "&amp;RawMaterials[[#This Row],[Lab Quote Count]]&amp;"]]"))),"")</f>
        <v/>
      </c>
      <c r="AG529" s="392" t="str">
        <f ca="1">IF(RawMaterials[[#This Row],[Lab Quote Count]]&gt;1,INTERCEPT(LOG(INDIRECT("RawMaterials[@[Lab Unit P 1]:[Lab Unit P "&amp;RawMaterials[[#This Row],[Lab Quote Count]]&amp;"]]")),LOG(INDIRECT("RawMaterials[@[Lab Q Model Units 1]:[Lab Q Model Units "&amp;RawMaterials[[#This Row],[Lab Quote Count]]&amp;"]]"))),"")</f>
        <v/>
      </c>
      <c r="AH529" s="393" t="str">
        <f>IF(RawMaterials[[#This Row],[Material Type]]="Metal Precursor","D13",IF(RawMaterials[[#This Row],[Material Type]]="Ligand","D13","D12"))</f>
        <v>D12</v>
      </c>
      <c r="AI529" s="394" t="str">
        <f ca="1">IF(RawMaterials[[#This Row],[Lab Quote Count]]&gt;1,10^RawMaterials[[#This Row],[Lab Log-Log Intercept]]*INDIRECT(RawMaterials[[#This Row],[Basis Cell]])^RawMaterials[[#This Row],[Lab Log-Log Slope]],"&gt;&gt;&gt; Enter 2 or more lab quotes &lt;&lt;&lt;")</f>
        <v>&gt;&gt;&gt; Enter 2 or more lab quotes &lt;&lt;&lt;</v>
      </c>
      <c r="AJ52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0.2651058702773153</v>
      </c>
      <c r="AL529" s="396">
        <f>IF(ISTEXT(RawMaterials[[#This Row],[Unit price in quote year]]),"Check calcs",RawMaterials[[#This Row],[Unit price in quote year]]/VLOOKUP(RawMaterials[[#This Row],[Quote Year]],ChemPPI[],14,FALSE)*VLOOKUP(BasisYear,ChemPPI[],14,FALSE))</f>
        <v>0.3598057822717019</v>
      </c>
      <c r="AM529" s="397" t="str">
        <f t="shared" si="8"/>
        <v>$/kg (2016)</v>
      </c>
    </row>
    <row r="530" spans="1:39">
      <c r="A530" s="259" t="s">
        <v>1614</v>
      </c>
      <c r="B530" s="260"/>
      <c r="C530" s="351"/>
      <c r="D530" s="351"/>
      <c r="E530" s="260">
        <v>100</v>
      </c>
      <c r="F530" s="260"/>
      <c r="G530" s="351"/>
      <c r="H530" s="351"/>
      <c r="I530" s="262"/>
      <c r="J530" s="351"/>
      <c r="K530" s="351"/>
      <c r="L530" s="351"/>
      <c r="M530" s="351"/>
      <c r="N530" s="351"/>
      <c r="O530" s="351"/>
      <c r="P530" s="261">
        <v>38</v>
      </c>
      <c r="Q530" s="260">
        <v>100</v>
      </c>
      <c r="R530" s="260" t="s">
        <v>20</v>
      </c>
      <c r="S530" s="260">
        <v>2006</v>
      </c>
      <c r="T530" s="260" t="s">
        <v>161</v>
      </c>
      <c r="U530" s="386">
        <v>42653</v>
      </c>
      <c r="V530" s="387"/>
      <c r="W530" s="354">
        <f>COUNT(RawMaterials[[#This Row],[Lab Quantity 1]:[Lab Quantity 4]])</f>
        <v>0</v>
      </c>
      <c r="X53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0" s="392" t="e">
        <f>RawMaterials[[#This Row],[Lab Price 1]]/RawMaterials[[#This Row],[Lab Q Model Units 1]]</f>
        <v>#N/A</v>
      </c>
      <c r="AC530" s="392" t="e">
        <f>RawMaterials[[#This Row],[Lab Price 2]]/RawMaterials[[#This Row],[Lab Q Model Units 2]]</f>
        <v>#N/A</v>
      </c>
      <c r="AD530" s="392" t="e">
        <f>RawMaterials[[#This Row],[Lab Price 3]]/RawMaterials[[#This Row],[Lab Q Model Units 3]]</f>
        <v>#N/A</v>
      </c>
      <c r="AE530" s="392" t="e">
        <f>RawMaterials[[#This Row],[Lab Price 4]]/RawMaterials[[#This Row],[Lab Q Model Units 4]]</f>
        <v>#N/A</v>
      </c>
      <c r="AF530" s="392" t="str">
        <f ca="1">IF(RawMaterials[[#This Row],[Lab Quote Count]]&gt;1,SLOPE(LOG(INDIRECT("RawMaterials[@[Lab Unit P 1]:[Lab Unit P "&amp;RawMaterials[[#This Row],[Lab Quote Count]]&amp;"]]")),LOG(INDIRECT("RawMaterials[@[Lab Q Model Units 1]:[Lab Q Model Units "&amp;RawMaterials[[#This Row],[Lab Quote Count]]&amp;"]]"))),"")</f>
        <v/>
      </c>
      <c r="AG530" s="392" t="str">
        <f ca="1">IF(RawMaterials[[#This Row],[Lab Quote Count]]&gt;1,INTERCEPT(LOG(INDIRECT("RawMaterials[@[Lab Unit P 1]:[Lab Unit P "&amp;RawMaterials[[#This Row],[Lab Quote Count]]&amp;"]]")),LOG(INDIRECT("RawMaterials[@[Lab Q Model Units 1]:[Lab Q Model Units "&amp;RawMaterials[[#This Row],[Lab Quote Count]]&amp;"]]"))),"")</f>
        <v/>
      </c>
      <c r="AH530" s="393" t="str">
        <f>IF(RawMaterials[[#This Row],[Material Type]]="Metal Precursor","D13",IF(RawMaterials[[#This Row],[Material Type]]="Ligand","D13","D12"))</f>
        <v>D12</v>
      </c>
      <c r="AI530" s="394" t="str">
        <f ca="1">IF(RawMaterials[[#This Row],[Lab Quote Count]]&gt;1,10^RawMaterials[[#This Row],[Lab Log-Log Intercept]]*INDIRECT(RawMaterials[[#This Row],[Basis Cell]])^RawMaterials[[#This Row],[Lab Log-Log Slope]],"&gt;&gt;&gt; Enter 2 or more lab quotes &lt;&lt;&lt;")</f>
        <v>&gt;&gt;&gt; Enter 2 or more lab quotes &lt;&lt;&lt;</v>
      </c>
      <c r="AJ53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0.83775659630253485</v>
      </c>
      <c r="AL530" s="396">
        <f>IF(ISTEXT(RawMaterials[[#This Row],[Unit price in quote year]]),"Check calcs",RawMaterials[[#This Row],[Unit price in quote year]]/VLOOKUP(RawMaterials[[#This Row],[Quote Year]],ChemPPI[],14,FALSE)*VLOOKUP(BasisYear,ChemPPI[],14,FALSE))</f>
        <v>1.1370161934573533</v>
      </c>
      <c r="AM530" s="397" t="str">
        <f t="shared" si="8"/>
        <v>$/kg (2016)</v>
      </c>
    </row>
    <row r="531" spans="1:39">
      <c r="A531" s="259" t="s">
        <v>1615</v>
      </c>
      <c r="B531" s="260"/>
      <c r="C531" s="351"/>
      <c r="D531" s="351"/>
      <c r="E531" s="260">
        <v>100</v>
      </c>
      <c r="F531" s="260"/>
      <c r="G531" s="351"/>
      <c r="H531" s="351"/>
      <c r="I531" s="262"/>
      <c r="J531" s="351"/>
      <c r="K531" s="351"/>
      <c r="L531" s="351"/>
      <c r="M531" s="351"/>
      <c r="N531" s="351"/>
      <c r="O531" s="351"/>
      <c r="P531" s="261">
        <v>35.6</v>
      </c>
      <c r="Q531" s="260">
        <v>100</v>
      </c>
      <c r="R531" s="260" t="s">
        <v>20</v>
      </c>
      <c r="S531" s="260">
        <v>2006</v>
      </c>
      <c r="T531" s="260" t="s">
        <v>161</v>
      </c>
      <c r="U531" s="386">
        <v>42653</v>
      </c>
      <c r="V531" s="387"/>
      <c r="W531" s="354">
        <f>COUNT(RawMaterials[[#This Row],[Lab Quantity 1]:[Lab Quantity 4]])</f>
        <v>0</v>
      </c>
      <c r="X53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1" s="392" t="e">
        <f>RawMaterials[[#This Row],[Lab Price 1]]/RawMaterials[[#This Row],[Lab Q Model Units 1]]</f>
        <v>#N/A</v>
      </c>
      <c r="AC531" s="392" t="e">
        <f>RawMaterials[[#This Row],[Lab Price 2]]/RawMaterials[[#This Row],[Lab Q Model Units 2]]</f>
        <v>#N/A</v>
      </c>
      <c r="AD531" s="392" t="e">
        <f>RawMaterials[[#This Row],[Lab Price 3]]/RawMaterials[[#This Row],[Lab Q Model Units 3]]</f>
        <v>#N/A</v>
      </c>
      <c r="AE531" s="392" t="e">
        <f>RawMaterials[[#This Row],[Lab Price 4]]/RawMaterials[[#This Row],[Lab Q Model Units 4]]</f>
        <v>#N/A</v>
      </c>
      <c r="AF531" s="392" t="str">
        <f ca="1">IF(RawMaterials[[#This Row],[Lab Quote Count]]&gt;1,SLOPE(LOG(INDIRECT("RawMaterials[@[Lab Unit P 1]:[Lab Unit P "&amp;RawMaterials[[#This Row],[Lab Quote Count]]&amp;"]]")),LOG(INDIRECT("RawMaterials[@[Lab Q Model Units 1]:[Lab Q Model Units "&amp;RawMaterials[[#This Row],[Lab Quote Count]]&amp;"]]"))),"")</f>
        <v/>
      </c>
      <c r="AG531" s="392" t="str">
        <f ca="1">IF(RawMaterials[[#This Row],[Lab Quote Count]]&gt;1,INTERCEPT(LOG(INDIRECT("RawMaterials[@[Lab Unit P 1]:[Lab Unit P "&amp;RawMaterials[[#This Row],[Lab Quote Count]]&amp;"]]")),LOG(INDIRECT("RawMaterials[@[Lab Q Model Units 1]:[Lab Q Model Units "&amp;RawMaterials[[#This Row],[Lab Quote Count]]&amp;"]]"))),"")</f>
        <v/>
      </c>
      <c r="AH531" s="393" t="str">
        <f>IF(RawMaterials[[#This Row],[Material Type]]="Metal Precursor","D13",IF(RawMaterials[[#This Row],[Material Type]]="Ligand","D13","D12"))</f>
        <v>D12</v>
      </c>
      <c r="AI531" s="394" t="str">
        <f ca="1">IF(RawMaterials[[#This Row],[Lab Quote Count]]&gt;1,10^RawMaterials[[#This Row],[Lab Log-Log Intercept]]*INDIRECT(RawMaterials[[#This Row],[Basis Cell]])^RawMaterials[[#This Row],[Lab Log-Log Slope]],"&gt;&gt;&gt; Enter 2 or more lab quotes &lt;&lt;&lt;")</f>
        <v>&gt;&gt;&gt; Enter 2 or more lab quotes &lt;&lt;&lt;</v>
      </c>
      <c r="AJ53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0.78484565337816425</v>
      </c>
      <c r="AL531" s="396">
        <f>IF(ISTEXT(RawMaterials[[#This Row],[Unit price in quote year]]),"Check calcs",RawMaterials[[#This Row],[Unit price in quote year]]/VLOOKUP(RawMaterials[[#This Row],[Quote Year]],ChemPPI[],14,FALSE)*VLOOKUP(BasisYear,ChemPPI[],14,FALSE))</f>
        <v>1.0652046443968888</v>
      </c>
      <c r="AM531" s="397" t="str">
        <f t="shared" si="8"/>
        <v>$/kg (2016)</v>
      </c>
    </row>
    <row r="532" spans="1:39">
      <c r="A532" s="259" t="s">
        <v>1616</v>
      </c>
      <c r="B532" s="260"/>
      <c r="C532" s="351"/>
      <c r="D532" s="351"/>
      <c r="E532" s="260">
        <v>100</v>
      </c>
      <c r="F532" s="260"/>
      <c r="G532" s="351"/>
      <c r="H532" s="351"/>
      <c r="I532" s="262"/>
      <c r="J532" s="351"/>
      <c r="K532" s="351"/>
      <c r="L532" s="351"/>
      <c r="M532" s="351"/>
      <c r="N532" s="351"/>
      <c r="O532" s="351"/>
      <c r="P532" s="261">
        <v>122.5</v>
      </c>
      <c r="Q532" s="260">
        <v>1</v>
      </c>
      <c r="R532" s="260" t="s">
        <v>1112</v>
      </c>
      <c r="S532" s="260">
        <v>2006</v>
      </c>
      <c r="T532" s="260" t="s">
        <v>161</v>
      </c>
      <c r="U532" s="386">
        <v>42653</v>
      </c>
      <c r="V532" s="387"/>
      <c r="W532" s="354">
        <f>COUNT(RawMaterials[[#This Row],[Lab Quantity 1]:[Lab Quantity 4]])</f>
        <v>0</v>
      </c>
      <c r="X53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2" s="392" t="e">
        <f>RawMaterials[[#This Row],[Lab Price 1]]/RawMaterials[[#This Row],[Lab Q Model Units 1]]</f>
        <v>#N/A</v>
      </c>
      <c r="AC532" s="392" t="e">
        <f>RawMaterials[[#This Row],[Lab Price 2]]/RawMaterials[[#This Row],[Lab Q Model Units 2]]</f>
        <v>#N/A</v>
      </c>
      <c r="AD532" s="392" t="e">
        <f>RawMaterials[[#This Row],[Lab Price 3]]/RawMaterials[[#This Row],[Lab Q Model Units 3]]</f>
        <v>#N/A</v>
      </c>
      <c r="AE532" s="392" t="e">
        <f>RawMaterials[[#This Row],[Lab Price 4]]/RawMaterials[[#This Row],[Lab Q Model Units 4]]</f>
        <v>#N/A</v>
      </c>
      <c r="AF532" s="392" t="str">
        <f ca="1">IF(RawMaterials[[#This Row],[Lab Quote Count]]&gt;1,SLOPE(LOG(INDIRECT("RawMaterials[@[Lab Unit P 1]:[Lab Unit P "&amp;RawMaterials[[#This Row],[Lab Quote Count]]&amp;"]]")),LOG(INDIRECT("RawMaterials[@[Lab Q Model Units 1]:[Lab Q Model Units "&amp;RawMaterials[[#This Row],[Lab Quote Count]]&amp;"]]"))),"")</f>
        <v/>
      </c>
      <c r="AG532" s="392" t="str">
        <f ca="1">IF(RawMaterials[[#This Row],[Lab Quote Count]]&gt;1,INTERCEPT(LOG(INDIRECT("RawMaterials[@[Lab Unit P 1]:[Lab Unit P "&amp;RawMaterials[[#This Row],[Lab Quote Count]]&amp;"]]")),LOG(INDIRECT("RawMaterials[@[Lab Q Model Units 1]:[Lab Q Model Units "&amp;RawMaterials[[#This Row],[Lab Quote Count]]&amp;"]]"))),"")</f>
        <v/>
      </c>
      <c r="AH532" s="393" t="str">
        <f>IF(RawMaterials[[#This Row],[Material Type]]="Metal Precursor","D13",IF(RawMaterials[[#This Row],[Material Type]]="Ligand","D13","D12"))</f>
        <v>D12</v>
      </c>
      <c r="AI532" s="394" t="str">
        <f ca="1">IF(RawMaterials[[#This Row],[Lab Quote Count]]&gt;1,10^RawMaterials[[#This Row],[Lab Log-Log Intercept]]*INDIRECT(RawMaterials[[#This Row],[Basis Cell]])^RawMaterials[[#This Row],[Lab Log-Log Slope]],"&gt;&gt;&gt; Enter 2 or more lab quotes &lt;&lt;&lt;")</f>
        <v>&gt;&gt;&gt; Enter 2 or more lab quotes &lt;&lt;&lt;</v>
      </c>
      <c r="AJ53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3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0.1225</v>
      </c>
      <c r="AL532" s="396">
        <f>IF(ISTEXT(RawMaterials[[#This Row],[Unit price in quote year]]),"Check calcs",RawMaterials[[#This Row],[Unit price in quote year]]/VLOOKUP(RawMaterials[[#This Row],[Quote Year]],ChemPPI[],14,FALSE)*VLOOKUP(BasisYear,ChemPPI[],14,FALSE))</f>
        <v>0.16625889227642279</v>
      </c>
      <c r="AM532" s="397" t="str">
        <f t="shared" si="8"/>
        <v>$/kg (2016)</v>
      </c>
    </row>
    <row r="533" spans="1:39">
      <c r="A533" s="259" t="s">
        <v>1617</v>
      </c>
      <c r="B533" s="260"/>
      <c r="C533" s="351"/>
      <c r="D533" s="351"/>
      <c r="E533" s="260">
        <v>100</v>
      </c>
      <c r="F533" s="260"/>
      <c r="G533" s="351"/>
      <c r="H533" s="351"/>
      <c r="I533" s="262"/>
      <c r="J533" s="351"/>
      <c r="K533" s="351"/>
      <c r="L533" s="351"/>
      <c r="M533" s="351"/>
      <c r="N533" s="351"/>
      <c r="O533" s="351"/>
      <c r="P533" s="261">
        <v>36</v>
      </c>
      <c r="Q533" s="260">
        <v>1</v>
      </c>
      <c r="R533" s="260" t="s">
        <v>20</v>
      </c>
      <c r="S533" s="260">
        <v>2006</v>
      </c>
      <c r="T533" s="260" t="s">
        <v>161</v>
      </c>
      <c r="U533" s="386">
        <v>42653</v>
      </c>
      <c r="V533" s="387"/>
      <c r="W533" s="354">
        <f>COUNT(RawMaterials[[#This Row],[Lab Quantity 1]:[Lab Quantity 4]])</f>
        <v>0</v>
      </c>
      <c r="X53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3" s="392" t="e">
        <f>RawMaterials[[#This Row],[Lab Price 1]]/RawMaterials[[#This Row],[Lab Q Model Units 1]]</f>
        <v>#N/A</v>
      </c>
      <c r="AC533" s="392" t="e">
        <f>RawMaterials[[#This Row],[Lab Price 2]]/RawMaterials[[#This Row],[Lab Q Model Units 2]]</f>
        <v>#N/A</v>
      </c>
      <c r="AD533" s="392" t="e">
        <f>RawMaterials[[#This Row],[Lab Price 3]]/RawMaterials[[#This Row],[Lab Q Model Units 3]]</f>
        <v>#N/A</v>
      </c>
      <c r="AE533" s="392" t="e">
        <f>RawMaterials[[#This Row],[Lab Price 4]]/RawMaterials[[#This Row],[Lab Q Model Units 4]]</f>
        <v>#N/A</v>
      </c>
      <c r="AF533" s="392" t="str">
        <f ca="1">IF(RawMaterials[[#This Row],[Lab Quote Count]]&gt;1,SLOPE(LOG(INDIRECT("RawMaterials[@[Lab Unit P 1]:[Lab Unit P "&amp;RawMaterials[[#This Row],[Lab Quote Count]]&amp;"]]")),LOG(INDIRECT("RawMaterials[@[Lab Q Model Units 1]:[Lab Q Model Units "&amp;RawMaterials[[#This Row],[Lab Quote Count]]&amp;"]]"))),"")</f>
        <v/>
      </c>
      <c r="AG533" s="392" t="str">
        <f ca="1">IF(RawMaterials[[#This Row],[Lab Quote Count]]&gt;1,INTERCEPT(LOG(INDIRECT("RawMaterials[@[Lab Unit P 1]:[Lab Unit P "&amp;RawMaterials[[#This Row],[Lab Quote Count]]&amp;"]]")),LOG(INDIRECT("RawMaterials[@[Lab Q Model Units 1]:[Lab Q Model Units "&amp;RawMaterials[[#This Row],[Lab Quote Count]]&amp;"]]"))),"")</f>
        <v/>
      </c>
      <c r="AH533" s="393" t="str">
        <f>IF(RawMaterials[[#This Row],[Material Type]]="Metal Precursor","D13",IF(RawMaterials[[#This Row],[Material Type]]="Ligand","D13","D12"))</f>
        <v>D12</v>
      </c>
      <c r="AI533" s="394" t="str">
        <f ca="1">IF(RawMaterials[[#This Row],[Lab Quote Count]]&gt;1,10^RawMaterials[[#This Row],[Lab Log-Log Intercept]]*INDIRECT(RawMaterials[[#This Row],[Basis Cell]])^RawMaterials[[#This Row],[Lab Log-Log Slope]],"&gt;&gt;&gt; Enter 2 or more lab quotes &lt;&lt;&lt;")</f>
        <v>&gt;&gt;&gt; Enter 2 or more lab quotes &lt;&lt;&lt;</v>
      </c>
      <c r="AJ53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79.366414386555931</v>
      </c>
      <c r="AL533" s="396">
        <f>IF(ISTEXT(RawMaterials[[#This Row],[Unit price in quote year]]),"Check calcs",RawMaterials[[#This Row],[Unit price in quote year]]/VLOOKUP(RawMaterials[[#This Row],[Quote Year]],ChemPPI[],14,FALSE)*VLOOKUP(BasisYear,ChemPPI[],14,FALSE))</f>
        <v>107.71732359069661</v>
      </c>
      <c r="AM533" s="397" t="str">
        <f t="shared" si="8"/>
        <v>$/kg (2016)</v>
      </c>
    </row>
    <row r="534" spans="1:39">
      <c r="A534" s="259" t="s">
        <v>1618</v>
      </c>
      <c r="B534" s="260"/>
      <c r="C534" s="351"/>
      <c r="D534" s="351"/>
      <c r="E534" s="260">
        <v>100</v>
      </c>
      <c r="F534" s="260"/>
      <c r="G534" s="351"/>
      <c r="H534" s="351"/>
      <c r="I534" s="262"/>
      <c r="J534" s="351"/>
      <c r="K534" s="351"/>
      <c r="L534" s="351"/>
      <c r="M534" s="351"/>
      <c r="N534" s="351"/>
      <c r="O534" s="351"/>
      <c r="P534" s="261">
        <v>122.5</v>
      </c>
      <c r="Q534" s="260">
        <v>1</v>
      </c>
      <c r="R534" s="260" t="s">
        <v>20</v>
      </c>
      <c r="S534" s="260">
        <v>2006</v>
      </c>
      <c r="T534" s="260" t="s">
        <v>161</v>
      </c>
      <c r="U534" s="386">
        <v>42653</v>
      </c>
      <c r="V534" s="387"/>
      <c r="W534" s="354">
        <f>COUNT(RawMaterials[[#This Row],[Lab Quantity 1]:[Lab Quantity 4]])</f>
        <v>0</v>
      </c>
      <c r="X53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4" s="392" t="e">
        <f>RawMaterials[[#This Row],[Lab Price 1]]/RawMaterials[[#This Row],[Lab Q Model Units 1]]</f>
        <v>#N/A</v>
      </c>
      <c r="AC534" s="392" t="e">
        <f>RawMaterials[[#This Row],[Lab Price 2]]/RawMaterials[[#This Row],[Lab Q Model Units 2]]</f>
        <v>#N/A</v>
      </c>
      <c r="AD534" s="392" t="e">
        <f>RawMaterials[[#This Row],[Lab Price 3]]/RawMaterials[[#This Row],[Lab Q Model Units 3]]</f>
        <v>#N/A</v>
      </c>
      <c r="AE534" s="392" t="e">
        <f>RawMaterials[[#This Row],[Lab Price 4]]/RawMaterials[[#This Row],[Lab Q Model Units 4]]</f>
        <v>#N/A</v>
      </c>
      <c r="AF534" s="392" t="str">
        <f ca="1">IF(RawMaterials[[#This Row],[Lab Quote Count]]&gt;1,SLOPE(LOG(INDIRECT("RawMaterials[@[Lab Unit P 1]:[Lab Unit P "&amp;RawMaterials[[#This Row],[Lab Quote Count]]&amp;"]]")),LOG(INDIRECT("RawMaterials[@[Lab Q Model Units 1]:[Lab Q Model Units "&amp;RawMaterials[[#This Row],[Lab Quote Count]]&amp;"]]"))),"")</f>
        <v/>
      </c>
      <c r="AG534" s="392" t="str">
        <f ca="1">IF(RawMaterials[[#This Row],[Lab Quote Count]]&gt;1,INTERCEPT(LOG(INDIRECT("RawMaterials[@[Lab Unit P 1]:[Lab Unit P "&amp;RawMaterials[[#This Row],[Lab Quote Count]]&amp;"]]")),LOG(INDIRECT("RawMaterials[@[Lab Q Model Units 1]:[Lab Q Model Units "&amp;RawMaterials[[#This Row],[Lab Quote Count]]&amp;"]]"))),"")</f>
        <v/>
      </c>
      <c r="AH534" s="393" t="str">
        <f>IF(RawMaterials[[#This Row],[Material Type]]="Metal Precursor","D13",IF(RawMaterials[[#This Row],[Material Type]]="Ligand","D13","D12"))</f>
        <v>D12</v>
      </c>
      <c r="AI534" s="394" t="str">
        <f ca="1">IF(RawMaterials[[#This Row],[Lab Quote Count]]&gt;1,10^RawMaterials[[#This Row],[Lab Log-Log Intercept]]*INDIRECT(RawMaterials[[#This Row],[Basis Cell]])^RawMaterials[[#This Row],[Lab Log-Log Slope]],"&gt;&gt;&gt; Enter 2 or more lab quotes &lt;&lt;&lt;")</f>
        <v>&gt;&gt;&gt; Enter 2 or more lab quotes &lt;&lt;&lt;</v>
      </c>
      <c r="AJ53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270.06627117647503</v>
      </c>
      <c r="AL534" s="396">
        <f>IF(ISTEXT(RawMaterials[[#This Row],[Unit price in quote year]]),"Check calcs",RawMaterials[[#This Row],[Unit price in quote year]]/VLOOKUP(RawMaterials[[#This Row],[Quote Year]],ChemPPI[],14,FALSE)*VLOOKUP(BasisYear,ChemPPI[],14,FALSE))</f>
        <v>366.53811499612038</v>
      </c>
      <c r="AM534" s="397" t="str">
        <f t="shared" si="8"/>
        <v>$/kg (2016)</v>
      </c>
    </row>
    <row r="535" spans="1:39">
      <c r="A535" s="259" t="s">
        <v>1619</v>
      </c>
      <c r="B535" s="260"/>
      <c r="C535" s="351"/>
      <c r="D535" s="351"/>
      <c r="E535" s="260">
        <v>100</v>
      </c>
      <c r="F535" s="260"/>
      <c r="G535" s="351"/>
      <c r="H535" s="351"/>
      <c r="I535" s="262"/>
      <c r="J535" s="351"/>
      <c r="K535" s="351"/>
      <c r="L535" s="351"/>
      <c r="M535" s="351"/>
      <c r="N535" s="351"/>
      <c r="O535" s="351"/>
      <c r="P535" s="261">
        <v>32.25</v>
      </c>
      <c r="Q535" s="260">
        <v>1</v>
      </c>
      <c r="R535" s="260" t="s">
        <v>985</v>
      </c>
      <c r="S535" s="260">
        <v>2006</v>
      </c>
      <c r="T535" s="260" t="s">
        <v>161</v>
      </c>
      <c r="U535" s="386">
        <v>42653</v>
      </c>
      <c r="V535" s="387"/>
      <c r="W535" s="354">
        <f>COUNT(RawMaterials[[#This Row],[Lab Quantity 1]:[Lab Quantity 4]])</f>
        <v>0</v>
      </c>
      <c r="X53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5" s="392" t="e">
        <f>RawMaterials[[#This Row],[Lab Price 1]]/RawMaterials[[#This Row],[Lab Q Model Units 1]]</f>
        <v>#N/A</v>
      </c>
      <c r="AC535" s="392" t="e">
        <f>RawMaterials[[#This Row],[Lab Price 2]]/RawMaterials[[#This Row],[Lab Q Model Units 2]]</f>
        <v>#N/A</v>
      </c>
      <c r="AD535" s="392" t="e">
        <f>RawMaterials[[#This Row],[Lab Price 3]]/RawMaterials[[#This Row],[Lab Q Model Units 3]]</f>
        <v>#N/A</v>
      </c>
      <c r="AE535" s="392" t="e">
        <f>RawMaterials[[#This Row],[Lab Price 4]]/RawMaterials[[#This Row],[Lab Q Model Units 4]]</f>
        <v>#N/A</v>
      </c>
      <c r="AF535" s="392" t="str">
        <f ca="1">IF(RawMaterials[[#This Row],[Lab Quote Count]]&gt;1,SLOPE(LOG(INDIRECT("RawMaterials[@[Lab Unit P 1]:[Lab Unit P "&amp;RawMaterials[[#This Row],[Lab Quote Count]]&amp;"]]")),LOG(INDIRECT("RawMaterials[@[Lab Q Model Units 1]:[Lab Q Model Units "&amp;RawMaterials[[#This Row],[Lab Quote Count]]&amp;"]]"))),"")</f>
        <v/>
      </c>
      <c r="AG535" s="392" t="str">
        <f ca="1">IF(RawMaterials[[#This Row],[Lab Quote Count]]&gt;1,INTERCEPT(LOG(INDIRECT("RawMaterials[@[Lab Unit P 1]:[Lab Unit P "&amp;RawMaterials[[#This Row],[Lab Quote Count]]&amp;"]]")),LOG(INDIRECT("RawMaterials[@[Lab Q Model Units 1]:[Lab Q Model Units "&amp;RawMaterials[[#This Row],[Lab Quote Count]]&amp;"]]"))),"")</f>
        <v/>
      </c>
      <c r="AH535" s="393" t="str">
        <f>IF(RawMaterials[[#This Row],[Material Type]]="Metal Precursor","D13",IF(RawMaterials[[#This Row],[Material Type]]="Ligand","D13","D12"))</f>
        <v>D12</v>
      </c>
      <c r="AI535" s="394" t="str">
        <f ca="1">IF(RawMaterials[[#This Row],[Lab Quote Count]]&gt;1,10^RawMaterials[[#This Row],[Lab Log-Log Intercept]]*INDIRECT(RawMaterials[[#This Row],[Basis Cell]])^RawMaterials[[#This Row],[Lab Log-Log Slope]],"&gt;&gt;&gt; Enter 2 or more lab quotes &lt;&lt;&lt;")</f>
        <v>&gt;&gt;&gt; Enter 2 or more lab quotes &lt;&lt;&lt;</v>
      </c>
      <c r="AJ53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0.71099079554623024</v>
      </c>
      <c r="AL535" s="396">
        <f>IF(ISTEXT(RawMaterials[[#This Row],[Unit price in quote year]]),"Check calcs",RawMaterials[[#This Row],[Unit price in quote year]]/VLOOKUP(RawMaterials[[#This Row],[Quote Year]],ChemPPI[],14,FALSE)*VLOOKUP(BasisYear,ChemPPI[],14,FALSE))</f>
        <v>0.96496769049999054</v>
      </c>
      <c r="AM535" s="397" t="str">
        <f t="shared" si="8"/>
        <v>$/kg (2016)</v>
      </c>
    </row>
    <row r="536" spans="1:39">
      <c r="A536" s="259" t="s">
        <v>1620</v>
      </c>
      <c r="B536" s="260"/>
      <c r="C536" s="351"/>
      <c r="D536" s="351"/>
      <c r="E536" s="260">
        <v>100</v>
      </c>
      <c r="F536" s="260"/>
      <c r="G536" s="351"/>
      <c r="H536" s="351"/>
      <c r="I536" s="262"/>
      <c r="J536" s="351"/>
      <c r="K536" s="351"/>
      <c r="L536" s="351"/>
      <c r="M536" s="351"/>
      <c r="N536" s="351"/>
      <c r="O536" s="351"/>
      <c r="P536" s="261">
        <v>27</v>
      </c>
      <c r="Q536" s="260">
        <v>1</v>
      </c>
      <c r="R536" s="260" t="s">
        <v>20</v>
      </c>
      <c r="S536" s="260">
        <v>2006</v>
      </c>
      <c r="T536" s="260" t="s">
        <v>161</v>
      </c>
      <c r="U536" s="386">
        <v>42653</v>
      </c>
      <c r="V536" s="387"/>
      <c r="W536" s="354">
        <f>COUNT(RawMaterials[[#This Row],[Lab Quantity 1]:[Lab Quantity 4]])</f>
        <v>0</v>
      </c>
      <c r="X53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6" s="392" t="e">
        <f>RawMaterials[[#This Row],[Lab Price 1]]/RawMaterials[[#This Row],[Lab Q Model Units 1]]</f>
        <v>#N/A</v>
      </c>
      <c r="AC536" s="392" t="e">
        <f>RawMaterials[[#This Row],[Lab Price 2]]/RawMaterials[[#This Row],[Lab Q Model Units 2]]</f>
        <v>#N/A</v>
      </c>
      <c r="AD536" s="392" t="e">
        <f>RawMaterials[[#This Row],[Lab Price 3]]/RawMaterials[[#This Row],[Lab Q Model Units 3]]</f>
        <v>#N/A</v>
      </c>
      <c r="AE536" s="392" t="e">
        <f>RawMaterials[[#This Row],[Lab Price 4]]/RawMaterials[[#This Row],[Lab Q Model Units 4]]</f>
        <v>#N/A</v>
      </c>
      <c r="AF536" s="392" t="str">
        <f ca="1">IF(RawMaterials[[#This Row],[Lab Quote Count]]&gt;1,SLOPE(LOG(INDIRECT("RawMaterials[@[Lab Unit P 1]:[Lab Unit P "&amp;RawMaterials[[#This Row],[Lab Quote Count]]&amp;"]]")),LOG(INDIRECT("RawMaterials[@[Lab Q Model Units 1]:[Lab Q Model Units "&amp;RawMaterials[[#This Row],[Lab Quote Count]]&amp;"]]"))),"")</f>
        <v/>
      </c>
      <c r="AG536" s="392" t="str">
        <f ca="1">IF(RawMaterials[[#This Row],[Lab Quote Count]]&gt;1,INTERCEPT(LOG(INDIRECT("RawMaterials[@[Lab Unit P 1]:[Lab Unit P "&amp;RawMaterials[[#This Row],[Lab Quote Count]]&amp;"]]")),LOG(INDIRECT("RawMaterials[@[Lab Q Model Units 1]:[Lab Q Model Units "&amp;RawMaterials[[#This Row],[Lab Quote Count]]&amp;"]]"))),"")</f>
        <v/>
      </c>
      <c r="AH536" s="393" t="str">
        <f>IF(RawMaterials[[#This Row],[Material Type]]="Metal Precursor","D13",IF(RawMaterials[[#This Row],[Material Type]]="Ligand","D13","D12"))</f>
        <v>D12</v>
      </c>
      <c r="AI536" s="394" t="str">
        <f ca="1">IF(RawMaterials[[#This Row],[Lab Quote Count]]&gt;1,10^RawMaterials[[#This Row],[Lab Log-Log Intercept]]*INDIRECT(RawMaterials[[#This Row],[Basis Cell]])^RawMaterials[[#This Row],[Lab Log-Log Slope]],"&gt;&gt;&gt; Enter 2 or more lab quotes &lt;&lt;&lt;")</f>
        <v>&gt;&gt;&gt; Enter 2 or more lab quotes &lt;&lt;&lt;</v>
      </c>
      <c r="AJ53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59.524810789916941</v>
      </c>
      <c r="AL536" s="396">
        <f>IF(ISTEXT(RawMaterials[[#This Row],[Unit price in quote year]]),"Check calcs",RawMaterials[[#This Row],[Unit price in quote year]]/VLOOKUP(RawMaterials[[#This Row],[Quote Year]],ChemPPI[],14,FALSE)*VLOOKUP(BasisYear,ChemPPI[],14,FALSE))</f>
        <v>80.787992693022446</v>
      </c>
      <c r="AM536" s="397" t="str">
        <f t="shared" si="8"/>
        <v>$/kg (2016)</v>
      </c>
    </row>
    <row r="537" spans="1:39">
      <c r="A537" s="259" t="s">
        <v>1621</v>
      </c>
      <c r="B537" s="260"/>
      <c r="C537" s="351"/>
      <c r="D537" s="351"/>
      <c r="E537" s="260">
        <v>100</v>
      </c>
      <c r="F537" s="260"/>
      <c r="G537" s="351"/>
      <c r="H537" s="351"/>
      <c r="I537" s="262"/>
      <c r="J537" s="351"/>
      <c r="K537" s="351"/>
      <c r="L537" s="351"/>
      <c r="M537" s="351"/>
      <c r="N537" s="351"/>
      <c r="O537" s="351"/>
      <c r="P537" s="261">
        <v>0.23499999999999999</v>
      </c>
      <c r="Q537" s="260">
        <v>1</v>
      </c>
      <c r="R537" s="260" t="s">
        <v>20</v>
      </c>
      <c r="S537" s="260">
        <v>2006</v>
      </c>
      <c r="T537" s="260" t="s">
        <v>161</v>
      </c>
      <c r="U537" s="386">
        <v>42653</v>
      </c>
      <c r="V537" s="387"/>
      <c r="W537" s="354">
        <f>COUNT(RawMaterials[[#This Row],[Lab Quantity 1]:[Lab Quantity 4]])</f>
        <v>0</v>
      </c>
      <c r="X53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7" s="392" t="e">
        <f>RawMaterials[[#This Row],[Lab Price 1]]/RawMaterials[[#This Row],[Lab Q Model Units 1]]</f>
        <v>#N/A</v>
      </c>
      <c r="AC537" s="392" t="e">
        <f>RawMaterials[[#This Row],[Lab Price 2]]/RawMaterials[[#This Row],[Lab Q Model Units 2]]</f>
        <v>#N/A</v>
      </c>
      <c r="AD537" s="392" t="e">
        <f>RawMaterials[[#This Row],[Lab Price 3]]/RawMaterials[[#This Row],[Lab Q Model Units 3]]</f>
        <v>#N/A</v>
      </c>
      <c r="AE537" s="392" t="e">
        <f>RawMaterials[[#This Row],[Lab Price 4]]/RawMaterials[[#This Row],[Lab Q Model Units 4]]</f>
        <v>#N/A</v>
      </c>
      <c r="AF537" s="392" t="str">
        <f ca="1">IF(RawMaterials[[#This Row],[Lab Quote Count]]&gt;1,SLOPE(LOG(INDIRECT("RawMaterials[@[Lab Unit P 1]:[Lab Unit P "&amp;RawMaterials[[#This Row],[Lab Quote Count]]&amp;"]]")),LOG(INDIRECT("RawMaterials[@[Lab Q Model Units 1]:[Lab Q Model Units "&amp;RawMaterials[[#This Row],[Lab Quote Count]]&amp;"]]"))),"")</f>
        <v/>
      </c>
      <c r="AG537" s="392" t="str">
        <f ca="1">IF(RawMaterials[[#This Row],[Lab Quote Count]]&gt;1,INTERCEPT(LOG(INDIRECT("RawMaterials[@[Lab Unit P 1]:[Lab Unit P "&amp;RawMaterials[[#This Row],[Lab Quote Count]]&amp;"]]")),LOG(INDIRECT("RawMaterials[@[Lab Q Model Units 1]:[Lab Q Model Units "&amp;RawMaterials[[#This Row],[Lab Quote Count]]&amp;"]]"))),"")</f>
        <v/>
      </c>
      <c r="AH537" s="393" t="str">
        <f>IF(RawMaterials[[#This Row],[Material Type]]="Metal Precursor","D13",IF(RawMaterials[[#This Row],[Material Type]]="Ligand","D13","D12"))</f>
        <v>D12</v>
      </c>
      <c r="AI537" s="394" t="str">
        <f ca="1">IF(RawMaterials[[#This Row],[Lab Quote Count]]&gt;1,10^RawMaterials[[#This Row],[Lab Log-Log Intercept]]*INDIRECT(RawMaterials[[#This Row],[Basis Cell]])^RawMaterials[[#This Row],[Lab Log-Log Slope]],"&gt;&gt;&gt; Enter 2 or more lab quotes &lt;&lt;&lt;")</f>
        <v>&gt;&gt;&gt; Enter 2 or more lab quotes &lt;&lt;&lt;</v>
      </c>
      <c r="AJ53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0.51808631613446221</v>
      </c>
      <c r="AL537" s="396">
        <f>IF(ISTEXT(RawMaterials[[#This Row],[Unit price in quote year]]),"Check calcs",RawMaterials[[#This Row],[Unit price in quote year]]/VLOOKUP(RawMaterials[[#This Row],[Quote Year]],ChemPPI[],14,FALSE)*VLOOKUP(BasisYear,ChemPPI[],14,FALSE))</f>
        <v>0.70315475121704718</v>
      </c>
      <c r="AM537" s="397" t="str">
        <f t="shared" si="8"/>
        <v>$/kg (2016)</v>
      </c>
    </row>
    <row r="538" spans="1:39">
      <c r="A538" s="259" t="s">
        <v>1622</v>
      </c>
      <c r="B538" s="260"/>
      <c r="C538" s="351"/>
      <c r="D538" s="351"/>
      <c r="E538" s="260">
        <v>100</v>
      </c>
      <c r="F538" s="260"/>
      <c r="G538" s="351"/>
      <c r="H538" s="351"/>
      <c r="I538" s="262"/>
      <c r="J538" s="351"/>
      <c r="K538" s="351"/>
      <c r="L538" s="351"/>
      <c r="M538" s="351"/>
      <c r="N538" s="351"/>
      <c r="O538" s="351"/>
      <c r="P538" s="261">
        <v>47.75</v>
      </c>
      <c r="Q538" s="260">
        <v>100</v>
      </c>
      <c r="R538" s="260" t="s">
        <v>20</v>
      </c>
      <c r="S538" s="260">
        <v>2006</v>
      </c>
      <c r="T538" s="260" t="s">
        <v>161</v>
      </c>
      <c r="U538" s="386">
        <v>42653</v>
      </c>
      <c r="V538" s="387"/>
      <c r="W538" s="354">
        <f>COUNT(RawMaterials[[#This Row],[Lab Quantity 1]:[Lab Quantity 4]])</f>
        <v>0</v>
      </c>
      <c r="X53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8" s="392" t="e">
        <f>RawMaterials[[#This Row],[Lab Price 1]]/RawMaterials[[#This Row],[Lab Q Model Units 1]]</f>
        <v>#N/A</v>
      </c>
      <c r="AC538" s="392" t="e">
        <f>RawMaterials[[#This Row],[Lab Price 2]]/RawMaterials[[#This Row],[Lab Q Model Units 2]]</f>
        <v>#N/A</v>
      </c>
      <c r="AD538" s="392" t="e">
        <f>RawMaterials[[#This Row],[Lab Price 3]]/RawMaterials[[#This Row],[Lab Q Model Units 3]]</f>
        <v>#N/A</v>
      </c>
      <c r="AE538" s="392" t="e">
        <f>RawMaterials[[#This Row],[Lab Price 4]]/RawMaterials[[#This Row],[Lab Q Model Units 4]]</f>
        <v>#N/A</v>
      </c>
      <c r="AF538" s="392" t="str">
        <f ca="1">IF(RawMaterials[[#This Row],[Lab Quote Count]]&gt;1,SLOPE(LOG(INDIRECT("RawMaterials[@[Lab Unit P 1]:[Lab Unit P "&amp;RawMaterials[[#This Row],[Lab Quote Count]]&amp;"]]")),LOG(INDIRECT("RawMaterials[@[Lab Q Model Units 1]:[Lab Q Model Units "&amp;RawMaterials[[#This Row],[Lab Quote Count]]&amp;"]]"))),"")</f>
        <v/>
      </c>
      <c r="AG538" s="392" t="str">
        <f ca="1">IF(RawMaterials[[#This Row],[Lab Quote Count]]&gt;1,INTERCEPT(LOG(INDIRECT("RawMaterials[@[Lab Unit P 1]:[Lab Unit P "&amp;RawMaterials[[#This Row],[Lab Quote Count]]&amp;"]]")),LOG(INDIRECT("RawMaterials[@[Lab Q Model Units 1]:[Lab Q Model Units "&amp;RawMaterials[[#This Row],[Lab Quote Count]]&amp;"]]"))),"")</f>
        <v/>
      </c>
      <c r="AH538" s="393" t="str">
        <f>IF(RawMaterials[[#This Row],[Material Type]]="Metal Precursor","D13",IF(RawMaterials[[#This Row],[Material Type]]="Ligand","D13","D12"))</f>
        <v>D12</v>
      </c>
      <c r="AI538" s="394" t="str">
        <f ca="1">IF(RawMaterials[[#This Row],[Lab Quote Count]]&gt;1,10^RawMaterials[[#This Row],[Lab Log-Log Intercept]]*INDIRECT(RawMaterials[[#This Row],[Basis Cell]])^RawMaterials[[#This Row],[Lab Log-Log Slope]],"&gt;&gt;&gt; Enter 2 or more lab quotes &lt;&lt;&lt;")</f>
        <v>&gt;&gt;&gt; Enter 2 or more lab quotes &lt;&lt;&lt;</v>
      </c>
      <c r="AJ53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1.0527073019327904</v>
      </c>
      <c r="AL538" s="396">
        <f>IF(ISTEXT(RawMaterials[[#This Row],[Unit price in quote year]]),"Check calcs",RawMaterials[[#This Row],[Unit price in quote year]]/VLOOKUP(RawMaterials[[#This Row],[Quote Year]],ChemPPI[],14,FALSE)*VLOOKUP(BasisYear,ChemPPI[],14,FALSE))</f>
        <v>1.4287506115154898</v>
      </c>
      <c r="AM538" s="397" t="str">
        <f t="shared" si="8"/>
        <v>$/kg (2016)</v>
      </c>
    </row>
    <row r="539" spans="1:39">
      <c r="A539" s="259" t="s">
        <v>1623</v>
      </c>
      <c r="B539" s="260"/>
      <c r="C539" s="351"/>
      <c r="D539" s="351"/>
      <c r="E539" s="260">
        <v>100</v>
      </c>
      <c r="F539" s="260"/>
      <c r="G539" s="351"/>
      <c r="H539" s="351"/>
      <c r="I539" s="262"/>
      <c r="J539" s="351"/>
      <c r="K539" s="351"/>
      <c r="L539" s="351"/>
      <c r="M539" s="351"/>
      <c r="N539" s="351"/>
      <c r="O539" s="351"/>
      <c r="P539" s="261">
        <v>46.25</v>
      </c>
      <c r="Q539" s="260">
        <v>100</v>
      </c>
      <c r="R539" s="260" t="s">
        <v>20</v>
      </c>
      <c r="S539" s="260">
        <v>2006</v>
      </c>
      <c r="T539" s="260" t="s">
        <v>161</v>
      </c>
      <c r="U539" s="386">
        <v>42653</v>
      </c>
      <c r="V539" s="387"/>
      <c r="W539" s="354">
        <f>COUNT(RawMaterials[[#This Row],[Lab Quantity 1]:[Lab Quantity 4]])</f>
        <v>0</v>
      </c>
      <c r="X53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9" s="392" t="e">
        <f>RawMaterials[[#This Row],[Lab Price 1]]/RawMaterials[[#This Row],[Lab Q Model Units 1]]</f>
        <v>#N/A</v>
      </c>
      <c r="AC539" s="392" t="e">
        <f>RawMaterials[[#This Row],[Lab Price 2]]/RawMaterials[[#This Row],[Lab Q Model Units 2]]</f>
        <v>#N/A</v>
      </c>
      <c r="AD539" s="392" t="e">
        <f>RawMaterials[[#This Row],[Lab Price 3]]/RawMaterials[[#This Row],[Lab Q Model Units 3]]</f>
        <v>#N/A</v>
      </c>
      <c r="AE539" s="392" t="e">
        <f>RawMaterials[[#This Row],[Lab Price 4]]/RawMaterials[[#This Row],[Lab Q Model Units 4]]</f>
        <v>#N/A</v>
      </c>
      <c r="AF539" s="392" t="str">
        <f ca="1">IF(RawMaterials[[#This Row],[Lab Quote Count]]&gt;1,SLOPE(LOG(INDIRECT("RawMaterials[@[Lab Unit P 1]:[Lab Unit P "&amp;RawMaterials[[#This Row],[Lab Quote Count]]&amp;"]]")),LOG(INDIRECT("RawMaterials[@[Lab Q Model Units 1]:[Lab Q Model Units "&amp;RawMaterials[[#This Row],[Lab Quote Count]]&amp;"]]"))),"")</f>
        <v/>
      </c>
      <c r="AG539" s="392" t="str">
        <f ca="1">IF(RawMaterials[[#This Row],[Lab Quote Count]]&gt;1,INTERCEPT(LOG(INDIRECT("RawMaterials[@[Lab Unit P 1]:[Lab Unit P "&amp;RawMaterials[[#This Row],[Lab Quote Count]]&amp;"]]")),LOG(INDIRECT("RawMaterials[@[Lab Q Model Units 1]:[Lab Q Model Units "&amp;RawMaterials[[#This Row],[Lab Quote Count]]&amp;"]]"))),"")</f>
        <v/>
      </c>
      <c r="AH539" s="393" t="str">
        <f>IF(RawMaterials[[#This Row],[Material Type]]="Metal Precursor","D13",IF(RawMaterials[[#This Row],[Material Type]]="Ligand","D13","D12"))</f>
        <v>D12</v>
      </c>
      <c r="AI539" s="394" t="str">
        <f ca="1">IF(RawMaterials[[#This Row],[Lab Quote Count]]&gt;1,10^RawMaterials[[#This Row],[Lab Log-Log Intercept]]*INDIRECT(RawMaterials[[#This Row],[Basis Cell]])^RawMaterials[[#This Row],[Lab Log-Log Slope]],"&gt;&gt;&gt; Enter 2 or more lab quotes &lt;&lt;&lt;")</f>
        <v>&gt;&gt;&gt; Enter 2 or more lab quotes &lt;&lt;&lt;</v>
      </c>
      <c r="AJ53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1.0196379626050589</v>
      </c>
      <c r="AL539" s="396">
        <f>IF(ISTEXT(RawMaterials[[#This Row],[Unit price in quote year]]),"Check calcs",RawMaterials[[#This Row],[Unit price in quote year]]/VLOOKUP(RawMaterials[[#This Row],[Quote Year]],ChemPPI[],14,FALSE)*VLOOKUP(BasisYear,ChemPPI[],14,FALSE))</f>
        <v>1.3838683933526994</v>
      </c>
      <c r="AM539" s="397" t="str">
        <f t="shared" si="8"/>
        <v>$/kg (2016)</v>
      </c>
    </row>
    <row r="540" spans="1:39">
      <c r="A540" s="259" t="s">
        <v>1624</v>
      </c>
      <c r="B540" s="260"/>
      <c r="C540" s="351"/>
      <c r="D540" s="351"/>
      <c r="E540" s="260">
        <v>100</v>
      </c>
      <c r="F540" s="260"/>
      <c r="G540" s="351"/>
      <c r="H540" s="351"/>
      <c r="I540" s="262"/>
      <c r="J540" s="351"/>
      <c r="K540" s="351"/>
      <c r="L540" s="351"/>
      <c r="M540" s="351"/>
      <c r="N540" s="351"/>
      <c r="O540" s="351"/>
      <c r="P540" s="261">
        <v>0.34499999999999997</v>
      </c>
      <c r="Q540" s="260">
        <v>100</v>
      </c>
      <c r="R540" s="260" t="s">
        <v>20</v>
      </c>
      <c r="S540" s="260">
        <v>2006</v>
      </c>
      <c r="T540" s="260" t="s">
        <v>161</v>
      </c>
      <c r="U540" s="386">
        <v>42653</v>
      </c>
      <c r="V540" s="387"/>
      <c r="W540" s="354">
        <f>COUNT(RawMaterials[[#This Row],[Lab Quantity 1]:[Lab Quantity 4]])</f>
        <v>0</v>
      </c>
      <c r="X54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0" s="392" t="e">
        <f>RawMaterials[[#This Row],[Lab Price 1]]/RawMaterials[[#This Row],[Lab Q Model Units 1]]</f>
        <v>#N/A</v>
      </c>
      <c r="AC540" s="392" t="e">
        <f>RawMaterials[[#This Row],[Lab Price 2]]/RawMaterials[[#This Row],[Lab Q Model Units 2]]</f>
        <v>#N/A</v>
      </c>
      <c r="AD540" s="392" t="e">
        <f>RawMaterials[[#This Row],[Lab Price 3]]/RawMaterials[[#This Row],[Lab Q Model Units 3]]</f>
        <v>#N/A</v>
      </c>
      <c r="AE540" s="392" t="e">
        <f>RawMaterials[[#This Row],[Lab Price 4]]/RawMaterials[[#This Row],[Lab Q Model Units 4]]</f>
        <v>#N/A</v>
      </c>
      <c r="AF540" s="392" t="str">
        <f ca="1">IF(RawMaterials[[#This Row],[Lab Quote Count]]&gt;1,SLOPE(LOG(INDIRECT("RawMaterials[@[Lab Unit P 1]:[Lab Unit P "&amp;RawMaterials[[#This Row],[Lab Quote Count]]&amp;"]]")),LOG(INDIRECT("RawMaterials[@[Lab Q Model Units 1]:[Lab Q Model Units "&amp;RawMaterials[[#This Row],[Lab Quote Count]]&amp;"]]"))),"")</f>
        <v/>
      </c>
      <c r="AG540" s="392" t="str">
        <f ca="1">IF(RawMaterials[[#This Row],[Lab Quote Count]]&gt;1,INTERCEPT(LOG(INDIRECT("RawMaterials[@[Lab Unit P 1]:[Lab Unit P "&amp;RawMaterials[[#This Row],[Lab Quote Count]]&amp;"]]")),LOG(INDIRECT("RawMaterials[@[Lab Q Model Units 1]:[Lab Q Model Units "&amp;RawMaterials[[#This Row],[Lab Quote Count]]&amp;"]]"))),"")</f>
        <v/>
      </c>
      <c r="AH540" s="393" t="str">
        <f>IF(RawMaterials[[#This Row],[Material Type]]="Metal Precursor","D13",IF(RawMaterials[[#This Row],[Material Type]]="Ligand","D13","D12"))</f>
        <v>D12</v>
      </c>
      <c r="AI540" s="394" t="str">
        <f ca="1">IF(RawMaterials[[#This Row],[Lab Quote Count]]&gt;1,10^RawMaterials[[#This Row],[Lab Log-Log Intercept]]*INDIRECT(RawMaterials[[#This Row],[Basis Cell]])^RawMaterials[[#This Row],[Lab Log-Log Slope]],"&gt;&gt;&gt; Enter 2 or more lab quotes &lt;&lt;&lt;")</f>
        <v>&gt;&gt;&gt; Enter 2 or more lab quotes &lt;&lt;&lt;</v>
      </c>
      <c r="AJ54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4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7.6059480453782762E-3</v>
      </c>
      <c r="AL540" s="396">
        <f>IF(ISTEXT(RawMaterials[[#This Row],[Unit price in quote year]]),"Check calcs",RawMaterials[[#This Row],[Unit price in quote year]]/VLOOKUP(RawMaterials[[#This Row],[Quote Year]],ChemPPI[],14,FALSE)*VLOOKUP(BasisYear,ChemPPI[],14,FALSE))</f>
        <v>1.0322910177441759E-2</v>
      </c>
      <c r="AM540" s="397" t="str">
        <f t="shared" si="8"/>
        <v>$/kg (2016)</v>
      </c>
    </row>
    <row r="541" spans="1:39">
      <c r="A541" s="259" t="s">
        <v>1625</v>
      </c>
      <c r="B541" s="260"/>
      <c r="C541" s="351"/>
      <c r="D541" s="351"/>
      <c r="E541" s="260">
        <v>100</v>
      </c>
      <c r="F541" s="260"/>
      <c r="G541" s="351"/>
      <c r="H541" s="351"/>
      <c r="I541" s="262"/>
      <c r="J541" s="351"/>
      <c r="K541" s="351"/>
      <c r="L541" s="351"/>
      <c r="M541" s="351"/>
      <c r="N541" s="351"/>
      <c r="O541" s="351"/>
      <c r="P541" s="261">
        <v>55</v>
      </c>
      <c r="Q541" s="260">
        <v>1</v>
      </c>
      <c r="R541" s="260" t="s">
        <v>20</v>
      </c>
      <c r="S541" s="260">
        <v>2006</v>
      </c>
      <c r="T541" s="260" t="s">
        <v>161</v>
      </c>
      <c r="U541" s="386">
        <v>42653</v>
      </c>
      <c r="V541" s="387"/>
      <c r="W541" s="354">
        <f>COUNT(RawMaterials[[#This Row],[Lab Quantity 1]:[Lab Quantity 4]])</f>
        <v>0</v>
      </c>
      <c r="X54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1" s="392" t="e">
        <f>RawMaterials[[#This Row],[Lab Price 1]]/RawMaterials[[#This Row],[Lab Q Model Units 1]]</f>
        <v>#N/A</v>
      </c>
      <c r="AC541" s="392" t="e">
        <f>RawMaterials[[#This Row],[Lab Price 2]]/RawMaterials[[#This Row],[Lab Q Model Units 2]]</f>
        <v>#N/A</v>
      </c>
      <c r="AD541" s="392" t="e">
        <f>RawMaterials[[#This Row],[Lab Price 3]]/RawMaterials[[#This Row],[Lab Q Model Units 3]]</f>
        <v>#N/A</v>
      </c>
      <c r="AE541" s="392" t="e">
        <f>RawMaterials[[#This Row],[Lab Price 4]]/RawMaterials[[#This Row],[Lab Q Model Units 4]]</f>
        <v>#N/A</v>
      </c>
      <c r="AF541" s="392" t="str">
        <f ca="1">IF(RawMaterials[[#This Row],[Lab Quote Count]]&gt;1,SLOPE(LOG(INDIRECT("RawMaterials[@[Lab Unit P 1]:[Lab Unit P "&amp;RawMaterials[[#This Row],[Lab Quote Count]]&amp;"]]")),LOG(INDIRECT("RawMaterials[@[Lab Q Model Units 1]:[Lab Q Model Units "&amp;RawMaterials[[#This Row],[Lab Quote Count]]&amp;"]]"))),"")</f>
        <v/>
      </c>
      <c r="AG541" s="392" t="str">
        <f ca="1">IF(RawMaterials[[#This Row],[Lab Quote Count]]&gt;1,INTERCEPT(LOG(INDIRECT("RawMaterials[@[Lab Unit P 1]:[Lab Unit P "&amp;RawMaterials[[#This Row],[Lab Quote Count]]&amp;"]]")),LOG(INDIRECT("RawMaterials[@[Lab Q Model Units 1]:[Lab Q Model Units "&amp;RawMaterials[[#This Row],[Lab Quote Count]]&amp;"]]"))),"")</f>
        <v/>
      </c>
      <c r="AH541" s="393" t="str">
        <f>IF(RawMaterials[[#This Row],[Material Type]]="Metal Precursor","D13",IF(RawMaterials[[#This Row],[Material Type]]="Ligand","D13","D12"))</f>
        <v>D12</v>
      </c>
      <c r="AI541" s="394" t="str">
        <f ca="1">IF(RawMaterials[[#This Row],[Lab Quote Count]]&gt;1,10^RawMaterials[[#This Row],[Lab Log-Log Intercept]]*INDIRECT(RawMaterials[[#This Row],[Basis Cell]])^RawMaterials[[#This Row],[Lab Log-Log Slope]],"&gt;&gt;&gt; Enter 2 or more lab quotes &lt;&lt;&lt;")</f>
        <v>&gt;&gt;&gt; Enter 2 or more lab quotes &lt;&lt;&lt;</v>
      </c>
      <c r="AJ54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121.25424420168267</v>
      </c>
      <c r="AL541" s="396">
        <f>IF(ISTEXT(RawMaterials[[#This Row],[Unit price in quote year]]),"Check calcs",RawMaterials[[#This Row],[Unit price in quote year]]/VLOOKUP(RawMaterials[[#This Row],[Quote Year]],ChemPPI[],14,FALSE)*VLOOKUP(BasisYear,ChemPPI[],14,FALSE))</f>
        <v>164.56813326356425</v>
      </c>
      <c r="AM541" s="397" t="str">
        <f t="shared" si="8"/>
        <v>$/kg (2016)</v>
      </c>
    </row>
    <row r="542" spans="1:39">
      <c r="A542" s="259" t="s">
        <v>1626</v>
      </c>
      <c r="B542" s="260"/>
      <c r="C542" s="351"/>
      <c r="D542" s="351"/>
      <c r="E542" s="260">
        <v>100</v>
      </c>
      <c r="F542" s="260"/>
      <c r="G542" s="351"/>
      <c r="H542" s="351"/>
      <c r="I542" s="262"/>
      <c r="J542" s="351"/>
      <c r="K542" s="351"/>
      <c r="L542" s="351"/>
      <c r="M542" s="351"/>
      <c r="N542" s="351"/>
      <c r="O542" s="351"/>
      <c r="P542" s="261">
        <v>4.4000000000000004</v>
      </c>
      <c r="Q542" s="260">
        <v>1</v>
      </c>
      <c r="R542" s="260" t="s">
        <v>20</v>
      </c>
      <c r="S542" s="260">
        <v>2008</v>
      </c>
      <c r="T542" s="260" t="s">
        <v>161</v>
      </c>
      <c r="U542" s="386">
        <v>42653</v>
      </c>
      <c r="V542" s="387"/>
      <c r="W542" s="354">
        <f>COUNT(RawMaterials[[#This Row],[Lab Quantity 1]:[Lab Quantity 4]])</f>
        <v>0</v>
      </c>
      <c r="X54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2" s="392" t="e">
        <f>RawMaterials[[#This Row],[Lab Price 1]]/RawMaterials[[#This Row],[Lab Q Model Units 1]]</f>
        <v>#N/A</v>
      </c>
      <c r="AC542" s="392" t="e">
        <f>RawMaterials[[#This Row],[Lab Price 2]]/RawMaterials[[#This Row],[Lab Q Model Units 2]]</f>
        <v>#N/A</v>
      </c>
      <c r="AD542" s="392" t="e">
        <f>RawMaterials[[#This Row],[Lab Price 3]]/RawMaterials[[#This Row],[Lab Q Model Units 3]]</f>
        <v>#N/A</v>
      </c>
      <c r="AE542" s="392" t="e">
        <f>RawMaterials[[#This Row],[Lab Price 4]]/RawMaterials[[#This Row],[Lab Q Model Units 4]]</f>
        <v>#N/A</v>
      </c>
      <c r="AF542" s="392" t="str">
        <f ca="1">IF(RawMaterials[[#This Row],[Lab Quote Count]]&gt;1,SLOPE(LOG(INDIRECT("RawMaterials[@[Lab Unit P 1]:[Lab Unit P "&amp;RawMaterials[[#This Row],[Lab Quote Count]]&amp;"]]")),LOG(INDIRECT("RawMaterials[@[Lab Q Model Units 1]:[Lab Q Model Units "&amp;RawMaterials[[#This Row],[Lab Quote Count]]&amp;"]]"))),"")</f>
        <v/>
      </c>
      <c r="AG542" s="392" t="str">
        <f ca="1">IF(RawMaterials[[#This Row],[Lab Quote Count]]&gt;1,INTERCEPT(LOG(INDIRECT("RawMaterials[@[Lab Unit P 1]:[Lab Unit P "&amp;RawMaterials[[#This Row],[Lab Quote Count]]&amp;"]]")),LOG(INDIRECT("RawMaterials[@[Lab Q Model Units 1]:[Lab Q Model Units "&amp;RawMaterials[[#This Row],[Lab Quote Count]]&amp;"]]"))),"")</f>
        <v/>
      </c>
      <c r="AH542" s="393" t="str">
        <f>IF(RawMaterials[[#This Row],[Material Type]]="Metal Precursor","D13",IF(RawMaterials[[#This Row],[Material Type]]="Ligand","D13","D12"))</f>
        <v>D12</v>
      </c>
      <c r="AI542" s="394" t="str">
        <f ca="1">IF(RawMaterials[[#This Row],[Lab Quote Count]]&gt;1,10^RawMaterials[[#This Row],[Lab Log-Log Intercept]]*INDIRECT(RawMaterials[[#This Row],[Basis Cell]])^RawMaterials[[#This Row],[Lab Log-Log Slope]],"&gt;&gt;&gt; Enter 2 or more lab quotes &lt;&lt;&lt;")</f>
        <v>&gt;&gt;&gt; Enter 2 or more lab quotes &lt;&lt;&lt;</v>
      </c>
      <c r="AJ54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9.7003395361346136</v>
      </c>
      <c r="AL542" s="396">
        <f>IF(ISTEXT(RawMaterials[[#This Row],[Unit price in quote year]]),"Check calcs",RawMaterials[[#This Row],[Unit price in quote year]]/VLOOKUP(RawMaterials[[#This Row],[Quote Year]],ChemPPI[],14,FALSE)*VLOOKUP(BasisYear,ChemPPI[],14,FALSE))</f>
        <v>11.353488508752479</v>
      </c>
      <c r="AM542" s="397" t="str">
        <f t="shared" si="8"/>
        <v>$/kg (2016)</v>
      </c>
    </row>
    <row r="543" spans="1:39">
      <c r="A543" s="259" t="s">
        <v>1627</v>
      </c>
      <c r="B543" s="260"/>
      <c r="C543" s="351"/>
      <c r="D543" s="351"/>
      <c r="E543" s="260">
        <v>100</v>
      </c>
      <c r="F543" s="260"/>
      <c r="G543" s="351"/>
      <c r="H543" s="351"/>
      <c r="I543" s="262"/>
      <c r="J543" s="351"/>
      <c r="K543" s="351"/>
      <c r="L543" s="351"/>
      <c r="M543" s="351"/>
      <c r="N543" s="351"/>
      <c r="O543" s="351"/>
      <c r="P543" s="261">
        <v>0.8</v>
      </c>
      <c r="Q543" s="260">
        <v>1</v>
      </c>
      <c r="R543" s="260" t="s">
        <v>20</v>
      </c>
      <c r="S543" s="260">
        <v>2008</v>
      </c>
      <c r="T543" s="260" t="s">
        <v>161</v>
      </c>
      <c r="U543" s="386">
        <v>42653</v>
      </c>
      <c r="V543" s="387"/>
      <c r="W543" s="354">
        <f>COUNT(RawMaterials[[#This Row],[Lab Quantity 1]:[Lab Quantity 4]])</f>
        <v>0</v>
      </c>
      <c r="X54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3" s="392" t="e">
        <f>RawMaterials[[#This Row],[Lab Price 1]]/RawMaterials[[#This Row],[Lab Q Model Units 1]]</f>
        <v>#N/A</v>
      </c>
      <c r="AC543" s="392" t="e">
        <f>RawMaterials[[#This Row],[Lab Price 2]]/RawMaterials[[#This Row],[Lab Q Model Units 2]]</f>
        <v>#N/A</v>
      </c>
      <c r="AD543" s="392" t="e">
        <f>RawMaterials[[#This Row],[Lab Price 3]]/RawMaterials[[#This Row],[Lab Q Model Units 3]]</f>
        <v>#N/A</v>
      </c>
      <c r="AE543" s="392" t="e">
        <f>RawMaterials[[#This Row],[Lab Price 4]]/RawMaterials[[#This Row],[Lab Q Model Units 4]]</f>
        <v>#N/A</v>
      </c>
      <c r="AF543" s="392" t="str">
        <f ca="1">IF(RawMaterials[[#This Row],[Lab Quote Count]]&gt;1,SLOPE(LOG(INDIRECT("RawMaterials[@[Lab Unit P 1]:[Lab Unit P "&amp;RawMaterials[[#This Row],[Lab Quote Count]]&amp;"]]")),LOG(INDIRECT("RawMaterials[@[Lab Q Model Units 1]:[Lab Q Model Units "&amp;RawMaterials[[#This Row],[Lab Quote Count]]&amp;"]]"))),"")</f>
        <v/>
      </c>
      <c r="AG543" s="392" t="str">
        <f ca="1">IF(RawMaterials[[#This Row],[Lab Quote Count]]&gt;1,INTERCEPT(LOG(INDIRECT("RawMaterials[@[Lab Unit P 1]:[Lab Unit P "&amp;RawMaterials[[#This Row],[Lab Quote Count]]&amp;"]]")),LOG(INDIRECT("RawMaterials[@[Lab Q Model Units 1]:[Lab Q Model Units "&amp;RawMaterials[[#This Row],[Lab Quote Count]]&amp;"]]"))),"")</f>
        <v/>
      </c>
      <c r="AH543" s="393" t="str">
        <f>IF(RawMaterials[[#This Row],[Material Type]]="Metal Precursor","D13",IF(RawMaterials[[#This Row],[Material Type]]="Ligand","D13","D12"))</f>
        <v>D12</v>
      </c>
      <c r="AI543" s="394" t="str">
        <f ca="1">IF(RawMaterials[[#This Row],[Lab Quote Count]]&gt;1,10^RawMaterials[[#This Row],[Lab Log-Log Intercept]]*INDIRECT(RawMaterials[[#This Row],[Basis Cell]])^RawMaterials[[#This Row],[Lab Log-Log Slope]],"&gt;&gt;&gt; Enter 2 or more lab quotes &lt;&lt;&lt;")</f>
        <v>&gt;&gt;&gt; Enter 2 or more lab quotes &lt;&lt;&lt;</v>
      </c>
      <c r="AJ54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1.7636980974790206</v>
      </c>
      <c r="AL543" s="396">
        <f>IF(ISTEXT(RawMaterials[[#This Row],[Unit price in quote year]]),"Check calcs",RawMaterials[[#This Row],[Unit price in quote year]]/VLOOKUP(RawMaterials[[#This Row],[Quote Year]],ChemPPI[],14,FALSE)*VLOOKUP(BasisYear,ChemPPI[],14,FALSE))</f>
        <v>2.0642706379549964</v>
      </c>
      <c r="AM543" s="397" t="str">
        <f t="shared" si="8"/>
        <v>$/kg (2016)</v>
      </c>
    </row>
    <row r="544" spans="1:39">
      <c r="A544" s="259" t="s">
        <v>1628</v>
      </c>
      <c r="B544" s="260"/>
      <c r="C544" s="351"/>
      <c r="D544" s="351"/>
      <c r="E544" s="260">
        <v>100</v>
      </c>
      <c r="F544" s="260"/>
      <c r="G544" s="351"/>
      <c r="H544" s="351"/>
      <c r="I544" s="262"/>
      <c r="J544" s="351"/>
      <c r="K544" s="351"/>
      <c r="L544" s="351"/>
      <c r="M544" s="351"/>
      <c r="N544" s="351"/>
      <c r="O544" s="351"/>
      <c r="P544" s="261">
        <v>0.28999999999999998</v>
      </c>
      <c r="Q544" s="260">
        <v>1</v>
      </c>
      <c r="R544" s="260" t="s">
        <v>20</v>
      </c>
      <c r="S544" s="260">
        <v>2008</v>
      </c>
      <c r="T544" s="260" t="s">
        <v>161</v>
      </c>
      <c r="U544" s="386">
        <v>42653</v>
      </c>
      <c r="V544" s="387"/>
      <c r="W544" s="354">
        <f>COUNT(RawMaterials[[#This Row],[Lab Quantity 1]:[Lab Quantity 4]])</f>
        <v>0</v>
      </c>
      <c r="X54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4" s="392" t="e">
        <f>RawMaterials[[#This Row],[Lab Price 1]]/RawMaterials[[#This Row],[Lab Q Model Units 1]]</f>
        <v>#N/A</v>
      </c>
      <c r="AC544" s="392" t="e">
        <f>RawMaterials[[#This Row],[Lab Price 2]]/RawMaterials[[#This Row],[Lab Q Model Units 2]]</f>
        <v>#N/A</v>
      </c>
      <c r="AD544" s="392" t="e">
        <f>RawMaterials[[#This Row],[Lab Price 3]]/RawMaterials[[#This Row],[Lab Q Model Units 3]]</f>
        <v>#N/A</v>
      </c>
      <c r="AE544" s="392" t="e">
        <f>RawMaterials[[#This Row],[Lab Price 4]]/RawMaterials[[#This Row],[Lab Q Model Units 4]]</f>
        <v>#N/A</v>
      </c>
      <c r="AF544" s="392" t="str">
        <f ca="1">IF(RawMaterials[[#This Row],[Lab Quote Count]]&gt;1,SLOPE(LOG(INDIRECT("RawMaterials[@[Lab Unit P 1]:[Lab Unit P "&amp;RawMaterials[[#This Row],[Lab Quote Count]]&amp;"]]")),LOG(INDIRECT("RawMaterials[@[Lab Q Model Units 1]:[Lab Q Model Units "&amp;RawMaterials[[#This Row],[Lab Quote Count]]&amp;"]]"))),"")</f>
        <v/>
      </c>
      <c r="AG544" s="392" t="str">
        <f ca="1">IF(RawMaterials[[#This Row],[Lab Quote Count]]&gt;1,INTERCEPT(LOG(INDIRECT("RawMaterials[@[Lab Unit P 1]:[Lab Unit P "&amp;RawMaterials[[#This Row],[Lab Quote Count]]&amp;"]]")),LOG(INDIRECT("RawMaterials[@[Lab Q Model Units 1]:[Lab Q Model Units "&amp;RawMaterials[[#This Row],[Lab Quote Count]]&amp;"]]"))),"")</f>
        <v/>
      </c>
      <c r="AH544" s="393" t="str">
        <f>IF(RawMaterials[[#This Row],[Material Type]]="Metal Precursor","D13",IF(RawMaterials[[#This Row],[Material Type]]="Ligand","D13","D12"))</f>
        <v>D12</v>
      </c>
      <c r="AI544" s="394" t="str">
        <f ca="1">IF(RawMaterials[[#This Row],[Lab Quote Count]]&gt;1,10^RawMaterials[[#This Row],[Lab Log-Log Intercept]]*INDIRECT(RawMaterials[[#This Row],[Basis Cell]])^RawMaterials[[#This Row],[Lab Log-Log Slope]],"&gt;&gt;&gt; Enter 2 or more lab quotes &lt;&lt;&lt;")</f>
        <v>&gt;&gt;&gt; Enter 2 or more lab quotes &lt;&lt;&lt;</v>
      </c>
      <c r="AJ54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0.63934056033614495</v>
      </c>
      <c r="AL544" s="396">
        <f>IF(ISTEXT(RawMaterials[[#This Row],[Unit price in quote year]]),"Check calcs",RawMaterials[[#This Row],[Unit price in quote year]]/VLOOKUP(RawMaterials[[#This Row],[Quote Year]],ChemPPI[],14,FALSE)*VLOOKUP(BasisYear,ChemPPI[],14,FALSE))</f>
        <v>0.74829810625868609</v>
      </c>
      <c r="AM544" s="397" t="str">
        <f t="shared" si="8"/>
        <v>$/kg (2016)</v>
      </c>
    </row>
    <row r="545" spans="1:39">
      <c r="A545" s="259" t="s">
        <v>1629</v>
      </c>
      <c r="B545" s="260"/>
      <c r="C545" s="351"/>
      <c r="D545" s="351"/>
      <c r="E545" s="260">
        <v>100</v>
      </c>
      <c r="F545" s="260"/>
      <c r="G545" s="351"/>
      <c r="H545" s="351"/>
      <c r="I545" s="262"/>
      <c r="J545" s="351"/>
      <c r="K545" s="351"/>
      <c r="L545" s="351"/>
      <c r="M545" s="351"/>
      <c r="N545" s="351"/>
      <c r="O545" s="351"/>
      <c r="P545" s="261">
        <v>0.77</v>
      </c>
      <c r="Q545" s="260">
        <v>1</v>
      </c>
      <c r="R545" s="260" t="s">
        <v>20</v>
      </c>
      <c r="S545" s="260">
        <v>2008</v>
      </c>
      <c r="T545" s="260" t="s">
        <v>161</v>
      </c>
      <c r="U545" s="386">
        <v>42653</v>
      </c>
      <c r="V545" s="387"/>
      <c r="W545" s="354">
        <f>COUNT(RawMaterials[[#This Row],[Lab Quantity 1]:[Lab Quantity 4]])</f>
        <v>0</v>
      </c>
      <c r="X54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5" s="392" t="e">
        <f>RawMaterials[[#This Row],[Lab Price 1]]/RawMaterials[[#This Row],[Lab Q Model Units 1]]</f>
        <v>#N/A</v>
      </c>
      <c r="AC545" s="392" t="e">
        <f>RawMaterials[[#This Row],[Lab Price 2]]/RawMaterials[[#This Row],[Lab Q Model Units 2]]</f>
        <v>#N/A</v>
      </c>
      <c r="AD545" s="392" t="e">
        <f>RawMaterials[[#This Row],[Lab Price 3]]/RawMaterials[[#This Row],[Lab Q Model Units 3]]</f>
        <v>#N/A</v>
      </c>
      <c r="AE545" s="392" t="e">
        <f>RawMaterials[[#This Row],[Lab Price 4]]/RawMaterials[[#This Row],[Lab Q Model Units 4]]</f>
        <v>#N/A</v>
      </c>
      <c r="AF545" s="392" t="str">
        <f ca="1">IF(RawMaterials[[#This Row],[Lab Quote Count]]&gt;1,SLOPE(LOG(INDIRECT("RawMaterials[@[Lab Unit P 1]:[Lab Unit P "&amp;RawMaterials[[#This Row],[Lab Quote Count]]&amp;"]]")),LOG(INDIRECT("RawMaterials[@[Lab Q Model Units 1]:[Lab Q Model Units "&amp;RawMaterials[[#This Row],[Lab Quote Count]]&amp;"]]"))),"")</f>
        <v/>
      </c>
      <c r="AG545" s="392" t="str">
        <f ca="1">IF(RawMaterials[[#This Row],[Lab Quote Count]]&gt;1,INTERCEPT(LOG(INDIRECT("RawMaterials[@[Lab Unit P 1]:[Lab Unit P "&amp;RawMaterials[[#This Row],[Lab Quote Count]]&amp;"]]")),LOG(INDIRECT("RawMaterials[@[Lab Q Model Units 1]:[Lab Q Model Units "&amp;RawMaterials[[#This Row],[Lab Quote Count]]&amp;"]]"))),"")</f>
        <v/>
      </c>
      <c r="AH545" s="393" t="str">
        <f>IF(RawMaterials[[#This Row],[Material Type]]="Metal Precursor","D13",IF(RawMaterials[[#This Row],[Material Type]]="Ligand","D13","D12"))</f>
        <v>D12</v>
      </c>
      <c r="AI545" s="394" t="str">
        <f ca="1">IF(RawMaterials[[#This Row],[Lab Quote Count]]&gt;1,10^RawMaterials[[#This Row],[Lab Log-Log Intercept]]*INDIRECT(RawMaterials[[#This Row],[Basis Cell]])^RawMaterials[[#This Row],[Lab Log-Log Slope]],"&gt;&gt;&gt; Enter 2 or more lab quotes &lt;&lt;&lt;")</f>
        <v>&gt;&gt;&gt; Enter 2 or more lab quotes &lt;&lt;&lt;</v>
      </c>
      <c r="AJ54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1.6975594188235574</v>
      </c>
      <c r="AL545" s="396">
        <f>IF(ISTEXT(RawMaterials[[#This Row],[Unit price in quote year]]),"Check calcs",RawMaterials[[#This Row],[Unit price in quote year]]/VLOOKUP(RawMaterials[[#This Row],[Quote Year]],ChemPPI[],14,FALSE)*VLOOKUP(BasisYear,ChemPPI[],14,FALSE))</f>
        <v>1.9868604890316839</v>
      </c>
      <c r="AM545" s="397" t="str">
        <f t="shared" si="8"/>
        <v>$/kg (2016)</v>
      </c>
    </row>
    <row r="546" spans="1:39">
      <c r="A546" s="259" t="s">
        <v>1630</v>
      </c>
      <c r="B546" s="260"/>
      <c r="C546" s="351"/>
      <c r="D546" s="351"/>
      <c r="E546" s="260">
        <v>100</v>
      </c>
      <c r="F546" s="260"/>
      <c r="G546" s="351"/>
      <c r="H546" s="351"/>
      <c r="I546" s="262"/>
      <c r="J546" s="351"/>
      <c r="K546" s="351"/>
      <c r="L546" s="351"/>
      <c r="M546" s="351"/>
      <c r="N546" s="351"/>
      <c r="O546" s="351"/>
      <c r="P546" s="261">
        <v>0.28000000000000003</v>
      </c>
      <c r="Q546" s="260">
        <v>1</v>
      </c>
      <c r="R546" s="260" t="s">
        <v>20</v>
      </c>
      <c r="S546" s="260">
        <v>2006</v>
      </c>
      <c r="T546" s="260" t="s">
        <v>161</v>
      </c>
      <c r="U546" s="386">
        <v>42653</v>
      </c>
      <c r="V546" s="387"/>
      <c r="W546" s="354">
        <f>COUNT(RawMaterials[[#This Row],[Lab Quantity 1]:[Lab Quantity 4]])</f>
        <v>0</v>
      </c>
      <c r="X54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6" s="392" t="e">
        <f>RawMaterials[[#This Row],[Lab Price 1]]/RawMaterials[[#This Row],[Lab Q Model Units 1]]</f>
        <v>#N/A</v>
      </c>
      <c r="AC546" s="392" t="e">
        <f>RawMaterials[[#This Row],[Lab Price 2]]/RawMaterials[[#This Row],[Lab Q Model Units 2]]</f>
        <v>#N/A</v>
      </c>
      <c r="AD546" s="392" t="e">
        <f>RawMaterials[[#This Row],[Lab Price 3]]/RawMaterials[[#This Row],[Lab Q Model Units 3]]</f>
        <v>#N/A</v>
      </c>
      <c r="AE546" s="392" t="e">
        <f>RawMaterials[[#This Row],[Lab Price 4]]/RawMaterials[[#This Row],[Lab Q Model Units 4]]</f>
        <v>#N/A</v>
      </c>
      <c r="AF546" s="392" t="str">
        <f ca="1">IF(RawMaterials[[#This Row],[Lab Quote Count]]&gt;1,SLOPE(LOG(INDIRECT("RawMaterials[@[Lab Unit P 1]:[Lab Unit P "&amp;RawMaterials[[#This Row],[Lab Quote Count]]&amp;"]]")),LOG(INDIRECT("RawMaterials[@[Lab Q Model Units 1]:[Lab Q Model Units "&amp;RawMaterials[[#This Row],[Lab Quote Count]]&amp;"]]"))),"")</f>
        <v/>
      </c>
      <c r="AG546" s="392" t="str">
        <f ca="1">IF(RawMaterials[[#This Row],[Lab Quote Count]]&gt;1,INTERCEPT(LOG(INDIRECT("RawMaterials[@[Lab Unit P 1]:[Lab Unit P "&amp;RawMaterials[[#This Row],[Lab Quote Count]]&amp;"]]")),LOG(INDIRECT("RawMaterials[@[Lab Q Model Units 1]:[Lab Q Model Units "&amp;RawMaterials[[#This Row],[Lab Quote Count]]&amp;"]]"))),"")</f>
        <v/>
      </c>
      <c r="AH546" s="393" t="str">
        <f>IF(RawMaterials[[#This Row],[Material Type]]="Metal Precursor","D13",IF(RawMaterials[[#This Row],[Material Type]]="Ligand","D13","D12"))</f>
        <v>D12</v>
      </c>
      <c r="AI546" s="394" t="str">
        <f ca="1">IF(RawMaterials[[#This Row],[Lab Quote Count]]&gt;1,10^RawMaterials[[#This Row],[Lab Log-Log Intercept]]*INDIRECT(RawMaterials[[#This Row],[Basis Cell]])^RawMaterials[[#This Row],[Lab Log-Log Slope]],"&gt;&gt;&gt; Enter 2 or more lab quotes &lt;&lt;&lt;")</f>
        <v>&gt;&gt;&gt; Enter 2 or more lab quotes &lt;&lt;&lt;</v>
      </c>
      <c r="AJ54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0.61729433411765722</v>
      </c>
      <c r="AL546" s="396">
        <f>IF(ISTEXT(RawMaterials[[#This Row],[Unit price in quote year]]),"Check calcs",RawMaterials[[#This Row],[Unit price in quote year]]/VLOOKUP(RawMaterials[[#This Row],[Quote Year]],ChemPPI[],14,FALSE)*VLOOKUP(BasisYear,ChemPPI[],14,FALSE))</f>
        <v>0.83780140570541806</v>
      </c>
      <c r="AM546" s="397" t="str">
        <f t="shared" si="8"/>
        <v>$/kg (2016)</v>
      </c>
    </row>
    <row r="547" spans="1:39">
      <c r="A547" s="259" t="s">
        <v>1631</v>
      </c>
      <c r="B547" s="260"/>
      <c r="C547" s="351"/>
      <c r="D547" s="351"/>
      <c r="E547" s="260">
        <v>100</v>
      </c>
      <c r="F547" s="260"/>
      <c r="G547" s="351"/>
      <c r="H547" s="351"/>
      <c r="I547" s="262"/>
      <c r="J547" s="351"/>
      <c r="K547" s="351"/>
      <c r="L547" s="351"/>
      <c r="M547" s="351"/>
      <c r="N547" s="351"/>
      <c r="O547" s="351"/>
      <c r="P547" s="261">
        <v>25</v>
      </c>
      <c r="Q547" s="260">
        <v>1</v>
      </c>
      <c r="R547" s="260" t="s">
        <v>71</v>
      </c>
      <c r="S547" s="260">
        <v>2006</v>
      </c>
      <c r="T547" s="260" t="s">
        <v>161</v>
      </c>
      <c r="U547" s="386">
        <v>42653</v>
      </c>
      <c r="V547" s="387"/>
      <c r="W547" s="354">
        <f>COUNT(RawMaterials[[#This Row],[Lab Quantity 1]:[Lab Quantity 4]])</f>
        <v>0</v>
      </c>
      <c r="X54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7" s="392" t="e">
        <f>RawMaterials[[#This Row],[Lab Price 1]]/RawMaterials[[#This Row],[Lab Q Model Units 1]]</f>
        <v>#N/A</v>
      </c>
      <c r="AC547" s="392" t="e">
        <f>RawMaterials[[#This Row],[Lab Price 2]]/RawMaterials[[#This Row],[Lab Q Model Units 2]]</f>
        <v>#N/A</v>
      </c>
      <c r="AD547" s="392" t="e">
        <f>RawMaterials[[#This Row],[Lab Price 3]]/RawMaterials[[#This Row],[Lab Q Model Units 3]]</f>
        <v>#N/A</v>
      </c>
      <c r="AE547" s="392" t="e">
        <f>RawMaterials[[#This Row],[Lab Price 4]]/RawMaterials[[#This Row],[Lab Q Model Units 4]]</f>
        <v>#N/A</v>
      </c>
      <c r="AF547" s="392" t="str">
        <f ca="1">IF(RawMaterials[[#This Row],[Lab Quote Count]]&gt;1,SLOPE(LOG(INDIRECT("RawMaterials[@[Lab Unit P 1]:[Lab Unit P "&amp;RawMaterials[[#This Row],[Lab Quote Count]]&amp;"]]")),LOG(INDIRECT("RawMaterials[@[Lab Q Model Units 1]:[Lab Q Model Units "&amp;RawMaterials[[#This Row],[Lab Quote Count]]&amp;"]]"))),"")</f>
        <v/>
      </c>
      <c r="AG547" s="392" t="str">
        <f ca="1">IF(RawMaterials[[#This Row],[Lab Quote Count]]&gt;1,INTERCEPT(LOG(INDIRECT("RawMaterials[@[Lab Unit P 1]:[Lab Unit P "&amp;RawMaterials[[#This Row],[Lab Quote Count]]&amp;"]]")),LOG(INDIRECT("RawMaterials[@[Lab Q Model Units 1]:[Lab Q Model Units "&amp;RawMaterials[[#This Row],[Lab Quote Count]]&amp;"]]"))),"")</f>
        <v/>
      </c>
      <c r="AH547" s="393" t="str">
        <f>IF(RawMaterials[[#This Row],[Material Type]]="Metal Precursor","D13",IF(RawMaterials[[#This Row],[Material Type]]="Ligand","D13","D12"))</f>
        <v>D12</v>
      </c>
      <c r="AI547" s="394" t="str">
        <f ca="1">IF(RawMaterials[[#This Row],[Lab Quote Count]]&gt;1,10^RawMaterials[[#This Row],[Lab Log-Log Intercept]]*INDIRECT(RawMaterials[[#This Row],[Basis Cell]])^RawMaterials[[#This Row],[Lab Log-Log Slope]],"&gt;&gt;&gt; Enter 2 or more lab quotes &lt;&lt;&lt;")</f>
        <v>&gt;&gt;&gt; Enter 2 or more lab quotes &lt;&lt;&lt;</v>
      </c>
      <c r="AJ54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25</v>
      </c>
      <c r="AL547" s="396">
        <f>IF(ISTEXT(RawMaterials[[#This Row],[Unit price in quote year]]),"Check calcs",RawMaterials[[#This Row],[Unit price in quote year]]/VLOOKUP(RawMaterials[[#This Row],[Quote Year]],ChemPPI[],14,FALSE)*VLOOKUP(BasisYear,ChemPPI[],14,FALSE))</f>
        <v>33.930386178861795</v>
      </c>
      <c r="AM547" s="397" t="str">
        <f t="shared" si="8"/>
        <v>$/kg (2016)</v>
      </c>
    </row>
    <row r="548" spans="1:39">
      <c r="A548" s="259" t="s">
        <v>1632</v>
      </c>
      <c r="B548" s="260"/>
      <c r="C548" s="351"/>
      <c r="D548" s="351"/>
      <c r="E548" s="260">
        <v>100</v>
      </c>
      <c r="F548" s="260"/>
      <c r="G548" s="351"/>
      <c r="H548" s="351"/>
      <c r="I548" s="262"/>
      <c r="J548" s="351"/>
      <c r="K548" s="351"/>
      <c r="L548" s="351"/>
      <c r="M548" s="351"/>
      <c r="N548" s="351"/>
      <c r="O548" s="351"/>
      <c r="P548" s="261">
        <v>25.5</v>
      </c>
      <c r="Q548" s="260">
        <v>1</v>
      </c>
      <c r="R548" s="260" t="s">
        <v>71</v>
      </c>
      <c r="S548" s="260">
        <v>2006</v>
      </c>
      <c r="T548" s="260" t="s">
        <v>161</v>
      </c>
      <c r="U548" s="386">
        <v>42653</v>
      </c>
      <c r="V548" s="387"/>
      <c r="W548" s="354">
        <f>COUNT(RawMaterials[[#This Row],[Lab Quantity 1]:[Lab Quantity 4]])</f>
        <v>0</v>
      </c>
      <c r="X54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8" s="392" t="e">
        <f>RawMaterials[[#This Row],[Lab Price 1]]/RawMaterials[[#This Row],[Lab Q Model Units 1]]</f>
        <v>#N/A</v>
      </c>
      <c r="AC548" s="392" t="e">
        <f>RawMaterials[[#This Row],[Lab Price 2]]/RawMaterials[[#This Row],[Lab Q Model Units 2]]</f>
        <v>#N/A</v>
      </c>
      <c r="AD548" s="392" t="e">
        <f>RawMaterials[[#This Row],[Lab Price 3]]/RawMaterials[[#This Row],[Lab Q Model Units 3]]</f>
        <v>#N/A</v>
      </c>
      <c r="AE548" s="392" t="e">
        <f>RawMaterials[[#This Row],[Lab Price 4]]/RawMaterials[[#This Row],[Lab Q Model Units 4]]</f>
        <v>#N/A</v>
      </c>
      <c r="AF548" s="392" t="str">
        <f ca="1">IF(RawMaterials[[#This Row],[Lab Quote Count]]&gt;1,SLOPE(LOG(INDIRECT("RawMaterials[@[Lab Unit P 1]:[Lab Unit P "&amp;RawMaterials[[#This Row],[Lab Quote Count]]&amp;"]]")),LOG(INDIRECT("RawMaterials[@[Lab Q Model Units 1]:[Lab Q Model Units "&amp;RawMaterials[[#This Row],[Lab Quote Count]]&amp;"]]"))),"")</f>
        <v/>
      </c>
      <c r="AG548" s="392" t="str">
        <f ca="1">IF(RawMaterials[[#This Row],[Lab Quote Count]]&gt;1,INTERCEPT(LOG(INDIRECT("RawMaterials[@[Lab Unit P 1]:[Lab Unit P "&amp;RawMaterials[[#This Row],[Lab Quote Count]]&amp;"]]")),LOG(INDIRECT("RawMaterials[@[Lab Q Model Units 1]:[Lab Q Model Units "&amp;RawMaterials[[#This Row],[Lab Quote Count]]&amp;"]]"))),"")</f>
        <v/>
      </c>
      <c r="AH548" s="393" t="str">
        <f>IF(RawMaterials[[#This Row],[Material Type]]="Metal Precursor","D13",IF(RawMaterials[[#This Row],[Material Type]]="Ligand","D13","D12"))</f>
        <v>D12</v>
      </c>
      <c r="AI548" s="394" t="str">
        <f ca="1">IF(RawMaterials[[#This Row],[Lab Quote Count]]&gt;1,10^RawMaterials[[#This Row],[Lab Log-Log Intercept]]*INDIRECT(RawMaterials[[#This Row],[Basis Cell]])^RawMaterials[[#This Row],[Lab Log-Log Slope]],"&gt;&gt;&gt; Enter 2 or more lab quotes &lt;&lt;&lt;")</f>
        <v>&gt;&gt;&gt; Enter 2 or more lab quotes &lt;&lt;&lt;</v>
      </c>
      <c r="AJ54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25.5</v>
      </c>
      <c r="AL548" s="396">
        <f>IF(ISTEXT(RawMaterials[[#This Row],[Unit price in quote year]]),"Check calcs",RawMaterials[[#This Row],[Unit price in quote year]]/VLOOKUP(RawMaterials[[#This Row],[Quote Year]],ChemPPI[],14,FALSE)*VLOOKUP(BasisYear,ChemPPI[],14,FALSE))</f>
        <v>34.608993902439032</v>
      </c>
      <c r="AM548" s="397" t="str">
        <f t="shared" si="8"/>
        <v>$/kg (2016)</v>
      </c>
    </row>
    <row r="549" spans="1:39">
      <c r="A549" s="259" t="s">
        <v>1633</v>
      </c>
      <c r="B549" s="260"/>
      <c r="C549" s="351"/>
      <c r="D549" s="351"/>
      <c r="E549" s="260">
        <v>100</v>
      </c>
      <c r="F549" s="260"/>
      <c r="G549" s="351"/>
      <c r="H549" s="351"/>
      <c r="I549" s="262"/>
      <c r="J549" s="351"/>
      <c r="K549" s="351"/>
      <c r="L549" s="351"/>
      <c r="M549" s="351"/>
      <c r="N549" s="351"/>
      <c r="O549" s="351"/>
      <c r="P549" s="261">
        <v>0.39860000000000001</v>
      </c>
      <c r="Q549" s="260">
        <v>1</v>
      </c>
      <c r="R549" s="260" t="s">
        <v>71</v>
      </c>
      <c r="S549" s="260">
        <v>2006</v>
      </c>
      <c r="T549" s="260" t="s">
        <v>161</v>
      </c>
      <c r="U549" s="386">
        <v>42653</v>
      </c>
      <c r="V549" s="387"/>
      <c r="W549" s="354">
        <f>COUNT(RawMaterials[[#This Row],[Lab Quantity 1]:[Lab Quantity 4]])</f>
        <v>0</v>
      </c>
      <c r="X54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9" s="392" t="e">
        <f>RawMaterials[[#This Row],[Lab Price 1]]/RawMaterials[[#This Row],[Lab Q Model Units 1]]</f>
        <v>#N/A</v>
      </c>
      <c r="AC549" s="392" t="e">
        <f>RawMaterials[[#This Row],[Lab Price 2]]/RawMaterials[[#This Row],[Lab Q Model Units 2]]</f>
        <v>#N/A</v>
      </c>
      <c r="AD549" s="392" t="e">
        <f>RawMaterials[[#This Row],[Lab Price 3]]/RawMaterials[[#This Row],[Lab Q Model Units 3]]</f>
        <v>#N/A</v>
      </c>
      <c r="AE549" s="392" t="e">
        <f>RawMaterials[[#This Row],[Lab Price 4]]/RawMaterials[[#This Row],[Lab Q Model Units 4]]</f>
        <v>#N/A</v>
      </c>
      <c r="AF549" s="392" t="str">
        <f ca="1">IF(RawMaterials[[#This Row],[Lab Quote Count]]&gt;1,SLOPE(LOG(INDIRECT("RawMaterials[@[Lab Unit P 1]:[Lab Unit P "&amp;RawMaterials[[#This Row],[Lab Quote Count]]&amp;"]]")),LOG(INDIRECT("RawMaterials[@[Lab Q Model Units 1]:[Lab Q Model Units "&amp;RawMaterials[[#This Row],[Lab Quote Count]]&amp;"]]"))),"")</f>
        <v/>
      </c>
      <c r="AG549" s="392" t="str">
        <f ca="1">IF(RawMaterials[[#This Row],[Lab Quote Count]]&gt;1,INTERCEPT(LOG(INDIRECT("RawMaterials[@[Lab Unit P 1]:[Lab Unit P "&amp;RawMaterials[[#This Row],[Lab Quote Count]]&amp;"]]")),LOG(INDIRECT("RawMaterials[@[Lab Q Model Units 1]:[Lab Q Model Units "&amp;RawMaterials[[#This Row],[Lab Quote Count]]&amp;"]]"))),"")</f>
        <v/>
      </c>
      <c r="AH549" s="393" t="str">
        <f>IF(RawMaterials[[#This Row],[Material Type]]="Metal Precursor","D13",IF(RawMaterials[[#This Row],[Material Type]]="Ligand","D13","D12"))</f>
        <v>D12</v>
      </c>
      <c r="AI549" s="394" t="str">
        <f ca="1">IF(RawMaterials[[#This Row],[Lab Quote Count]]&gt;1,10^RawMaterials[[#This Row],[Lab Log-Log Intercept]]*INDIRECT(RawMaterials[[#This Row],[Basis Cell]])^RawMaterials[[#This Row],[Lab Log-Log Slope]],"&gt;&gt;&gt; Enter 2 or more lab quotes &lt;&lt;&lt;")</f>
        <v>&gt;&gt;&gt; Enter 2 or more lab quotes &lt;&lt;&lt;</v>
      </c>
      <c r="AJ54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0.39860000000000001</v>
      </c>
      <c r="AL549" s="396">
        <f>IF(ISTEXT(RawMaterials[[#This Row],[Unit price in quote year]]),"Check calcs",RawMaterials[[#This Row],[Unit price in quote year]]/VLOOKUP(RawMaterials[[#This Row],[Quote Year]],ChemPPI[],14,FALSE)*VLOOKUP(BasisYear,ChemPPI[],14,FALSE))</f>
        <v>0.54098607723577252</v>
      </c>
      <c r="AM549" s="397" t="str">
        <f t="shared" si="8"/>
        <v>$/kg (2016)</v>
      </c>
    </row>
    <row r="550" spans="1:39">
      <c r="A550" s="259" t="s">
        <v>1634</v>
      </c>
      <c r="B550" s="260"/>
      <c r="C550" s="351"/>
      <c r="D550" s="351"/>
      <c r="E550" s="260">
        <v>100</v>
      </c>
      <c r="F550" s="260"/>
      <c r="G550" s="351"/>
      <c r="H550" s="351"/>
      <c r="I550" s="262"/>
      <c r="J550" s="351"/>
      <c r="K550" s="351"/>
      <c r="L550" s="351"/>
      <c r="M550" s="351"/>
      <c r="N550" s="351"/>
      <c r="O550" s="351"/>
      <c r="P550" s="261">
        <v>32</v>
      </c>
      <c r="Q550" s="260">
        <v>1</v>
      </c>
      <c r="R550" s="260" t="s">
        <v>71</v>
      </c>
      <c r="S550" s="260">
        <v>2006</v>
      </c>
      <c r="T550" s="260" t="s">
        <v>161</v>
      </c>
      <c r="U550" s="386">
        <v>42653</v>
      </c>
      <c r="V550" s="387"/>
      <c r="W550" s="354">
        <f>COUNT(RawMaterials[[#This Row],[Lab Quantity 1]:[Lab Quantity 4]])</f>
        <v>0</v>
      </c>
      <c r="X55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0" s="392" t="e">
        <f>RawMaterials[[#This Row],[Lab Price 1]]/RawMaterials[[#This Row],[Lab Q Model Units 1]]</f>
        <v>#N/A</v>
      </c>
      <c r="AC550" s="392" t="e">
        <f>RawMaterials[[#This Row],[Lab Price 2]]/RawMaterials[[#This Row],[Lab Q Model Units 2]]</f>
        <v>#N/A</v>
      </c>
      <c r="AD550" s="392" t="e">
        <f>RawMaterials[[#This Row],[Lab Price 3]]/RawMaterials[[#This Row],[Lab Q Model Units 3]]</f>
        <v>#N/A</v>
      </c>
      <c r="AE550" s="392" t="e">
        <f>RawMaterials[[#This Row],[Lab Price 4]]/RawMaterials[[#This Row],[Lab Q Model Units 4]]</f>
        <v>#N/A</v>
      </c>
      <c r="AF550" s="392" t="str">
        <f ca="1">IF(RawMaterials[[#This Row],[Lab Quote Count]]&gt;1,SLOPE(LOG(INDIRECT("RawMaterials[@[Lab Unit P 1]:[Lab Unit P "&amp;RawMaterials[[#This Row],[Lab Quote Count]]&amp;"]]")),LOG(INDIRECT("RawMaterials[@[Lab Q Model Units 1]:[Lab Q Model Units "&amp;RawMaterials[[#This Row],[Lab Quote Count]]&amp;"]]"))),"")</f>
        <v/>
      </c>
      <c r="AG550" s="392" t="str">
        <f ca="1">IF(RawMaterials[[#This Row],[Lab Quote Count]]&gt;1,INTERCEPT(LOG(INDIRECT("RawMaterials[@[Lab Unit P 1]:[Lab Unit P "&amp;RawMaterials[[#This Row],[Lab Quote Count]]&amp;"]]")),LOG(INDIRECT("RawMaterials[@[Lab Q Model Units 1]:[Lab Q Model Units "&amp;RawMaterials[[#This Row],[Lab Quote Count]]&amp;"]]"))),"")</f>
        <v/>
      </c>
      <c r="AH550" s="393" t="str">
        <f>IF(RawMaterials[[#This Row],[Material Type]]="Metal Precursor","D13",IF(RawMaterials[[#This Row],[Material Type]]="Ligand","D13","D12"))</f>
        <v>D12</v>
      </c>
      <c r="AI550" s="394" t="str">
        <f ca="1">IF(RawMaterials[[#This Row],[Lab Quote Count]]&gt;1,10^RawMaterials[[#This Row],[Lab Log-Log Intercept]]*INDIRECT(RawMaterials[[#This Row],[Basis Cell]])^RawMaterials[[#This Row],[Lab Log-Log Slope]],"&gt;&gt;&gt; Enter 2 or more lab quotes &lt;&lt;&lt;")</f>
        <v>&gt;&gt;&gt; Enter 2 or more lab quotes &lt;&lt;&lt;</v>
      </c>
      <c r="AJ55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32</v>
      </c>
      <c r="AL550" s="396">
        <f>IF(ISTEXT(RawMaterials[[#This Row],[Unit price in quote year]]),"Check calcs",RawMaterials[[#This Row],[Unit price in quote year]]/VLOOKUP(RawMaterials[[#This Row],[Quote Year]],ChemPPI[],14,FALSE)*VLOOKUP(BasisYear,ChemPPI[],14,FALSE))</f>
        <v>43.430894308943103</v>
      </c>
      <c r="AM550" s="397" t="str">
        <f t="shared" si="8"/>
        <v>$/kg (2016)</v>
      </c>
    </row>
    <row r="551" spans="1:39">
      <c r="A551" s="259" t="s">
        <v>1635</v>
      </c>
      <c r="B551" s="260"/>
      <c r="C551" s="351"/>
      <c r="D551" s="351"/>
      <c r="E551" s="260">
        <v>100</v>
      </c>
      <c r="F551" s="260"/>
      <c r="G551" s="351"/>
      <c r="H551" s="351"/>
      <c r="I551" s="262"/>
      <c r="J551" s="351"/>
      <c r="K551" s="351"/>
      <c r="L551" s="351"/>
      <c r="M551" s="351"/>
      <c r="N551" s="351"/>
      <c r="O551" s="351"/>
      <c r="P551" s="261">
        <v>28</v>
      </c>
      <c r="Q551" s="260">
        <v>1</v>
      </c>
      <c r="R551" s="260" t="s">
        <v>20</v>
      </c>
      <c r="S551" s="260">
        <v>2006</v>
      </c>
      <c r="T551" s="260" t="s">
        <v>161</v>
      </c>
      <c r="U551" s="386">
        <v>42653</v>
      </c>
      <c r="V551" s="387"/>
      <c r="W551" s="354">
        <f>COUNT(RawMaterials[[#This Row],[Lab Quantity 1]:[Lab Quantity 4]])</f>
        <v>0</v>
      </c>
      <c r="X55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1" s="392" t="e">
        <f>RawMaterials[[#This Row],[Lab Price 1]]/RawMaterials[[#This Row],[Lab Q Model Units 1]]</f>
        <v>#N/A</v>
      </c>
      <c r="AC551" s="392" t="e">
        <f>RawMaterials[[#This Row],[Lab Price 2]]/RawMaterials[[#This Row],[Lab Q Model Units 2]]</f>
        <v>#N/A</v>
      </c>
      <c r="AD551" s="392" t="e">
        <f>RawMaterials[[#This Row],[Lab Price 3]]/RawMaterials[[#This Row],[Lab Q Model Units 3]]</f>
        <v>#N/A</v>
      </c>
      <c r="AE551" s="392" t="e">
        <f>RawMaterials[[#This Row],[Lab Price 4]]/RawMaterials[[#This Row],[Lab Q Model Units 4]]</f>
        <v>#N/A</v>
      </c>
      <c r="AF551" s="392" t="str">
        <f ca="1">IF(RawMaterials[[#This Row],[Lab Quote Count]]&gt;1,SLOPE(LOG(INDIRECT("RawMaterials[@[Lab Unit P 1]:[Lab Unit P "&amp;RawMaterials[[#This Row],[Lab Quote Count]]&amp;"]]")),LOG(INDIRECT("RawMaterials[@[Lab Q Model Units 1]:[Lab Q Model Units "&amp;RawMaterials[[#This Row],[Lab Quote Count]]&amp;"]]"))),"")</f>
        <v/>
      </c>
      <c r="AG551" s="392" t="str">
        <f ca="1">IF(RawMaterials[[#This Row],[Lab Quote Count]]&gt;1,INTERCEPT(LOG(INDIRECT("RawMaterials[@[Lab Unit P 1]:[Lab Unit P "&amp;RawMaterials[[#This Row],[Lab Quote Count]]&amp;"]]")),LOG(INDIRECT("RawMaterials[@[Lab Q Model Units 1]:[Lab Q Model Units "&amp;RawMaterials[[#This Row],[Lab Quote Count]]&amp;"]]"))),"")</f>
        <v/>
      </c>
      <c r="AH551" s="393" t="str">
        <f>IF(RawMaterials[[#This Row],[Material Type]]="Metal Precursor","D13",IF(RawMaterials[[#This Row],[Material Type]]="Ligand","D13","D12"))</f>
        <v>D12</v>
      </c>
      <c r="AI551" s="394" t="str">
        <f ca="1">IF(RawMaterials[[#This Row],[Lab Quote Count]]&gt;1,10^RawMaterials[[#This Row],[Lab Log-Log Intercept]]*INDIRECT(RawMaterials[[#This Row],[Basis Cell]])^RawMaterials[[#This Row],[Lab Log-Log Slope]],"&gt;&gt;&gt; Enter 2 or more lab quotes &lt;&lt;&lt;")</f>
        <v>&gt;&gt;&gt; Enter 2 or more lab quotes &lt;&lt;&lt;</v>
      </c>
      <c r="AJ55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61.729433411765719</v>
      </c>
      <c r="AL551" s="396">
        <f>IF(ISTEXT(RawMaterials[[#This Row],[Unit price in quote year]]),"Check calcs",RawMaterials[[#This Row],[Unit price in quote year]]/VLOOKUP(RawMaterials[[#This Row],[Quote Year]],ChemPPI[],14,FALSE)*VLOOKUP(BasisYear,ChemPPI[],14,FALSE))</f>
        <v>83.780140570541803</v>
      </c>
      <c r="AM551" s="397" t="str">
        <f t="shared" si="8"/>
        <v>$/kg (2016)</v>
      </c>
    </row>
    <row r="552" spans="1:39">
      <c r="A552" s="259" t="s">
        <v>1636</v>
      </c>
      <c r="B552" s="260"/>
      <c r="C552" s="351"/>
      <c r="D552" s="351"/>
      <c r="E552" s="260">
        <v>100</v>
      </c>
      <c r="F552" s="260"/>
      <c r="G552" s="351"/>
      <c r="H552" s="351"/>
      <c r="I552" s="262"/>
      <c r="J552" s="351"/>
      <c r="K552" s="351"/>
      <c r="L552" s="351"/>
      <c r="M552" s="351"/>
      <c r="N552" s="351"/>
      <c r="O552" s="351"/>
      <c r="P552" s="261">
        <v>0.40149999999999902</v>
      </c>
      <c r="Q552" s="260">
        <v>1</v>
      </c>
      <c r="R552" s="260" t="s">
        <v>20</v>
      </c>
      <c r="S552" s="260">
        <v>2006</v>
      </c>
      <c r="T552" s="260" t="s">
        <v>161</v>
      </c>
      <c r="U552" s="386">
        <v>42653</v>
      </c>
      <c r="V552" s="387"/>
      <c r="W552" s="354">
        <f>COUNT(RawMaterials[[#This Row],[Lab Quantity 1]:[Lab Quantity 4]])</f>
        <v>0</v>
      </c>
      <c r="X55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2" s="392" t="e">
        <f>RawMaterials[[#This Row],[Lab Price 1]]/RawMaterials[[#This Row],[Lab Q Model Units 1]]</f>
        <v>#N/A</v>
      </c>
      <c r="AC552" s="392" t="e">
        <f>RawMaterials[[#This Row],[Lab Price 2]]/RawMaterials[[#This Row],[Lab Q Model Units 2]]</f>
        <v>#N/A</v>
      </c>
      <c r="AD552" s="392" t="e">
        <f>RawMaterials[[#This Row],[Lab Price 3]]/RawMaterials[[#This Row],[Lab Q Model Units 3]]</f>
        <v>#N/A</v>
      </c>
      <c r="AE552" s="392" t="e">
        <f>RawMaterials[[#This Row],[Lab Price 4]]/RawMaterials[[#This Row],[Lab Q Model Units 4]]</f>
        <v>#N/A</v>
      </c>
      <c r="AF552" s="392" t="str">
        <f ca="1">IF(RawMaterials[[#This Row],[Lab Quote Count]]&gt;1,SLOPE(LOG(INDIRECT("RawMaterials[@[Lab Unit P 1]:[Lab Unit P "&amp;RawMaterials[[#This Row],[Lab Quote Count]]&amp;"]]")),LOG(INDIRECT("RawMaterials[@[Lab Q Model Units 1]:[Lab Q Model Units "&amp;RawMaterials[[#This Row],[Lab Quote Count]]&amp;"]]"))),"")</f>
        <v/>
      </c>
      <c r="AG552" s="392" t="str">
        <f ca="1">IF(RawMaterials[[#This Row],[Lab Quote Count]]&gt;1,INTERCEPT(LOG(INDIRECT("RawMaterials[@[Lab Unit P 1]:[Lab Unit P "&amp;RawMaterials[[#This Row],[Lab Quote Count]]&amp;"]]")),LOG(INDIRECT("RawMaterials[@[Lab Q Model Units 1]:[Lab Q Model Units "&amp;RawMaterials[[#This Row],[Lab Quote Count]]&amp;"]]"))),"")</f>
        <v/>
      </c>
      <c r="AH552" s="393" t="str">
        <f>IF(RawMaterials[[#This Row],[Material Type]]="Metal Precursor","D13",IF(RawMaterials[[#This Row],[Material Type]]="Ligand","D13","D12"))</f>
        <v>D12</v>
      </c>
      <c r="AI552" s="394" t="str">
        <f ca="1">IF(RawMaterials[[#This Row],[Lab Quote Count]]&gt;1,10^RawMaterials[[#This Row],[Lab Log-Log Intercept]]*INDIRECT(RawMaterials[[#This Row],[Basis Cell]])^RawMaterials[[#This Row],[Lab Log-Log Slope]],"&gt;&gt;&gt; Enter 2 or more lab quotes &lt;&lt;&lt;")</f>
        <v>&gt;&gt;&gt; Enter 2 or more lab quotes &lt;&lt;&lt;</v>
      </c>
      <c r="AJ55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0.88515598267228124</v>
      </c>
      <c r="AL552" s="396">
        <f>IF(ISTEXT(RawMaterials[[#This Row],[Unit price in quote year]]),"Check calcs",RawMaterials[[#This Row],[Unit price in quote year]]/VLOOKUP(RawMaterials[[#This Row],[Quote Year]],ChemPPI[],14,FALSE)*VLOOKUP(BasisYear,ChemPPI[],14,FALSE))</f>
        <v>1.201347372824016</v>
      </c>
      <c r="AM552" s="397" t="str">
        <f t="shared" si="8"/>
        <v>$/kg (2016)</v>
      </c>
    </row>
    <row r="553" spans="1:39">
      <c r="A553" s="259" t="s">
        <v>1637</v>
      </c>
      <c r="B553" s="260"/>
      <c r="C553" s="351"/>
      <c r="D553" s="260"/>
      <c r="E553" s="260">
        <v>100</v>
      </c>
      <c r="F553" s="260"/>
      <c r="G553" s="351"/>
      <c r="H553" s="351"/>
      <c r="I553" s="262"/>
      <c r="J553" s="351"/>
      <c r="K553" s="351"/>
      <c r="L553" s="351"/>
      <c r="M553" s="351"/>
      <c r="N553" s="351"/>
      <c r="O553" s="351"/>
      <c r="P553" s="261">
        <v>0.29499999999999998</v>
      </c>
      <c r="Q553" s="260">
        <v>1</v>
      </c>
      <c r="R553" s="260" t="s">
        <v>20</v>
      </c>
      <c r="S553" s="260">
        <v>2006</v>
      </c>
      <c r="T553" s="260" t="s">
        <v>161</v>
      </c>
      <c r="U553" s="386">
        <v>42653</v>
      </c>
      <c r="V553" s="387"/>
      <c r="W553" s="354">
        <f>COUNT(RawMaterials[[#This Row],[Lab Quantity 1]:[Lab Quantity 4]])</f>
        <v>0</v>
      </c>
      <c r="X55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3" s="392" t="e">
        <f>RawMaterials[[#This Row],[Lab Price 1]]/RawMaterials[[#This Row],[Lab Q Model Units 1]]</f>
        <v>#N/A</v>
      </c>
      <c r="AC553" s="392" t="e">
        <f>RawMaterials[[#This Row],[Lab Price 2]]/RawMaterials[[#This Row],[Lab Q Model Units 2]]</f>
        <v>#N/A</v>
      </c>
      <c r="AD553" s="392" t="e">
        <f>RawMaterials[[#This Row],[Lab Price 3]]/RawMaterials[[#This Row],[Lab Q Model Units 3]]</f>
        <v>#N/A</v>
      </c>
      <c r="AE553" s="392" t="e">
        <f>RawMaterials[[#This Row],[Lab Price 4]]/RawMaterials[[#This Row],[Lab Q Model Units 4]]</f>
        <v>#N/A</v>
      </c>
      <c r="AF553" s="392" t="str">
        <f ca="1">IF(RawMaterials[[#This Row],[Lab Quote Count]]&gt;1,SLOPE(LOG(INDIRECT("RawMaterials[@[Lab Unit P 1]:[Lab Unit P "&amp;RawMaterials[[#This Row],[Lab Quote Count]]&amp;"]]")),LOG(INDIRECT("RawMaterials[@[Lab Q Model Units 1]:[Lab Q Model Units "&amp;RawMaterials[[#This Row],[Lab Quote Count]]&amp;"]]"))),"")</f>
        <v/>
      </c>
      <c r="AG553" s="392" t="str">
        <f ca="1">IF(RawMaterials[[#This Row],[Lab Quote Count]]&gt;1,INTERCEPT(LOG(INDIRECT("RawMaterials[@[Lab Unit P 1]:[Lab Unit P "&amp;RawMaterials[[#This Row],[Lab Quote Count]]&amp;"]]")),LOG(INDIRECT("RawMaterials[@[Lab Q Model Units 1]:[Lab Q Model Units "&amp;RawMaterials[[#This Row],[Lab Quote Count]]&amp;"]]"))),"")</f>
        <v/>
      </c>
      <c r="AH553" s="393" t="str">
        <f>IF(RawMaterials[[#This Row],[Material Type]]="Metal Precursor","D13",IF(RawMaterials[[#This Row],[Material Type]]="Ligand","D13","D12"))</f>
        <v>D12</v>
      </c>
      <c r="AI553" s="394" t="str">
        <f ca="1">IF(RawMaterials[[#This Row],[Lab Quote Count]]&gt;1,10^RawMaterials[[#This Row],[Lab Log-Log Intercept]]*INDIRECT(RawMaterials[[#This Row],[Basis Cell]])^RawMaterials[[#This Row],[Lab Log-Log Slope]],"&gt;&gt;&gt; Enter 2 or more lab quotes &lt;&lt;&lt;")</f>
        <v>&gt;&gt;&gt; Enter 2 or more lab quotes &lt;&lt;&lt;</v>
      </c>
      <c r="AJ55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0.65036367344538881</v>
      </c>
      <c r="AL553" s="396">
        <f>IF(ISTEXT(RawMaterials[[#This Row],[Unit price in quote year]]),"Check calcs",RawMaterials[[#This Row],[Unit price in quote year]]/VLOOKUP(RawMaterials[[#This Row],[Quote Year]],ChemPPI[],14,FALSE)*VLOOKUP(BasisYear,ChemPPI[],14,FALSE))</f>
        <v>0.8826836238682082</v>
      </c>
      <c r="AM553" s="397" t="str">
        <f t="shared" si="8"/>
        <v>$/kg (2016)</v>
      </c>
    </row>
    <row r="554" spans="1:39">
      <c r="A554" s="259" t="s">
        <v>1638</v>
      </c>
      <c r="B554" s="260"/>
      <c r="C554" s="351"/>
      <c r="D554" s="351"/>
      <c r="E554" s="260">
        <v>100</v>
      </c>
      <c r="F554" s="260"/>
      <c r="G554" s="351"/>
      <c r="H554" s="351"/>
      <c r="I554" s="262"/>
      <c r="J554" s="351"/>
      <c r="K554" s="351"/>
      <c r="L554" s="351"/>
      <c r="M554" s="351"/>
      <c r="N554" s="351"/>
      <c r="O554" s="351"/>
      <c r="P554" s="261">
        <v>0.42</v>
      </c>
      <c r="Q554" s="260">
        <v>1</v>
      </c>
      <c r="R554" s="260" t="s">
        <v>20</v>
      </c>
      <c r="S554" s="260">
        <v>2008</v>
      </c>
      <c r="T554" s="260" t="s">
        <v>161</v>
      </c>
      <c r="U554" s="386">
        <v>42653</v>
      </c>
      <c r="V554" s="387"/>
      <c r="W554" s="354">
        <f>COUNT(RawMaterials[[#This Row],[Lab Quantity 1]:[Lab Quantity 4]])</f>
        <v>0</v>
      </c>
      <c r="X55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4" s="392" t="e">
        <f>RawMaterials[[#This Row],[Lab Price 1]]/RawMaterials[[#This Row],[Lab Q Model Units 1]]</f>
        <v>#N/A</v>
      </c>
      <c r="AC554" s="392" t="e">
        <f>RawMaterials[[#This Row],[Lab Price 2]]/RawMaterials[[#This Row],[Lab Q Model Units 2]]</f>
        <v>#N/A</v>
      </c>
      <c r="AD554" s="392" t="e">
        <f>RawMaterials[[#This Row],[Lab Price 3]]/RawMaterials[[#This Row],[Lab Q Model Units 3]]</f>
        <v>#N/A</v>
      </c>
      <c r="AE554" s="392" t="e">
        <f>RawMaterials[[#This Row],[Lab Price 4]]/RawMaterials[[#This Row],[Lab Q Model Units 4]]</f>
        <v>#N/A</v>
      </c>
      <c r="AF554" s="392" t="str">
        <f ca="1">IF(RawMaterials[[#This Row],[Lab Quote Count]]&gt;1,SLOPE(LOG(INDIRECT("RawMaterials[@[Lab Unit P 1]:[Lab Unit P "&amp;RawMaterials[[#This Row],[Lab Quote Count]]&amp;"]]")),LOG(INDIRECT("RawMaterials[@[Lab Q Model Units 1]:[Lab Q Model Units "&amp;RawMaterials[[#This Row],[Lab Quote Count]]&amp;"]]"))),"")</f>
        <v/>
      </c>
      <c r="AG554" s="392" t="str">
        <f ca="1">IF(RawMaterials[[#This Row],[Lab Quote Count]]&gt;1,INTERCEPT(LOG(INDIRECT("RawMaterials[@[Lab Unit P 1]:[Lab Unit P "&amp;RawMaterials[[#This Row],[Lab Quote Count]]&amp;"]]")),LOG(INDIRECT("RawMaterials[@[Lab Q Model Units 1]:[Lab Q Model Units "&amp;RawMaterials[[#This Row],[Lab Quote Count]]&amp;"]]"))),"")</f>
        <v/>
      </c>
      <c r="AH554" s="393" t="str">
        <f>IF(RawMaterials[[#This Row],[Material Type]]="Metal Precursor","D13",IF(RawMaterials[[#This Row],[Material Type]]="Ligand","D13","D12"))</f>
        <v>D12</v>
      </c>
      <c r="AI554" s="394" t="str">
        <f ca="1">IF(RawMaterials[[#This Row],[Lab Quote Count]]&gt;1,10^RawMaterials[[#This Row],[Lab Log-Log Intercept]]*INDIRECT(RawMaterials[[#This Row],[Basis Cell]])^RawMaterials[[#This Row],[Lab Log-Log Slope]],"&gt;&gt;&gt; Enter 2 or more lab quotes &lt;&lt;&lt;")</f>
        <v>&gt;&gt;&gt; Enter 2 or more lab quotes &lt;&lt;&lt;</v>
      </c>
      <c r="AJ55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0.92594150117648577</v>
      </c>
      <c r="AL554" s="396">
        <f>IF(ISTEXT(RawMaterials[[#This Row],[Unit price in quote year]]),"Check calcs",RawMaterials[[#This Row],[Unit price in quote year]]/VLOOKUP(RawMaterials[[#This Row],[Quote Year]],ChemPPI[],14,FALSE)*VLOOKUP(BasisYear,ChemPPI[],14,FALSE))</f>
        <v>1.083742084926373</v>
      </c>
      <c r="AM554" s="397" t="str">
        <f t="shared" si="8"/>
        <v>$/kg (2016)</v>
      </c>
    </row>
    <row r="555" spans="1:39">
      <c r="A555" s="259" t="s">
        <v>1639</v>
      </c>
      <c r="B555" s="260"/>
      <c r="C555" s="351"/>
      <c r="D555" s="351"/>
      <c r="E555" s="260">
        <v>100</v>
      </c>
      <c r="F555" s="260"/>
      <c r="G555" s="351"/>
      <c r="H555" s="351"/>
      <c r="I555" s="262"/>
      <c r="J555" s="351"/>
      <c r="K555" s="351"/>
      <c r="L555" s="351"/>
      <c r="M555" s="351"/>
      <c r="N555" s="351"/>
      <c r="O555" s="351"/>
      <c r="P555" s="261">
        <v>0.72499999999999998</v>
      </c>
      <c r="Q555" s="260">
        <v>1</v>
      </c>
      <c r="R555" s="260" t="s">
        <v>20</v>
      </c>
      <c r="S555" s="260">
        <v>2008</v>
      </c>
      <c r="T555" s="260" t="s">
        <v>161</v>
      </c>
      <c r="U555" s="386">
        <v>42653</v>
      </c>
      <c r="V555" s="387"/>
      <c r="W555" s="354">
        <f>COUNT(RawMaterials[[#This Row],[Lab Quantity 1]:[Lab Quantity 4]])</f>
        <v>0</v>
      </c>
      <c r="X55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5" s="392" t="e">
        <f>RawMaterials[[#This Row],[Lab Price 1]]/RawMaterials[[#This Row],[Lab Q Model Units 1]]</f>
        <v>#N/A</v>
      </c>
      <c r="AC555" s="392" t="e">
        <f>RawMaterials[[#This Row],[Lab Price 2]]/RawMaterials[[#This Row],[Lab Q Model Units 2]]</f>
        <v>#N/A</v>
      </c>
      <c r="AD555" s="392" t="e">
        <f>RawMaterials[[#This Row],[Lab Price 3]]/RawMaterials[[#This Row],[Lab Q Model Units 3]]</f>
        <v>#N/A</v>
      </c>
      <c r="AE555" s="392" t="e">
        <f>RawMaterials[[#This Row],[Lab Price 4]]/RawMaterials[[#This Row],[Lab Q Model Units 4]]</f>
        <v>#N/A</v>
      </c>
      <c r="AF555" s="392" t="str">
        <f ca="1">IF(RawMaterials[[#This Row],[Lab Quote Count]]&gt;1,SLOPE(LOG(INDIRECT("RawMaterials[@[Lab Unit P 1]:[Lab Unit P "&amp;RawMaterials[[#This Row],[Lab Quote Count]]&amp;"]]")),LOG(INDIRECT("RawMaterials[@[Lab Q Model Units 1]:[Lab Q Model Units "&amp;RawMaterials[[#This Row],[Lab Quote Count]]&amp;"]]"))),"")</f>
        <v/>
      </c>
      <c r="AG555" s="392" t="str">
        <f ca="1">IF(RawMaterials[[#This Row],[Lab Quote Count]]&gt;1,INTERCEPT(LOG(INDIRECT("RawMaterials[@[Lab Unit P 1]:[Lab Unit P "&amp;RawMaterials[[#This Row],[Lab Quote Count]]&amp;"]]")),LOG(INDIRECT("RawMaterials[@[Lab Q Model Units 1]:[Lab Q Model Units "&amp;RawMaterials[[#This Row],[Lab Quote Count]]&amp;"]]"))),"")</f>
        <v/>
      </c>
      <c r="AH555" s="393" t="str">
        <f>IF(RawMaterials[[#This Row],[Material Type]]="Metal Precursor","D13",IF(RawMaterials[[#This Row],[Material Type]]="Ligand","D13","D12"))</f>
        <v>D12</v>
      </c>
      <c r="AI555" s="394" t="str">
        <f ca="1">IF(RawMaterials[[#This Row],[Lab Quote Count]]&gt;1,10^RawMaterials[[#This Row],[Lab Log-Log Intercept]]*INDIRECT(RawMaterials[[#This Row],[Basis Cell]])^RawMaterials[[#This Row],[Lab Log-Log Slope]],"&gt;&gt;&gt; Enter 2 or more lab quotes &lt;&lt;&lt;")</f>
        <v>&gt;&gt;&gt; Enter 2 or more lab quotes &lt;&lt;&lt;</v>
      </c>
      <c r="AJ55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1.5983514008403623</v>
      </c>
      <c r="AL555" s="396">
        <f>IF(ISTEXT(RawMaterials[[#This Row],[Unit price in quote year]]),"Check calcs",RawMaterials[[#This Row],[Unit price in quote year]]/VLOOKUP(RawMaterials[[#This Row],[Quote Year]],ChemPPI[],14,FALSE)*VLOOKUP(BasisYear,ChemPPI[],14,FALSE))</f>
        <v>1.8707452656467152</v>
      </c>
      <c r="AM555" s="397" t="str">
        <f t="shared" si="8"/>
        <v>$/kg (2016)</v>
      </c>
    </row>
    <row r="556" spans="1:39">
      <c r="A556" s="259" t="s">
        <v>1640</v>
      </c>
      <c r="B556" s="260"/>
      <c r="C556" s="351"/>
      <c r="D556" s="351"/>
      <c r="E556" s="260">
        <v>100</v>
      </c>
      <c r="F556" s="260"/>
      <c r="G556" s="351"/>
      <c r="H556" s="351"/>
      <c r="I556" s="262"/>
      <c r="J556" s="351"/>
      <c r="K556" s="351"/>
      <c r="L556" s="351"/>
      <c r="M556" s="351"/>
      <c r="N556" s="351"/>
      <c r="O556" s="351"/>
      <c r="P556" s="261">
        <v>0.875</v>
      </c>
      <c r="Q556" s="260">
        <v>1</v>
      </c>
      <c r="R556" s="260" t="s">
        <v>20</v>
      </c>
      <c r="S556" s="260">
        <v>2006</v>
      </c>
      <c r="T556" s="260" t="s">
        <v>161</v>
      </c>
      <c r="U556" s="386">
        <v>42653</v>
      </c>
      <c r="V556" s="387"/>
      <c r="W556" s="354">
        <f>COUNT(RawMaterials[[#This Row],[Lab Quantity 1]:[Lab Quantity 4]])</f>
        <v>0</v>
      </c>
      <c r="X55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6" s="392" t="e">
        <f>RawMaterials[[#This Row],[Lab Price 1]]/RawMaterials[[#This Row],[Lab Q Model Units 1]]</f>
        <v>#N/A</v>
      </c>
      <c r="AC556" s="392" t="e">
        <f>RawMaterials[[#This Row],[Lab Price 2]]/RawMaterials[[#This Row],[Lab Q Model Units 2]]</f>
        <v>#N/A</v>
      </c>
      <c r="AD556" s="392" t="e">
        <f>RawMaterials[[#This Row],[Lab Price 3]]/RawMaterials[[#This Row],[Lab Q Model Units 3]]</f>
        <v>#N/A</v>
      </c>
      <c r="AE556" s="392" t="e">
        <f>RawMaterials[[#This Row],[Lab Price 4]]/RawMaterials[[#This Row],[Lab Q Model Units 4]]</f>
        <v>#N/A</v>
      </c>
      <c r="AF556" s="392" t="str">
        <f ca="1">IF(RawMaterials[[#This Row],[Lab Quote Count]]&gt;1,SLOPE(LOG(INDIRECT("RawMaterials[@[Lab Unit P 1]:[Lab Unit P "&amp;RawMaterials[[#This Row],[Lab Quote Count]]&amp;"]]")),LOG(INDIRECT("RawMaterials[@[Lab Q Model Units 1]:[Lab Q Model Units "&amp;RawMaterials[[#This Row],[Lab Quote Count]]&amp;"]]"))),"")</f>
        <v/>
      </c>
      <c r="AG556" s="392" t="str">
        <f ca="1">IF(RawMaterials[[#This Row],[Lab Quote Count]]&gt;1,INTERCEPT(LOG(INDIRECT("RawMaterials[@[Lab Unit P 1]:[Lab Unit P "&amp;RawMaterials[[#This Row],[Lab Quote Count]]&amp;"]]")),LOG(INDIRECT("RawMaterials[@[Lab Q Model Units 1]:[Lab Q Model Units "&amp;RawMaterials[[#This Row],[Lab Quote Count]]&amp;"]]"))),"")</f>
        <v/>
      </c>
      <c r="AH556" s="393" t="str">
        <f>IF(RawMaterials[[#This Row],[Material Type]]="Metal Precursor","D13",IF(RawMaterials[[#This Row],[Material Type]]="Ligand","D13","D12"))</f>
        <v>D12</v>
      </c>
      <c r="AI556" s="394" t="str">
        <f ca="1">IF(RawMaterials[[#This Row],[Lab Quote Count]]&gt;1,10^RawMaterials[[#This Row],[Lab Log-Log Intercept]]*INDIRECT(RawMaterials[[#This Row],[Basis Cell]])^RawMaterials[[#This Row],[Lab Log-Log Slope]],"&gt;&gt;&gt; Enter 2 or more lab quotes &lt;&lt;&lt;")</f>
        <v>&gt;&gt;&gt; Enter 2 or more lab quotes &lt;&lt;&lt;</v>
      </c>
      <c r="AJ55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1.9290447941176787</v>
      </c>
      <c r="AL556" s="396">
        <f>IF(ISTEXT(RawMaterials[[#This Row],[Unit price in quote year]]),"Check calcs",RawMaterials[[#This Row],[Unit price in quote year]]/VLOOKUP(RawMaterials[[#This Row],[Quote Year]],ChemPPI[],14,FALSE)*VLOOKUP(BasisYear,ChemPPI[],14,FALSE))</f>
        <v>2.6181293928294314</v>
      </c>
      <c r="AM556" s="397" t="str">
        <f t="shared" si="8"/>
        <v>$/kg (2016)</v>
      </c>
    </row>
    <row r="557" spans="1:39">
      <c r="A557" s="259" t="s">
        <v>1641</v>
      </c>
      <c r="B557" s="260"/>
      <c r="C557" s="351"/>
      <c r="D557" s="351"/>
      <c r="E557" s="260">
        <v>100</v>
      </c>
      <c r="F557" s="260"/>
      <c r="G557" s="351"/>
      <c r="H557" s="351"/>
      <c r="I557" s="262"/>
      <c r="J557" s="351"/>
      <c r="K557" s="351"/>
      <c r="L557" s="351"/>
      <c r="M557" s="351"/>
      <c r="N557" s="351"/>
      <c r="O557" s="351"/>
      <c r="P557" s="261">
        <v>0.875</v>
      </c>
      <c r="Q557" s="260">
        <v>1</v>
      </c>
      <c r="R557" s="260" t="s">
        <v>20</v>
      </c>
      <c r="S557" s="260">
        <v>2006</v>
      </c>
      <c r="T557" s="260" t="s">
        <v>161</v>
      </c>
      <c r="U557" s="386">
        <v>42653</v>
      </c>
      <c r="V557" s="387"/>
      <c r="W557" s="354">
        <f>COUNT(RawMaterials[[#This Row],[Lab Quantity 1]:[Lab Quantity 4]])</f>
        <v>0</v>
      </c>
      <c r="X55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7" s="392" t="e">
        <f>RawMaterials[[#This Row],[Lab Price 1]]/RawMaterials[[#This Row],[Lab Q Model Units 1]]</f>
        <v>#N/A</v>
      </c>
      <c r="AC557" s="392" t="e">
        <f>RawMaterials[[#This Row],[Lab Price 2]]/RawMaterials[[#This Row],[Lab Q Model Units 2]]</f>
        <v>#N/A</v>
      </c>
      <c r="AD557" s="392" t="e">
        <f>RawMaterials[[#This Row],[Lab Price 3]]/RawMaterials[[#This Row],[Lab Q Model Units 3]]</f>
        <v>#N/A</v>
      </c>
      <c r="AE557" s="392" t="e">
        <f>RawMaterials[[#This Row],[Lab Price 4]]/RawMaterials[[#This Row],[Lab Q Model Units 4]]</f>
        <v>#N/A</v>
      </c>
      <c r="AF557" s="392" t="str">
        <f ca="1">IF(RawMaterials[[#This Row],[Lab Quote Count]]&gt;1,SLOPE(LOG(INDIRECT("RawMaterials[@[Lab Unit P 1]:[Lab Unit P "&amp;RawMaterials[[#This Row],[Lab Quote Count]]&amp;"]]")),LOG(INDIRECT("RawMaterials[@[Lab Q Model Units 1]:[Lab Q Model Units "&amp;RawMaterials[[#This Row],[Lab Quote Count]]&amp;"]]"))),"")</f>
        <v/>
      </c>
      <c r="AG557" s="392" t="str">
        <f ca="1">IF(RawMaterials[[#This Row],[Lab Quote Count]]&gt;1,INTERCEPT(LOG(INDIRECT("RawMaterials[@[Lab Unit P 1]:[Lab Unit P "&amp;RawMaterials[[#This Row],[Lab Quote Count]]&amp;"]]")),LOG(INDIRECT("RawMaterials[@[Lab Q Model Units 1]:[Lab Q Model Units "&amp;RawMaterials[[#This Row],[Lab Quote Count]]&amp;"]]"))),"")</f>
        <v/>
      </c>
      <c r="AH557" s="393" t="str">
        <f>IF(RawMaterials[[#This Row],[Material Type]]="Metal Precursor","D13",IF(RawMaterials[[#This Row],[Material Type]]="Ligand","D13","D12"))</f>
        <v>D12</v>
      </c>
      <c r="AI557" s="394" t="str">
        <f ca="1">IF(RawMaterials[[#This Row],[Lab Quote Count]]&gt;1,10^RawMaterials[[#This Row],[Lab Log-Log Intercept]]*INDIRECT(RawMaterials[[#This Row],[Basis Cell]])^RawMaterials[[#This Row],[Lab Log-Log Slope]],"&gt;&gt;&gt; Enter 2 or more lab quotes &lt;&lt;&lt;")</f>
        <v>&gt;&gt;&gt; Enter 2 or more lab quotes &lt;&lt;&lt;</v>
      </c>
      <c r="AJ55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1.9290447941176787</v>
      </c>
      <c r="AL557" s="396">
        <f>IF(ISTEXT(RawMaterials[[#This Row],[Unit price in quote year]]),"Check calcs",RawMaterials[[#This Row],[Unit price in quote year]]/VLOOKUP(RawMaterials[[#This Row],[Quote Year]],ChemPPI[],14,FALSE)*VLOOKUP(BasisYear,ChemPPI[],14,FALSE))</f>
        <v>2.6181293928294314</v>
      </c>
      <c r="AM557" s="397" t="str">
        <f t="shared" si="8"/>
        <v>$/kg (2016)</v>
      </c>
    </row>
    <row r="558" spans="1:39">
      <c r="A558" s="259" t="s">
        <v>1642</v>
      </c>
      <c r="B558" s="260"/>
      <c r="C558" s="351"/>
      <c r="D558" s="351"/>
      <c r="E558" s="260">
        <v>100</v>
      </c>
      <c r="F558" s="260"/>
      <c r="G558" s="351"/>
      <c r="H558" s="351"/>
      <c r="I558" s="262"/>
      <c r="J558" s="351"/>
      <c r="K558" s="351"/>
      <c r="L558" s="351"/>
      <c r="M558" s="351"/>
      <c r="N558" s="351"/>
      <c r="O558" s="351"/>
      <c r="P558" s="261">
        <v>0.65500000000000003</v>
      </c>
      <c r="Q558" s="260">
        <v>1</v>
      </c>
      <c r="R558" s="260" t="s">
        <v>20</v>
      </c>
      <c r="S558" s="260">
        <v>2006</v>
      </c>
      <c r="T558" s="260" t="s">
        <v>161</v>
      </c>
      <c r="U558" s="386">
        <v>42653</v>
      </c>
      <c r="V558" s="387"/>
      <c r="W558" s="354">
        <f>COUNT(RawMaterials[[#This Row],[Lab Quantity 1]:[Lab Quantity 4]])</f>
        <v>0</v>
      </c>
      <c r="X55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8" s="392" t="e">
        <f>RawMaterials[[#This Row],[Lab Price 1]]/RawMaterials[[#This Row],[Lab Q Model Units 1]]</f>
        <v>#N/A</v>
      </c>
      <c r="AC558" s="392" t="e">
        <f>RawMaterials[[#This Row],[Lab Price 2]]/RawMaterials[[#This Row],[Lab Q Model Units 2]]</f>
        <v>#N/A</v>
      </c>
      <c r="AD558" s="392" t="e">
        <f>RawMaterials[[#This Row],[Lab Price 3]]/RawMaterials[[#This Row],[Lab Q Model Units 3]]</f>
        <v>#N/A</v>
      </c>
      <c r="AE558" s="392" t="e">
        <f>RawMaterials[[#This Row],[Lab Price 4]]/RawMaterials[[#This Row],[Lab Q Model Units 4]]</f>
        <v>#N/A</v>
      </c>
      <c r="AF558" s="392" t="str">
        <f ca="1">IF(RawMaterials[[#This Row],[Lab Quote Count]]&gt;1,SLOPE(LOG(INDIRECT("RawMaterials[@[Lab Unit P 1]:[Lab Unit P "&amp;RawMaterials[[#This Row],[Lab Quote Count]]&amp;"]]")),LOG(INDIRECT("RawMaterials[@[Lab Q Model Units 1]:[Lab Q Model Units "&amp;RawMaterials[[#This Row],[Lab Quote Count]]&amp;"]]"))),"")</f>
        <v/>
      </c>
      <c r="AG558" s="392" t="str">
        <f ca="1">IF(RawMaterials[[#This Row],[Lab Quote Count]]&gt;1,INTERCEPT(LOG(INDIRECT("RawMaterials[@[Lab Unit P 1]:[Lab Unit P "&amp;RawMaterials[[#This Row],[Lab Quote Count]]&amp;"]]")),LOG(INDIRECT("RawMaterials[@[Lab Q Model Units 1]:[Lab Q Model Units "&amp;RawMaterials[[#This Row],[Lab Quote Count]]&amp;"]]"))),"")</f>
        <v/>
      </c>
      <c r="AH558" s="393" t="str">
        <f>IF(RawMaterials[[#This Row],[Material Type]]="Metal Precursor","D13",IF(RawMaterials[[#This Row],[Material Type]]="Ligand","D13","D12"))</f>
        <v>D12</v>
      </c>
      <c r="AI558" s="394" t="str">
        <f ca="1">IF(RawMaterials[[#This Row],[Lab Quote Count]]&gt;1,10^RawMaterials[[#This Row],[Lab Log-Log Intercept]]*INDIRECT(RawMaterials[[#This Row],[Basis Cell]])^RawMaterials[[#This Row],[Lab Log-Log Slope]],"&gt;&gt;&gt; Enter 2 or more lab quotes &lt;&lt;&lt;")</f>
        <v>&gt;&gt;&gt; Enter 2 or more lab quotes &lt;&lt;&lt;</v>
      </c>
      <c r="AJ55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1.4440278173109482</v>
      </c>
      <c r="AL558" s="396">
        <f>IF(ISTEXT(RawMaterials[[#This Row],[Unit price in quote year]]),"Check calcs",RawMaterials[[#This Row],[Unit price in quote year]]/VLOOKUP(RawMaterials[[#This Row],[Quote Year]],ChemPPI[],14,FALSE)*VLOOKUP(BasisYear,ChemPPI[],14,FALSE))</f>
        <v>1.9598568597751744</v>
      </c>
      <c r="AM558" s="397" t="str">
        <f t="shared" si="8"/>
        <v>$/kg (2016)</v>
      </c>
    </row>
    <row r="559" spans="1:39">
      <c r="A559" s="259" t="s">
        <v>1643</v>
      </c>
      <c r="B559" s="260"/>
      <c r="C559" s="351"/>
      <c r="D559" s="351"/>
      <c r="E559" s="260">
        <v>100</v>
      </c>
      <c r="F559" s="260"/>
      <c r="G559" s="351"/>
      <c r="H559" s="351"/>
      <c r="I559" s="262"/>
      <c r="J559" s="351"/>
      <c r="K559" s="351"/>
      <c r="L559" s="351"/>
      <c r="M559" s="351"/>
      <c r="N559" s="351"/>
      <c r="O559" s="351"/>
      <c r="P559" s="261">
        <v>0.875</v>
      </c>
      <c r="Q559" s="260">
        <v>1</v>
      </c>
      <c r="R559" s="260" t="s">
        <v>20</v>
      </c>
      <c r="S559" s="260">
        <v>2006</v>
      </c>
      <c r="T559" s="260" t="s">
        <v>161</v>
      </c>
      <c r="U559" s="386">
        <v>42653</v>
      </c>
      <c r="V559" s="387"/>
      <c r="W559" s="354">
        <f>COUNT(RawMaterials[[#This Row],[Lab Quantity 1]:[Lab Quantity 4]])</f>
        <v>0</v>
      </c>
      <c r="X55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9" s="392" t="e">
        <f>RawMaterials[[#This Row],[Lab Price 1]]/RawMaterials[[#This Row],[Lab Q Model Units 1]]</f>
        <v>#N/A</v>
      </c>
      <c r="AC559" s="392" t="e">
        <f>RawMaterials[[#This Row],[Lab Price 2]]/RawMaterials[[#This Row],[Lab Q Model Units 2]]</f>
        <v>#N/A</v>
      </c>
      <c r="AD559" s="392" t="e">
        <f>RawMaterials[[#This Row],[Lab Price 3]]/RawMaterials[[#This Row],[Lab Q Model Units 3]]</f>
        <v>#N/A</v>
      </c>
      <c r="AE559" s="392" t="e">
        <f>RawMaterials[[#This Row],[Lab Price 4]]/RawMaterials[[#This Row],[Lab Q Model Units 4]]</f>
        <v>#N/A</v>
      </c>
      <c r="AF559" s="392" t="str">
        <f ca="1">IF(RawMaterials[[#This Row],[Lab Quote Count]]&gt;1,SLOPE(LOG(INDIRECT("RawMaterials[@[Lab Unit P 1]:[Lab Unit P "&amp;RawMaterials[[#This Row],[Lab Quote Count]]&amp;"]]")),LOG(INDIRECT("RawMaterials[@[Lab Q Model Units 1]:[Lab Q Model Units "&amp;RawMaterials[[#This Row],[Lab Quote Count]]&amp;"]]"))),"")</f>
        <v/>
      </c>
      <c r="AG559" s="392" t="str">
        <f ca="1">IF(RawMaterials[[#This Row],[Lab Quote Count]]&gt;1,INTERCEPT(LOG(INDIRECT("RawMaterials[@[Lab Unit P 1]:[Lab Unit P "&amp;RawMaterials[[#This Row],[Lab Quote Count]]&amp;"]]")),LOG(INDIRECT("RawMaterials[@[Lab Q Model Units 1]:[Lab Q Model Units "&amp;RawMaterials[[#This Row],[Lab Quote Count]]&amp;"]]"))),"")</f>
        <v/>
      </c>
      <c r="AH559" s="393" t="str">
        <f>IF(RawMaterials[[#This Row],[Material Type]]="Metal Precursor","D13",IF(RawMaterials[[#This Row],[Material Type]]="Ligand","D13","D12"))</f>
        <v>D12</v>
      </c>
      <c r="AI559" s="394" t="str">
        <f ca="1">IF(RawMaterials[[#This Row],[Lab Quote Count]]&gt;1,10^RawMaterials[[#This Row],[Lab Log-Log Intercept]]*INDIRECT(RawMaterials[[#This Row],[Basis Cell]])^RawMaterials[[#This Row],[Lab Log-Log Slope]],"&gt;&gt;&gt; Enter 2 or more lab quotes &lt;&lt;&lt;")</f>
        <v>&gt;&gt;&gt; Enter 2 or more lab quotes &lt;&lt;&lt;</v>
      </c>
      <c r="AJ55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1.9290447941176787</v>
      </c>
      <c r="AL559" s="396">
        <f>IF(ISTEXT(RawMaterials[[#This Row],[Unit price in quote year]]),"Check calcs",RawMaterials[[#This Row],[Unit price in quote year]]/VLOOKUP(RawMaterials[[#This Row],[Quote Year]],ChemPPI[],14,FALSE)*VLOOKUP(BasisYear,ChemPPI[],14,FALSE))</f>
        <v>2.6181293928294314</v>
      </c>
      <c r="AM559" s="397" t="str">
        <f t="shared" si="8"/>
        <v>$/kg (2016)</v>
      </c>
    </row>
    <row r="560" spans="1:39">
      <c r="A560" s="259" t="s">
        <v>1644</v>
      </c>
      <c r="B560" s="260"/>
      <c r="C560" s="351"/>
      <c r="D560" s="351"/>
      <c r="E560" s="260">
        <v>100</v>
      </c>
      <c r="F560" s="260"/>
      <c r="G560" s="351"/>
      <c r="H560" s="351"/>
      <c r="I560" s="262"/>
      <c r="J560" s="351"/>
      <c r="K560" s="351"/>
      <c r="L560" s="351"/>
      <c r="M560" s="351"/>
      <c r="N560" s="351"/>
      <c r="O560" s="351"/>
      <c r="P560" s="261">
        <v>0.77</v>
      </c>
      <c r="Q560" s="260">
        <v>1</v>
      </c>
      <c r="R560" s="260" t="s">
        <v>20</v>
      </c>
      <c r="S560" s="260">
        <v>2006</v>
      </c>
      <c r="T560" s="260" t="s">
        <v>161</v>
      </c>
      <c r="U560" s="386">
        <v>42653</v>
      </c>
      <c r="V560" s="387"/>
      <c r="W560" s="354">
        <f>COUNT(RawMaterials[[#This Row],[Lab Quantity 1]:[Lab Quantity 4]])</f>
        <v>0</v>
      </c>
      <c r="X56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0" s="392" t="e">
        <f>RawMaterials[[#This Row],[Lab Price 1]]/RawMaterials[[#This Row],[Lab Q Model Units 1]]</f>
        <v>#N/A</v>
      </c>
      <c r="AC560" s="392" t="e">
        <f>RawMaterials[[#This Row],[Lab Price 2]]/RawMaterials[[#This Row],[Lab Q Model Units 2]]</f>
        <v>#N/A</v>
      </c>
      <c r="AD560" s="392" t="e">
        <f>RawMaterials[[#This Row],[Lab Price 3]]/RawMaterials[[#This Row],[Lab Q Model Units 3]]</f>
        <v>#N/A</v>
      </c>
      <c r="AE560" s="392" t="e">
        <f>RawMaterials[[#This Row],[Lab Price 4]]/RawMaterials[[#This Row],[Lab Q Model Units 4]]</f>
        <v>#N/A</v>
      </c>
      <c r="AF560" s="392" t="str">
        <f ca="1">IF(RawMaterials[[#This Row],[Lab Quote Count]]&gt;1,SLOPE(LOG(INDIRECT("RawMaterials[@[Lab Unit P 1]:[Lab Unit P "&amp;RawMaterials[[#This Row],[Lab Quote Count]]&amp;"]]")),LOG(INDIRECT("RawMaterials[@[Lab Q Model Units 1]:[Lab Q Model Units "&amp;RawMaterials[[#This Row],[Lab Quote Count]]&amp;"]]"))),"")</f>
        <v/>
      </c>
      <c r="AG560" s="392" t="str">
        <f ca="1">IF(RawMaterials[[#This Row],[Lab Quote Count]]&gt;1,INTERCEPT(LOG(INDIRECT("RawMaterials[@[Lab Unit P 1]:[Lab Unit P "&amp;RawMaterials[[#This Row],[Lab Quote Count]]&amp;"]]")),LOG(INDIRECT("RawMaterials[@[Lab Q Model Units 1]:[Lab Q Model Units "&amp;RawMaterials[[#This Row],[Lab Quote Count]]&amp;"]]"))),"")</f>
        <v/>
      </c>
      <c r="AH560" s="393" t="str">
        <f>IF(RawMaterials[[#This Row],[Material Type]]="Metal Precursor","D13",IF(RawMaterials[[#This Row],[Material Type]]="Ligand","D13","D12"))</f>
        <v>D12</v>
      </c>
      <c r="AI560" s="394" t="str">
        <f ca="1">IF(RawMaterials[[#This Row],[Lab Quote Count]]&gt;1,10^RawMaterials[[#This Row],[Lab Log-Log Intercept]]*INDIRECT(RawMaterials[[#This Row],[Basis Cell]])^RawMaterials[[#This Row],[Lab Log-Log Slope]],"&gt;&gt;&gt; Enter 2 or more lab quotes &lt;&lt;&lt;")</f>
        <v>&gt;&gt;&gt; Enter 2 or more lab quotes &lt;&lt;&lt;</v>
      </c>
      <c r="AJ56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1.6975594188235574</v>
      </c>
      <c r="AL560" s="396">
        <f>IF(ISTEXT(RawMaterials[[#This Row],[Unit price in quote year]]),"Check calcs",RawMaterials[[#This Row],[Unit price in quote year]]/VLOOKUP(RawMaterials[[#This Row],[Quote Year]],ChemPPI[],14,FALSE)*VLOOKUP(BasisYear,ChemPPI[],14,FALSE))</f>
        <v>2.3039538656898997</v>
      </c>
      <c r="AM560" s="397" t="str">
        <f t="shared" si="8"/>
        <v>$/kg (2016)</v>
      </c>
    </row>
    <row r="561" spans="1:39">
      <c r="A561" s="259" t="s">
        <v>1645</v>
      </c>
      <c r="B561" s="260"/>
      <c r="C561" s="351"/>
      <c r="D561" s="351"/>
      <c r="E561" s="260">
        <v>100</v>
      </c>
      <c r="F561" s="260"/>
      <c r="G561" s="351"/>
      <c r="H561" s="351"/>
      <c r="I561" s="262"/>
      <c r="J561" s="351"/>
      <c r="K561" s="351"/>
      <c r="L561" s="351"/>
      <c r="M561" s="351"/>
      <c r="N561" s="351"/>
      <c r="O561" s="351"/>
      <c r="P561" s="261">
        <v>0.77500000000000002</v>
      </c>
      <c r="Q561" s="260">
        <v>1</v>
      </c>
      <c r="R561" s="260" t="s">
        <v>20</v>
      </c>
      <c r="S561" s="260">
        <v>2006</v>
      </c>
      <c r="T561" s="260" t="s">
        <v>161</v>
      </c>
      <c r="U561" s="386">
        <v>42653</v>
      </c>
      <c r="V561" s="387"/>
      <c r="W561" s="354">
        <f>COUNT(RawMaterials[[#This Row],[Lab Quantity 1]:[Lab Quantity 4]])</f>
        <v>0</v>
      </c>
      <c r="X56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1" s="392" t="e">
        <f>RawMaterials[[#This Row],[Lab Price 1]]/RawMaterials[[#This Row],[Lab Q Model Units 1]]</f>
        <v>#N/A</v>
      </c>
      <c r="AC561" s="392" t="e">
        <f>RawMaterials[[#This Row],[Lab Price 2]]/RawMaterials[[#This Row],[Lab Q Model Units 2]]</f>
        <v>#N/A</v>
      </c>
      <c r="AD561" s="392" t="e">
        <f>RawMaterials[[#This Row],[Lab Price 3]]/RawMaterials[[#This Row],[Lab Q Model Units 3]]</f>
        <v>#N/A</v>
      </c>
      <c r="AE561" s="392" t="e">
        <f>RawMaterials[[#This Row],[Lab Price 4]]/RawMaterials[[#This Row],[Lab Q Model Units 4]]</f>
        <v>#N/A</v>
      </c>
      <c r="AF561" s="392" t="str">
        <f ca="1">IF(RawMaterials[[#This Row],[Lab Quote Count]]&gt;1,SLOPE(LOG(INDIRECT("RawMaterials[@[Lab Unit P 1]:[Lab Unit P "&amp;RawMaterials[[#This Row],[Lab Quote Count]]&amp;"]]")),LOG(INDIRECT("RawMaterials[@[Lab Q Model Units 1]:[Lab Q Model Units "&amp;RawMaterials[[#This Row],[Lab Quote Count]]&amp;"]]"))),"")</f>
        <v/>
      </c>
      <c r="AG561" s="392" t="str">
        <f ca="1">IF(RawMaterials[[#This Row],[Lab Quote Count]]&gt;1,INTERCEPT(LOG(INDIRECT("RawMaterials[@[Lab Unit P 1]:[Lab Unit P "&amp;RawMaterials[[#This Row],[Lab Quote Count]]&amp;"]]")),LOG(INDIRECT("RawMaterials[@[Lab Q Model Units 1]:[Lab Q Model Units "&amp;RawMaterials[[#This Row],[Lab Quote Count]]&amp;"]]"))),"")</f>
        <v/>
      </c>
      <c r="AH561" s="393" t="str">
        <f>IF(RawMaterials[[#This Row],[Material Type]]="Metal Precursor","D13",IF(RawMaterials[[#This Row],[Material Type]]="Ligand","D13","D12"))</f>
        <v>D12</v>
      </c>
      <c r="AI561" s="394" t="str">
        <f ca="1">IF(RawMaterials[[#This Row],[Lab Quote Count]]&gt;1,10^RawMaterials[[#This Row],[Lab Log-Log Intercept]]*INDIRECT(RawMaterials[[#This Row],[Basis Cell]])^RawMaterials[[#This Row],[Lab Log-Log Slope]],"&gt;&gt;&gt; Enter 2 or more lab quotes &lt;&lt;&lt;")</f>
        <v>&gt;&gt;&gt; Enter 2 or more lab quotes &lt;&lt;&lt;</v>
      </c>
      <c r="AJ56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1.7085825319328012</v>
      </c>
      <c r="AL561" s="396">
        <f>IF(ISTEXT(RawMaterials[[#This Row],[Unit price in quote year]]),"Check calcs",RawMaterials[[#This Row],[Unit price in quote year]]/VLOOKUP(RawMaterials[[#This Row],[Quote Year]],ChemPPI[],14,FALSE)*VLOOKUP(BasisYear,ChemPPI[],14,FALSE))</f>
        <v>2.3189146050774965</v>
      </c>
      <c r="AM561" s="397" t="str">
        <f t="shared" si="8"/>
        <v>$/kg (2016)</v>
      </c>
    </row>
    <row r="562" spans="1:39">
      <c r="A562" s="259" t="s">
        <v>1646</v>
      </c>
      <c r="B562" s="260"/>
      <c r="C562" s="351"/>
      <c r="D562" s="351"/>
      <c r="E562" s="260">
        <v>100</v>
      </c>
      <c r="F562" s="260"/>
      <c r="G562" s="351"/>
      <c r="H562" s="351"/>
      <c r="I562" s="262"/>
      <c r="J562" s="351"/>
      <c r="K562" s="351"/>
      <c r="L562" s="351"/>
      <c r="M562" s="351"/>
      <c r="N562" s="351"/>
      <c r="O562" s="351"/>
      <c r="P562" s="261">
        <v>0.68</v>
      </c>
      <c r="Q562" s="260">
        <v>1</v>
      </c>
      <c r="R562" s="260" t="s">
        <v>20</v>
      </c>
      <c r="S562" s="260">
        <v>2006</v>
      </c>
      <c r="T562" s="260" t="s">
        <v>161</v>
      </c>
      <c r="U562" s="386">
        <v>42653</v>
      </c>
      <c r="V562" s="387"/>
      <c r="W562" s="354">
        <f>COUNT(RawMaterials[[#This Row],[Lab Quantity 1]:[Lab Quantity 4]])</f>
        <v>0</v>
      </c>
      <c r="X56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2" s="392" t="e">
        <f>RawMaterials[[#This Row],[Lab Price 1]]/RawMaterials[[#This Row],[Lab Q Model Units 1]]</f>
        <v>#N/A</v>
      </c>
      <c r="AC562" s="392" t="e">
        <f>RawMaterials[[#This Row],[Lab Price 2]]/RawMaterials[[#This Row],[Lab Q Model Units 2]]</f>
        <v>#N/A</v>
      </c>
      <c r="AD562" s="392" t="e">
        <f>RawMaterials[[#This Row],[Lab Price 3]]/RawMaterials[[#This Row],[Lab Q Model Units 3]]</f>
        <v>#N/A</v>
      </c>
      <c r="AE562" s="392" t="e">
        <f>RawMaterials[[#This Row],[Lab Price 4]]/RawMaterials[[#This Row],[Lab Q Model Units 4]]</f>
        <v>#N/A</v>
      </c>
      <c r="AF562" s="392" t="str">
        <f ca="1">IF(RawMaterials[[#This Row],[Lab Quote Count]]&gt;1,SLOPE(LOG(INDIRECT("RawMaterials[@[Lab Unit P 1]:[Lab Unit P "&amp;RawMaterials[[#This Row],[Lab Quote Count]]&amp;"]]")),LOG(INDIRECT("RawMaterials[@[Lab Q Model Units 1]:[Lab Q Model Units "&amp;RawMaterials[[#This Row],[Lab Quote Count]]&amp;"]]"))),"")</f>
        <v/>
      </c>
      <c r="AG562" s="392" t="str">
        <f ca="1">IF(RawMaterials[[#This Row],[Lab Quote Count]]&gt;1,INTERCEPT(LOG(INDIRECT("RawMaterials[@[Lab Unit P 1]:[Lab Unit P "&amp;RawMaterials[[#This Row],[Lab Quote Count]]&amp;"]]")),LOG(INDIRECT("RawMaterials[@[Lab Q Model Units 1]:[Lab Q Model Units "&amp;RawMaterials[[#This Row],[Lab Quote Count]]&amp;"]]"))),"")</f>
        <v/>
      </c>
      <c r="AH562" s="393" t="str">
        <f>IF(RawMaterials[[#This Row],[Material Type]]="Metal Precursor","D13",IF(RawMaterials[[#This Row],[Material Type]]="Ligand","D13","D12"))</f>
        <v>D12</v>
      </c>
      <c r="AI562" s="394" t="str">
        <f ca="1">IF(RawMaterials[[#This Row],[Lab Quote Count]]&gt;1,10^RawMaterials[[#This Row],[Lab Log-Log Intercept]]*INDIRECT(RawMaterials[[#This Row],[Basis Cell]])^RawMaterials[[#This Row],[Lab Log-Log Slope]],"&gt;&gt;&gt; Enter 2 or more lab quotes &lt;&lt;&lt;")</f>
        <v>&gt;&gt;&gt; Enter 2 or more lab quotes &lt;&lt;&lt;</v>
      </c>
      <c r="AJ56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1.4991433828571676</v>
      </c>
      <c r="AL562" s="396">
        <f>IF(ISTEXT(RawMaterials[[#This Row],[Unit price in quote year]]),"Check calcs",RawMaterials[[#This Row],[Unit price in quote year]]/VLOOKUP(RawMaterials[[#This Row],[Quote Year]],ChemPPI[],14,FALSE)*VLOOKUP(BasisYear,ChemPPI[],14,FALSE))</f>
        <v>2.0346605567131584</v>
      </c>
      <c r="AM562" s="397" t="str">
        <f t="shared" si="8"/>
        <v>$/kg (2016)</v>
      </c>
    </row>
    <row r="563" spans="1:39">
      <c r="A563" s="259" t="s">
        <v>1647</v>
      </c>
      <c r="B563" s="260"/>
      <c r="C563" s="351"/>
      <c r="D563" s="351"/>
      <c r="E563" s="260">
        <v>100</v>
      </c>
      <c r="F563" s="260"/>
      <c r="G563" s="351"/>
      <c r="H563" s="351"/>
      <c r="I563" s="262"/>
      <c r="J563" s="351"/>
      <c r="K563" s="351"/>
      <c r="L563" s="351"/>
      <c r="M563" s="351"/>
      <c r="N563" s="351"/>
      <c r="O563" s="351"/>
      <c r="P563" s="261">
        <v>0.66500000000000004</v>
      </c>
      <c r="Q563" s="260">
        <v>1</v>
      </c>
      <c r="R563" s="260" t="s">
        <v>20</v>
      </c>
      <c r="S563" s="260">
        <v>2006</v>
      </c>
      <c r="T563" s="260" t="s">
        <v>161</v>
      </c>
      <c r="U563" s="386">
        <v>42653</v>
      </c>
      <c r="V563" s="387"/>
      <c r="W563" s="354">
        <f>COUNT(RawMaterials[[#This Row],[Lab Quantity 1]:[Lab Quantity 4]])</f>
        <v>0</v>
      </c>
      <c r="X56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3" s="392" t="e">
        <f>RawMaterials[[#This Row],[Lab Price 1]]/RawMaterials[[#This Row],[Lab Q Model Units 1]]</f>
        <v>#N/A</v>
      </c>
      <c r="AC563" s="392" t="e">
        <f>RawMaterials[[#This Row],[Lab Price 2]]/RawMaterials[[#This Row],[Lab Q Model Units 2]]</f>
        <v>#N/A</v>
      </c>
      <c r="AD563" s="392" t="e">
        <f>RawMaterials[[#This Row],[Lab Price 3]]/RawMaterials[[#This Row],[Lab Q Model Units 3]]</f>
        <v>#N/A</v>
      </c>
      <c r="AE563" s="392" t="e">
        <f>RawMaterials[[#This Row],[Lab Price 4]]/RawMaterials[[#This Row],[Lab Q Model Units 4]]</f>
        <v>#N/A</v>
      </c>
      <c r="AF563" s="392" t="str">
        <f ca="1">IF(RawMaterials[[#This Row],[Lab Quote Count]]&gt;1,SLOPE(LOG(INDIRECT("RawMaterials[@[Lab Unit P 1]:[Lab Unit P "&amp;RawMaterials[[#This Row],[Lab Quote Count]]&amp;"]]")),LOG(INDIRECT("RawMaterials[@[Lab Q Model Units 1]:[Lab Q Model Units "&amp;RawMaterials[[#This Row],[Lab Quote Count]]&amp;"]]"))),"")</f>
        <v/>
      </c>
      <c r="AG563" s="392" t="str">
        <f ca="1">IF(RawMaterials[[#This Row],[Lab Quote Count]]&gt;1,INTERCEPT(LOG(INDIRECT("RawMaterials[@[Lab Unit P 1]:[Lab Unit P "&amp;RawMaterials[[#This Row],[Lab Quote Count]]&amp;"]]")),LOG(INDIRECT("RawMaterials[@[Lab Q Model Units 1]:[Lab Q Model Units "&amp;RawMaterials[[#This Row],[Lab Quote Count]]&amp;"]]"))),"")</f>
        <v/>
      </c>
      <c r="AH563" s="393" t="str">
        <f>IF(RawMaterials[[#This Row],[Material Type]]="Metal Precursor","D13",IF(RawMaterials[[#This Row],[Material Type]]="Ligand","D13","D12"))</f>
        <v>D12</v>
      </c>
      <c r="AI563" s="394" t="str">
        <f ca="1">IF(RawMaterials[[#This Row],[Lab Quote Count]]&gt;1,10^RawMaterials[[#This Row],[Lab Log-Log Intercept]]*INDIRECT(RawMaterials[[#This Row],[Basis Cell]])^RawMaterials[[#This Row],[Lab Log-Log Slope]],"&gt;&gt;&gt; Enter 2 or more lab quotes &lt;&lt;&lt;")</f>
        <v>&gt;&gt;&gt; Enter 2 or more lab quotes &lt;&lt;&lt;</v>
      </c>
      <c r="AJ56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1.4660740435294359</v>
      </c>
      <c r="AL563" s="396">
        <f>IF(ISTEXT(RawMaterials[[#This Row],[Unit price in quote year]]),"Check calcs",RawMaterials[[#This Row],[Unit price in quote year]]/VLOOKUP(RawMaterials[[#This Row],[Quote Year]],ChemPPI[],14,FALSE)*VLOOKUP(BasisYear,ChemPPI[],14,FALSE))</f>
        <v>1.9897783385503678</v>
      </c>
      <c r="AM563" s="397" t="str">
        <f t="shared" si="8"/>
        <v>$/kg (2016)</v>
      </c>
    </row>
    <row r="564" spans="1:39">
      <c r="A564" s="259" t="s">
        <v>1648</v>
      </c>
      <c r="B564" s="260"/>
      <c r="C564" s="351">
        <v>64.066000000000003</v>
      </c>
      <c r="D564" s="263">
        <f>RawMaterials[[#This Row],[MW (g/mol)]]/molar_volume_scf_def</f>
        <v>2.6535486356452182E-3</v>
      </c>
      <c r="E564" s="260">
        <v>100</v>
      </c>
      <c r="F564" s="260"/>
      <c r="G564" s="351"/>
      <c r="H564" s="351"/>
      <c r="I564" s="262"/>
      <c r="J564" s="351"/>
      <c r="K564" s="351"/>
      <c r="L564" s="351"/>
      <c r="M564" s="351"/>
      <c r="N564" s="351"/>
      <c r="O564" s="351"/>
      <c r="P564" s="261">
        <v>230</v>
      </c>
      <c r="Q564" s="260">
        <v>2000</v>
      </c>
      <c r="R564" s="260" t="s">
        <v>20</v>
      </c>
      <c r="S564" s="260">
        <v>2006</v>
      </c>
      <c r="T564" s="260" t="s">
        <v>161</v>
      </c>
      <c r="U564" s="386">
        <v>42653</v>
      </c>
      <c r="V564" s="387"/>
      <c r="W564" s="354">
        <f>COUNT(RawMaterials[[#This Row],[Lab Quantity 1]:[Lab Quantity 4]])</f>
        <v>0</v>
      </c>
      <c r="X56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4" s="392" t="e">
        <f>RawMaterials[[#This Row],[Lab Price 1]]/RawMaterials[[#This Row],[Lab Q Model Units 1]]</f>
        <v>#N/A</v>
      </c>
      <c r="AC564" s="392" t="e">
        <f>RawMaterials[[#This Row],[Lab Price 2]]/RawMaterials[[#This Row],[Lab Q Model Units 2]]</f>
        <v>#N/A</v>
      </c>
      <c r="AD564" s="392" t="e">
        <f>RawMaterials[[#This Row],[Lab Price 3]]/RawMaterials[[#This Row],[Lab Q Model Units 3]]</f>
        <v>#N/A</v>
      </c>
      <c r="AE564" s="392" t="e">
        <f>RawMaterials[[#This Row],[Lab Price 4]]/RawMaterials[[#This Row],[Lab Q Model Units 4]]</f>
        <v>#N/A</v>
      </c>
      <c r="AF564" s="392" t="str">
        <f ca="1">IF(RawMaterials[[#This Row],[Lab Quote Count]]&gt;1,SLOPE(LOG(INDIRECT("RawMaterials[@[Lab Unit P 1]:[Lab Unit P "&amp;RawMaterials[[#This Row],[Lab Quote Count]]&amp;"]]")),LOG(INDIRECT("RawMaterials[@[Lab Q Model Units 1]:[Lab Q Model Units "&amp;RawMaterials[[#This Row],[Lab Quote Count]]&amp;"]]"))),"")</f>
        <v/>
      </c>
      <c r="AG564" s="392" t="str">
        <f ca="1">IF(RawMaterials[[#This Row],[Lab Quote Count]]&gt;1,INTERCEPT(LOG(INDIRECT("RawMaterials[@[Lab Unit P 1]:[Lab Unit P "&amp;RawMaterials[[#This Row],[Lab Quote Count]]&amp;"]]")),LOG(INDIRECT("RawMaterials[@[Lab Q Model Units 1]:[Lab Q Model Units "&amp;RawMaterials[[#This Row],[Lab Quote Count]]&amp;"]]"))),"")</f>
        <v/>
      </c>
      <c r="AH564" s="393" t="str">
        <f>IF(RawMaterials[[#This Row],[Material Type]]="Metal Precursor","D13",IF(RawMaterials[[#This Row],[Material Type]]="Ligand","D13","D12"))</f>
        <v>D12</v>
      </c>
      <c r="AI564" s="394" t="str">
        <f ca="1">IF(RawMaterials[[#This Row],[Lab Quote Count]]&gt;1,10^RawMaterials[[#This Row],[Lab Log-Log Intercept]]*INDIRECT(RawMaterials[[#This Row],[Basis Cell]])^RawMaterials[[#This Row],[Lab Log-Log Slope]],"&gt;&gt;&gt; Enter 2 or more lab quotes &lt;&lt;&lt;")</f>
        <v>&gt;&gt;&gt; Enter 2 or more lab quotes &lt;&lt;&lt;</v>
      </c>
      <c r="AJ56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0.25353160151260923</v>
      </c>
      <c r="AL564" s="396">
        <f>IF(ISTEXT(RawMaterials[[#This Row],[Unit price in quote year]]),"Check calcs",RawMaterials[[#This Row],[Unit price in quote year]]/VLOOKUP(RawMaterials[[#This Row],[Quote Year]],ChemPPI[],14,FALSE)*VLOOKUP(BasisYear,ChemPPI[],14,FALSE))</f>
        <v>0.34409700591472531</v>
      </c>
      <c r="AM564" s="397" t="str">
        <f t="shared" si="8"/>
        <v>$/kg (2016)</v>
      </c>
    </row>
    <row r="565" spans="1:39">
      <c r="A565" s="259" t="s">
        <v>1649</v>
      </c>
      <c r="B565" s="260"/>
      <c r="C565" s="351"/>
      <c r="D565" s="263"/>
      <c r="E565" s="260">
        <v>100</v>
      </c>
      <c r="F565" s="260"/>
      <c r="G565" s="351"/>
      <c r="H565" s="351"/>
      <c r="I565" s="262"/>
      <c r="J565" s="351"/>
      <c r="K565" s="351"/>
      <c r="L565" s="351"/>
      <c r="M565" s="351"/>
      <c r="N565" s="351"/>
      <c r="O565" s="351"/>
      <c r="P565" s="261">
        <v>408.75</v>
      </c>
      <c r="Q565" s="260">
        <v>1</v>
      </c>
      <c r="R565" s="260" t="s">
        <v>401</v>
      </c>
      <c r="S565" s="260">
        <v>2006</v>
      </c>
      <c r="T565" s="260" t="s">
        <v>161</v>
      </c>
      <c r="U565" s="386">
        <v>42653</v>
      </c>
      <c r="V565" s="387"/>
      <c r="W565" s="354">
        <f>COUNT(RawMaterials[[#This Row],[Lab Quantity 1]:[Lab Quantity 4]])</f>
        <v>0</v>
      </c>
      <c r="X56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5" s="392" t="e">
        <f>RawMaterials[[#This Row],[Lab Price 1]]/RawMaterials[[#This Row],[Lab Q Model Units 1]]</f>
        <v>#N/A</v>
      </c>
      <c r="AC565" s="392" t="e">
        <f>RawMaterials[[#This Row],[Lab Price 2]]/RawMaterials[[#This Row],[Lab Q Model Units 2]]</f>
        <v>#N/A</v>
      </c>
      <c r="AD565" s="392" t="e">
        <f>RawMaterials[[#This Row],[Lab Price 3]]/RawMaterials[[#This Row],[Lab Q Model Units 3]]</f>
        <v>#N/A</v>
      </c>
      <c r="AE565" s="392" t="e">
        <f>RawMaterials[[#This Row],[Lab Price 4]]/RawMaterials[[#This Row],[Lab Q Model Units 4]]</f>
        <v>#N/A</v>
      </c>
      <c r="AF565" s="392" t="str">
        <f ca="1">IF(RawMaterials[[#This Row],[Lab Quote Count]]&gt;1,SLOPE(LOG(INDIRECT("RawMaterials[@[Lab Unit P 1]:[Lab Unit P "&amp;RawMaterials[[#This Row],[Lab Quote Count]]&amp;"]]")),LOG(INDIRECT("RawMaterials[@[Lab Q Model Units 1]:[Lab Q Model Units "&amp;RawMaterials[[#This Row],[Lab Quote Count]]&amp;"]]"))),"")</f>
        <v/>
      </c>
      <c r="AG565" s="392" t="str">
        <f ca="1">IF(RawMaterials[[#This Row],[Lab Quote Count]]&gt;1,INTERCEPT(LOG(INDIRECT("RawMaterials[@[Lab Unit P 1]:[Lab Unit P "&amp;RawMaterials[[#This Row],[Lab Quote Count]]&amp;"]]")),LOG(INDIRECT("RawMaterials[@[Lab Q Model Units 1]:[Lab Q Model Units "&amp;RawMaterials[[#This Row],[Lab Quote Count]]&amp;"]]"))),"")</f>
        <v/>
      </c>
      <c r="AH565" s="393" t="str">
        <f>IF(RawMaterials[[#This Row],[Material Type]]="Metal Precursor","D13",IF(RawMaterials[[#This Row],[Material Type]]="Ligand","D13","D12"))</f>
        <v>D12</v>
      </c>
      <c r="AI565" s="394" t="str">
        <f ca="1">IF(RawMaterials[[#This Row],[Lab Quote Count]]&gt;1,10^RawMaterials[[#This Row],[Lab Log-Log Intercept]]*INDIRECT(RawMaterials[[#This Row],[Basis Cell]])^RawMaterials[[#This Row],[Lab Log-Log Slope]],"&gt;&gt;&gt; Enter 2 or more lab quotes &lt;&lt;&lt;")</f>
        <v>&gt;&gt;&gt; Enter 2 or more lab quotes &lt;&lt;&lt;</v>
      </c>
      <c r="AJ56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0.45056974834034352</v>
      </c>
      <c r="AL565" s="396">
        <f>IF(ISTEXT(RawMaterials[[#This Row],[Unit price in quote year]]),"Check calcs",RawMaterials[[#This Row],[Unit price in quote year]]/VLOOKUP(RawMaterials[[#This Row],[Quote Year]],ChemPPI[],14,FALSE)*VLOOKUP(BasisYear,ChemPPI[],14,FALSE))</f>
        <v>0.61152022246801718</v>
      </c>
      <c r="AM565" s="397" t="str">
        <f t="shared" si="8"/>
        <v>$/kg (2016)</v>
      </c>
    </row>
    <row r="566" spans="1:39">
      <c r="A566" s="259" t="s">
        <v>1650</v>
      </c>
      <c r="B566" s="260"/>
      <c r="C566" s="351"/>
      <c r="D566" s="263"/>
      <c r="E566" s="260">
        <v>100</v>
      </c>
      <c r="F566" s="260"/>
      <c r="G566" s="351"/>
      <c r="H566" s="351"/>
      <c r="I566" s="262"/>
      <c r="J566" s="351"/>
      <c r="K566" s="351"/>
      <c r="L566" s="351"/>
      <c r="M566" s="351"/>
      <c r="N566" s="351"/>
      <c r="O566" s="351"/>
      <c r="P566" s="261">
        <v>0.43</v>
      </c>
      <c r="Q566" s="260">
        <v>1</v>
      </c>
      <c r="R566" s="260" t="s">
        <v>1112</v>
      </c>
      <c r="S566" s="260">
        <v>2008</v>
      </c>
      <c r="T566" s="260" t="s">
        <v>161</v>
      </c>
      <c r="U566" s="386">
        <v>42653</v>
      </c>
      <c r="V566" s="387"/>
      <c r="W566" s="354">
        <f>COUNT(RawMaterials[[#This Row],[Lab Quantity 1]:[Lab Quantity 4]])</f>
        <v>0</v>
      </c>
      <c r="X56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6" s="392" t="e">
        <f>RawMaterials[[#This Row],[Lab Price 1]]/RawMaterials[[#This Row],[Lab Q Model Units 1]]</f>
        <v>#N/A</v>
      </c>
      <c r="AC566" s="392" t="e">
        <f>RawMaterials[[#This Row],[Lab Price 2]]/RawMaterials[[#This Row],[Lab Q Model Units 2]]</f>
        <v>#N/A</v>
      </c>
      <c r="AD566" s="392" t="e">
        <f>RawMaterials[[#This Row],[Lab Price 3]]/RawMaterials[[#This Row],[Lab Q Model Units 3]]</f>
        <v>#N/A</v>
      </c>
      <c r="AE566" s="392" t="e">
        <f>RawMaterials[[#This Row],[Lab Price 4]]/RawMaterials[[#This Row],[Lab Q Model Units 4]]</f>
        <v>#N/A</v>
      </c>
      <c r="AF566" s="392" t="str">
        <f ca="1">IF(RawMaterials[[#This Row],[Lab Quote Count]]&gt;1,SLOPE(LOG(INDIRECT("RawMaterials[@[Lab Unit P 1]:[Lab Unit P "&amp;RawMaterials[[#This Row],[Lab Quote Count]]&amp;"]]")),LOG(INDIRECT("RawMaterials[@[Lab Q Model Units 1]:[Lab Q Model Units "&amp;RawMaterials[[#This Row],[Lab Quote Count]]&amp;"]]"))),"")</f>
        <v/>
      </c>
      <c r="AG566" s="392" t="str">
        <f ca="1">IF(RawMaterials[[#This Row],[Lab Quote Count]]&gt;1,INTERCEPT(LOG(INDIRECT("RawMaterials[@[Lab Unit P 1]:[Lab Unit P "&amp;RawMaterials[[#This Row],[Lab Quote Count]]&amp;"]]")),LOG(INDIRECT("RawMaterials[@[Lab Q Model Units 1]:[Lab Q Model Units "&amp;RawMaterials[[#This Row],[Lab Quote Count]]&amp;"]]"))),"")</f>
        <v/>
      </c>
      <c r="AH566" s="393" t="str">
        <f>IF(RawMaterials[[#This Row],[Material Type]]="Metal Precursor","D13",IF(RawMaterials[[#This Row],[Material Type]]="Ligand","D13","D12"))</f>
        <v>D12</v>
      </c>
      <c r="AI566" s="394" t="str">
        <f ca="1">IF(RawMaterials[[#This Row],[Lab Quote Count]]&gt;1,10^RawMaterials[[#This Row],[Lab Log-Log Intercept]]*INDIRECT(RawMaterials[[#This Row],[Basis Cell]])^RawMaterials[[#This Row],[Lab Log-Log Slope]],"&gt;&gt;&gt; Enter 2 or more lab quotes &lt;&lt;&lt;")</f>
        <v>&gt;&gt;&gt; Enter 2 or more lab quotes &lt;&lt;&lt;</v>
      </c>
      <c r="AJ56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6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4.2999999999999999E-4</v>
      </c>
      <c r="AL566" s="396">
        <f>IF(ISTEXT(RawMaterials[[#This Row],[Unit price in quote year]]),"Check calcs",RawMaterials[[#This Row],[Unit price in quote year]]/VLOOKUP(RawMaterials[[#This Row],[Quote Year]],ChemPPI[],14,FALSE)*VLOOKUP(BasisYear,ChemPPI[],14,FALSE))</f>
        <v>5.0328135840788752E-4</v>
      </c>
      <c r="AM566" s="397" t="str">
        <f t="shared" si="8"/>
        <v>$/kg (2016)</v>
      </c>
    </row>
    <row r="567" spans="1:39">
      <c r="A567" s="259" t="s">
        <v>1651</v>
      </c>
      <c r="B567" s="260"/>
      <c r="C567" s="351"/>
      <c r="D567" s="351"/>
      <c r="E567" s="260">
        <v>100</v>
      </c>
      <c r="F567" s="260"/>
      <c r="G567" s="351"/>
      <c r="H567" s="351"/>
      <c r="I567" s="262"/>
      <c r="J567" s="351"/>
      <c r="K567" s="351"/>
      <c r="L567" s="351"/>
      <c r="M567" s="351"/>
      <c r="N567" s="351"/>
      <c r="O567" s="351"/>
      <c r="P567" s="261">
        <v>344.96499999999997</v>
      </c>
      <c r="Q567" s="260">
        <v>1</v>
      </c>
      <c r="R567" s="260" t="s">
        <v>1112</v>
      </c>
      <c r="S567" s="260">
        <v>2008</v>
      </c>
      <c r="T567" s="260" t="s">
        <v>161</v>
      </c>
      <c r="U567" s="386">
        <v>42653</v>
      </c>
      <c r="V567" s="387"/>
      <c r="W567" s="354">
        <f>COUNT(RawMaterials[[#This Row],[Lab Quantity 1]:[Lab Quantity 4]])</f>
        <v>0</v>
      </c>
      <c r="X56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7" s="392" t="e">
        <f>RawMaterials[[#This Row],[Lab Price 1]]/RawMaterials[[#This Row],[Lab Q Model Units 1]]</f>
        <v>#N/A</v>
      </c>
      <c r="AC567" s="392" t="e">
        <f>RawMaterials[[#This Row],[Lab Price 2]]/RawMaterials[[#This Row],[Lab Q Model Units 2]]</f>
        <v>#N/A</v>
      </c>
      <c r="AD567" s="392" t="e">
        <f>RawMaterials[[#This Row],[Lab Price 3]]/RawMaterials[[#This Row],[Lab Q Model Units 3]]</f>
        <v>#N/A</v>
      </c>
      <c r="AE567" s="392" t="e">
        <f>RawMaterials[[#This Row],[Lab Price 4]]/RawMaterials[[#This Row],[Lab Q Model Units 4]]</f>
        <v>#N/A</v>
      </c>
      <c r="AF567" s="392" t="str">
        <f ca="1">IF(RawMaterials[[#This Row],[Lab Quote Count]]&gt;1,SLOPE(LOG(INDIRECT("RawMaterials[@[Lab Unit P 1]:[Lab Unit P "&amp;RawMaterials[[#This Row],[Lab Quote Count]]&amp;"]]")),LOG(INDIRECT("RawMaterials[@[Lab Q Model Units 1]:[Lab Q Model Units "&amp;RawMaterials[[#This Row],[Lab Quote Count]]&amp;"]]"))),"")</f>
        <v/>
      </c>
      <c r="AG567" s="392" t="str">
        <f ca="1">IF(RawMaterials[[#This Row],[Lab Quote Count]]&gt;1,INTERCEPT(LOG(INDIRECT("RawMaterials[@[Lab Unit P 1]:[Lab Unit P "&amp;RawMaterials[[#This Row],[Lab Quote Count]]&amp;"]]")),LOG(INDIRECT("RawMaterials[@[Lab Q Model Units 1]:[Lab Q Model Units "&amp;RawMaterials[[#This Row],[Lab Quote Count]]&amp;"]]"))),"")</f>
        <v/>
      </c>
      <c r="AH567" s="393" t="str">
        <f>IF(RawMaterials[[#This Row],[Material Type]]="Metal Precursor","D13",IF(RawMaterials[[#This Row],[Material Type]]="Ligand","D13","D12"))</f>
        <v>D12</v>
      </c>
      <c r="AI567" s="394" t="str">
        <f ca="1">IF(RawMaterials[[#This Row],[Lab Quote Count]]&gt;1,10^RawMaterials[[#This Row],[Lab Log-Log Intercept]]*INDIRECT(RawMaterials[[#This Row],[Basis Cell]])^RawMaterials[[#This Row],[Lab Log-Log Slope]],"&gt;&gt;&gt; Enter 2 or more lab quotes &lt;&lt;&lt;")</f>
        <v>&gt;&gt;&gt; Enter 2 or more lab quotes &lt;&lt;&lt;</v>
      </c>
      <c r="AJ56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6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0.34496499999999997</v>
      </c>
      <c r="AL567" s="396">
        <f>IF(ISTEXT(RawMaterials[[#This Row],[Unit price in quote year]]),"Check calcs",RawMaterials[[#This Row],[Unit price in quote year]]/VLOOKUP(RawMaterials[[#This Row],[Quote Year]],ChemPPI[],14,FALSE)*VLOOKUP(BasisYear,ChemPPI[],14,FALSE))</f>
        <v>0.40375454372831843</v>
      </c>
      <c r="AM567" s="397" t="str">
        <f t="shared" si="8"/>
        <v>$/kg (2016)</v>
      </c>
    </row>
    <row r="568" spans="1:39">
      <c r="A568" s="259" t="s">
        <v>1652</v>
      </c>
      <c r="B568" s="260"/>
      <c r="C568" s="351"/>
      <c r="D568" s="351"/>
      <c r="E568" s="260">
        <v>100</v>
      </c>
      <c r="F568" s="260"/>
      <c r="G568" s="351"/>
      <c r="H568" s="351"/>
      <c r="I568" s="262"/>
      <c r="J568" s="351"/>
      <c r="K568" s="351"/>
      <c r="L568" s="351"/>
      <c r="M568" s="351"/>
      <c r="N568" s="351"/>
      <c r="O568" s="351"/>
      <c r="P568" s="261">
        <v>94</v>
      </c>
      <c r="Q568" s="260">
        <v>1</v>
      </c>
      <c r="R568" s="260" t="s">
        <v>401</v>
      </c>
      <c r="S568" s="260">
        <v>2006</v>
      </c>
      <c r="T568" s="260" t="s">
        <v>161</v>
      </c>
      <c r="U568" s="386">
        <v>42653</v>
      </c>
      <c r="V568" s="387"/>
      <c r="W568" s="354">
        <f>COUNT(RawMaterials[[#This Row],[Lab Quantity 1]:[Lab Quantity 4]])</f>
        <v>0</v>
      </c>
      <c r="X56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8" s="392" t="e">
        <f>RawMaterials[[#This Row],[Lab Price 1]]/RawMaterials[[#This Row],[Lab Q Model Units 1]]</f>
        <v>#N/A</v>
      </c>
      <c r="AC568" s="392" t="e">
        <f>RawMaterials[[#This Row],[Lab Price 2]]/RawMaterials[[#This Row],[Lab Q Model Units 2]]</f>
        <v>#N/A</v>
      </c>
      <c r="AD568" s="392" t="e">
        <f>RawMaterials[[#This Row],[Lab Price 3]]/RawMaterials[[#This Row],[Lab Q Model Units 3]]</f>
        <v>#N/A</v>
      </c>
      <c r="AE568" s="392" t="e">
        <f>RawMaterials[[#This Row],[Lab Price 4]]/RawMaterials[[#This Row],[Lab Q Model Units 4]]</f>
        <v>#N/A</v>
      </c>
      <c r="AF568" s="392" t="str">
        <f ca="1">IF(RawMaterials[[#This Row],[Lab Quote Count]]&gt;1,SLOPE(LOG(INDIRECT("RawMaterials[@[Lab Unit P 1]:[Lab Unit P "&amp;RawMaterials[[#This Row],[Lab Quote Count]]&amp;"]]")),LOG(INDIRECT("RawMaterials[@[Lab Q Model Units 1]:[Lab Q Model Units "&amp;RawMaterials[[#This Row],[Lab Quote Count]]&amp;"]]"))),"")</f>
        <v/>
      </c>
      <c r="AG568" s="392" t="str">
        <f ca="1">IF(RawMaterials[[#This Row],[Lab Quote Count]]&gt;1,INTERCEPT(LOG(INDIRECT("RawMaterials[@[Lab Unit P 1]:[Lab Unit P "&amp;RawMaterials[[#This Row],[Lab Quote Count]]&amp;"]]")),LOG(INDIRECT("RawMaterials[@[Lab Q Model Units 1]:[Lab Q Model Units "&amp;RawMaterials[[#This Row],[Lab Quote Count]]&amp;"]]"))),"")</f>
        <v/>
      </c>
      <c r="AH568" s="393" t="str">
        <f>IF(RawMaterials[[#This Row],[Material Type]]="Metal Precursor","D13",IF(RawMaterials[[#This Row],[Material Type]]="Ligand","D13","D12"))</f>
        <v>D12</v>
      </c>
      <c r="AI568" s="394" t="str">
        <f ca="1">IF(RawMaterials[[#This Row],[Lab Quote Count]]&gt;1,10^RawMaterials[[#This Row],[Lab Log-Log Intercept]]*INDIRECT(RawMaterials[[#This Row],[Basis Cell]])^RawMaterials[[#This Row],[Lab Log-Log Slope]],"&gt;&gt;&gt; Enter 2 or more lab quotes &lt;&lt;&lt;")</f>
        <v>&gt;&gt;&gt; Enter 2 or more lab quotes &lt;&lt;&lt;</v>
      </c>
      <c r="AJ56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0.10361726322689246</v>
      </c>
      <c r="AL568" s="396">
        <f>IF(ISTEXT(RawMaterials[[#This Row],[Unit price in quote year]]),"Check calcs",RawMaterials[[#This Row],[Unit price in quote year]]/VLOOKUP(RawMaterials[[#This Row],[Quote Year]],ChemPPI[],14,FALSE)*VLOOKUP(BasisYear,ChemPPI[],14,FALSE))</f>
        <v>0.14063095024340946</v>
      </c>
      <c r="AM568" s="397" t="str">
        <f t="shared" si="8"/>
        <v>$/kg (2016)</v>
      </c>
    </row>
    <row r="569" spans="1:39">
      <c r="A569" s="259" t="s">
        <v>1653</v>
      </c>
      <c r="B569" s="260"/>
      <c r="C569" s="351"/>
      <c r="D569" s="351"/>
      <c r="E569" s="260">
        <v>100</v>
      </c>
      <c r="F569" s="260"/>
      <c r="G569" s="351"/>
      <c r="H569" s="351"/>
      <c r="I569" s="262"/>
      <c r="J569" s="351"/>
      <c r="K569" s="351"/>
      <c r="L569" s="351"/>
      <c r="M569" s="351"/>
      <c r="N569" s="351"/>
      <c r="O569" s="351"/>
      <c r="P569" s="261">
        <v>56</v>
      </c>
      <c r="Q569" s="260">
        <v>1</v>
      </c>
      <c r="R569" s="260" t="s">
        <v>401</v>
      </c>
      <c r="S569" s="260">
        <v>2006</v>
      </c>
      <c r="T569" s="260" t="s">
        <v>161</v>
      </c>
      <c r="U569" s="386">
        <v>42653</v>
      </c>
      <c r="V569" s="387"/>
      <c r="W569" s="354">
        <f>COUNT(RawMaterials[[#This Row],[Lab Quantity 1]:[Lab Quantity 4]])</f>
        <v>0</v>
      </c>
      <c r="X56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9" s="392" t="e">
        <f>RawMaterials[[#This Row],[Lab Price 1]]/RawMaterials[[#This Row],[Lab Q Model Units 1]]</f>
        <v>#N/A</v>
      </c>
      <c r="AC569" s="392" t="e">
        <f>RawMaterials[[#This Row],[Lab Price 2]]/RawMaterials[[#This Row],[Lab Q Model Units 2]]</f>
        <v>#N/A</v>
      </c>
      <c r="AD569" s="392" t="e">
        <f>RawMaterials[[#This Row],[Lab Price 3]]/RawMaterials[[#This Row],[Lab Q Model Units 3]]</f>
        <v>#N/A</v>
      </c>
      <c r="AE569" s="392" t="e">
        <f>RawMaterials[[#This Row],[Lab Price 4]]/RawMaterials[[#This Row],[Lab Q Model Units 4]]</f>
        <v>#N/A</v>
      </c>
      <c r="AF569" s="392" t="str">
        <f ca="1">IF(RawMaterials[[#This Row],[Lab Quote Count]]&gt;1,SLOPE(LOG(INDIRECT("RawMaterials[@[Lab Unit P 1]:[Lab Unit P "&amp;RawMaterials[[#This Row],[Lab Quote Count]]&amp;"]]")),LOG(INDIRECT("RawMaterials[@[Lab Q Model Units 1]:[Lab Q Model Units "&amp;RawMaterials[[#This Row],[Lab Quote Count]]&amp;"]]"))),"")</f>
        <v/>
      </c>
      <c r="AG569" s="392" t="str">
        <f ca="1">IF(RawMaterials[[#This Row],[Lab Quote Count]]&gt;1,INTERCEPT(LOG(INDIRECT("RawMaterials[@[Lab Unit P 1]:[Lab Unit P "&amp;RawMaterials[[#This Row],[Lab Quote Count]]&amp;"]]")),LOG(INDIRECT("RawMaterials[@[Lab Q Model Units 1]:[Lab Q Model Units "&amp;RawMaterials[[#This Row],[Lab Quote Count]]&amp;"]]"))),"")</f>
        <v/>
      </c>
      <c r="AH569" s="393" t="str">
        <f>IF(RawMaterials[[#This Row],[Material Type]]="Metal Precursor","D13",IF(RawMaterials[[#This Row],[Material Type]]="Ligand","D13","D12"))</f>
        <v>D12</v>
      </c>
      <c r="AI569" s="394" t="str">
        <f ca="1">IF(RawMaterials[[#This Row],[Lab Quote Count]]&gt;1,10^RawMaterials[[#This Row],[Lab Log-Log Intercept]]*INDIRECT(RawMaterials[[#This Row],[Basis Cell]])^RawMaterials[[#This Row],[Lab Log-Log Slope]],"&gt;&gt;&gt; Enter 2 or more lab quotes &lt;&lt;&lt;")</f>
        <v>&gt;&gt;&gt; Enter 2 or more lab quotes &lt;&lt;&lt;</v>
      </c>
      <c r="AJ56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6.1729433411765719E-2</v>
      </c>
      <c r="AL569" s="396">
        <f>IF(ISTEXT(RawMaterials[[#This Row],[Unit price in quote year]]),"Check calcs",RawMaterials[[#This Row],[Unit price in quote year]]/VLOOKUP(RawMaterials[[#This Row],[Quote Year]],ChemPPI[],14,FALSE)*VLOOKUP(BasisYear,ChemPPI[],14,FALSE))</f>
        <v>8.3780140570541797E-2</v>
      </c>
      <c r="AM569" s="397" t="str">
        <f t="shared" si="8"/>
        <v>$/kg (2016)</v>
      </c>
    </row>
    <row r="570" spans="1:39">
      <c r="A570" s="259" t="s">
        <v>1654</v>
      </c>
      <c r="B570" s="260"/>
      <c r="C570" s="351"/>
      <c r="D570" s="351"/>
      <c r="E570" s="260">
        <v>100</v>
      </c>
      <c r="F570" s="260"/>
      <c r="G570" s="351"/>
      <c r="H570" s="351"/>
      <c r="I570" s="262"/>
      <c r="J570" s="351"/>
      <c r="K570" s="351"/>
      <c r="L570" s="351"/>
      <c r="M570" s="351"/>
      <c r="N570" s="351"/>
      <c r="O570" s="351"/>
      <c r="P570" s="261">
        <v>67</v>
      </c>
      <c r="Q570" s="260">
        <v>1</v>
      </c>
      <c r="R570" s="260" t="s">
        <v>401</v>
      </c>
      <c r="S570" s="260">
        <v>2006</v>
      </c>
      <c r="T570" s="260" t="s">
        <v>161</v>
      </c>
      <c r="U570" s="386">
        <v>42653</v>
      </c>
      <c r="V570" s="387"/>
      <c r="W570" s="354">
        <f>COUNT(RawMaterials[[#This Row],[Lab Quantity 1]:[Lab Quantity 4]])</f>
        <v>0</v>
      </c>
      <c r="X57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0" s="392" t="e">
        <f>RawMaterials[[#This Row],[Lab Price 1]]/RawMaterials[[#This Row],[Lab Q Model Units 1]]</f>
        <v>#N/A</v>
      </c>
      <c r="AC570" s="392" t="e">
        <f>RawMaterials[[#This Row],[Lab Price 2]]/RawMaterials[[#This Row],[Lab Q Model Units 2]]</f>
        <v>#N/A</v>
      </c>
      <c r="AD570" s="392" t="e">
        <f>RawMaterials[[#This Row],[Lab Price 3]]/RawMaterials[[#This Row],[Lab Q Model Units 3]]</f>
        <v>#N/A</v>
      </c>
      <c r="AE570" s="392" t="e">
        <f>RawMaterials[[#This Row],[Lab Price 4]]/RawMaterials[[#This Row],[Lab Q Model Units 4]]</f>
        <v>#N/A</v>
      </c>
      <c r="AF570" s="392" t="str">
        <f ca="1">IF(RawMaterials[[#This Row],[Lab Quote Count]]&gt;1,SLOPE(LOG(INDIRECT("RawMaterials[@[Lab Unit P 1]:[Lab Unit P "&amp;RawMaterials[[#This Row],[Lab Quote Count]]&amp;"]]")),LOG(INDIRECT("RawMaterials[@[Lab Q Model Units 1]:[Lab Q Model Units "&amp;RawMaterials[[#This Row],[Lab Quote Count]]&amp;"]]"))),"")</f>
        <v/>
      </c>
      <c r="AG570" s="392" t="str">
        <f ca="1">IF(RawMaterials[[#This Row],[Lab Quote Count]]&gt;1,INTERCEPT(LOG(INDIRECT("RawMaterials[@[Lab Unit P 1]:[Lab Unit P "&amp;RawMaterials[[#This Row],[Lab Quote Count]]&amp;"]]")),LOG(INDIRECT("RawMaterials[@[Lab Q Model Units 1]:[Lab Q Model Units "&amp;RawMaterials[[#This Row],[Lab Quote Count]]&amp;"]]"))),"")</f>
        <v/>
      </c>
      <c r="AH570" s="393" t="str">
        <f>IF(RawMaterials[[#This Row],[Material Type]]="Metal Precursor","D13",IF(RawMaterials[[#This Row],[Material Type]]="Ligand","D13","D12"))</f>
        <v>D12</v>
      </c>
      <c r="AI570" s="394" t="str">
        <f ca="1">IF(RawMaterials[[#This Row],[Lab Quote Count]]&gt;1,10^RawMaterials[[#This Row],[Lab Log-Log Intercept]]*INDIRECT(RawMaterials[[#This Row],[Basis Cell]])^RawMaterials[[#This Row],[Lab Log-Log Slope]],"&gt;&gt;&gt; Enter 2 or more lab quotes &lt;&lt;&lt;")</f>
        <v>&gt;&gt;&gt; Enter 2 or more lab quotes &lt;&lt;&lt;</v>
      </c>
      <c r="AJ57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7.385485783193399E-2</v>
      </c>
      <c r="AL570" s="396">
        <f>IF(ISTEXT(RawMaterials[[#This Row],[Unit price in quote year]]),"Check calcs",RawMaterials[[#This Row],[Unit price in quote year]]/VLOOKUP(RawMaterials[[#This Row],[Quote Year]],ChemPPI[],14,FALSE)*VLOOKUP(BasisYear,ChemPPI[],14,FALSE))</f>
        <v>0.10023695389689823</v>
      </c>
      <c r="AM570" s="397" t="str">
        <f t="shared" si="8"/>
        <v>$/kg (2016)</v>
      </c>
    </row>
    <row r="571" spans="1:39">
      <c r="A571" s="259" t="s">
        <v>1655</v>
      </c>
      <c r="B571" s="260"/>
      <c r="C571" s="351"/>
      <c r="D571" s="351"/>
      <c r="E571" s="260">
        <v>100</v>
      </c>
      <c r="F571" s="260"/>
      <c r="G571" s="351"/>
      <c r="H571" s="351"/>
      <c r="I571" s="262"/>
      <c r="J571" s="351"/>
      <c r="K571" s="351"/>
      <c r="L571" s="351"/>
      <c r="M571" s="351"/>
      <c r="N571" s="351"/>
      <c r="O571" s="351"/>
      <c r="P571" s="261">
        <v>27.5</v>
      </c>
      <c r="Q571" s="260">
        <v>1</v>
      </c>
      <c r="R571" s="260" t="s">
        <v>401</v>
      </c>
      <c r="S571" s="260">
        <v>2006</v>
      </c>
      <c r="T571" s="260" t="s">
        <v>161</v>
      </c>
      <c r="U571" s="386">
        <v>42653</v>
      </c>
      <c r="V571" s="387"/>
      <c r="W571" s="354">
        <f>COUNT(RawMaterials[[#This Row],[Lab Quantity 1]:[Lab Quantity 4]])</f>
        <v>0</v>
      </c>
      <c r="X57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1" s="392" t="e">
        <f>RawMaterials[[#This Row],[Lab Price 1]]/RawMaterials[[#This Row],[Lab Q Model Units 1]]</f>
        <v>#N/A</v>
      </c>
      <c r="AC571" s="392" t="e">
        <f>RawMaterials[[#This Row],[Lab Price 2]]/RawMaterials[[#This Row],[Lab Q Model Units 2]]</f>
        <v>#N/A</v>
      </c>
      <c r="AD571" s="392" t="e">
        <f>RawMaterials[[#This Row],[Lab Price 3]]/RawMaterials[[#This Row],[Lab Q Model Units 3]]</f>
        <v>#N/A</v>
      </c>
      <c r="AE571" s="392" t="e">
        <f>RawMaterials[[#This Row],[Lab Price 4]]/RawMaterials[[#This Row],[Lab Q Model Units 4]]</f>
        <v>#N/A</v>
      </c>
      <c r="AF571" s="392" t="str">
        <f ca="1">IF(RawMaterials[[#This Row],[Lab Quote Count]]&gt;1,SLOPE(LOG(INDIRECT("RawMaterials[@[Lab Unit P 1]:[Lab Unit P "&amp;RawMaterials[[#This Row],[Lab Quote Count]]&amp;"]]")),LOG(INDIRECT("RawMaterials[@[Lab Q Model Units 1]:[Lab Q Model Units "&amp;RawMaterials[[#This Row],[Lab Quote Count]]&amp;"]]"))),"")</f>
        <v/>
      </c>
      <c r="AG571" s="392" t="str">
        <f ca="1">IF(RawMaterials[[#This Row],[Lab Quote Count]]&gt;1,INTERCEPT(LOG(INDIRECT("RawMaterials[@[Lab Unit P 1]:[Lab Unit P "&amp;RawMaterials[[#This Row],[Lab Quote Count]]&amp;"]]")),LOG(INDIRECT("RawMaterials[@[Lab Q Model Units 1]:[Lab Q Model Units "&amp;RawMaterials[[#This Row],[Lab Quote Count]]&amp;"]]"))),"")</f>
        <v/>
      </c>
      <c r="AH571" s="393" t="str">
        <f>IF(RawMaterials[[#This Row],[Material Type]]="Metal Precursor","D13",IF(RawMaterials[[#This Row],[Material Type]]="Ligand","D13","D12"))</f>
        <v>D12</v>
      </c>
      <c r="AI571" s="394" t="str">
        <f ca="1">IF(RawMaterials[[#This Row],[Lab Quote Count]]&gt;1,10^RawMaterials[[#This Row],[Lab Log-Log Intercept]]*INDIRECT(RawMaterials[[#This Row],[Basis Cell]])^RawMaterials[[#This Row],[Lab Log-Log Slope]],"&gt;&gt;&gt; Enter 2 or more lab quotes &lt;&lt;&lt;")</f>
        <v>&gt;&gt;&gt; Enter 2 or more lab quotes &lt;&lt;&lt;</v>
      </c>
      <c r="AJ57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3.0313561050420667E-2</v>
      </c>
      <c r="AL571" s="396">
        <f>IF(ISTEXT(RawMaterials[[#This Row],[Unit price in quote year]]),"Check calcs",RawMaterials[[#This Row],[Unit price in quote year]]/VLOOKUP(RawMaterials[[#This Row],[Quote Year]],ChemPPI[],14,FALSE)*VLOOKUP(BasisYear,ChemPPI[],14,FALSE))</f>
        <v>4.1142033315891065E-2</v>
      </c>
      <c r="AM571" s="397" t="str">
        <f t="shared" si="8"/>
        <v>$/kg (2016)</v>
      </c>
    </row>
    <row r="572" spans="1:39">
      <c r="A572" s="259" t="s">
        <v>1656</v>
      </c>
      <c r="B572" s="260"/>
      <c r="C572" s="351"/>
      <c r="D572" s="351"/>
      <c r="E572" s="260">
        <v>100</v>
      </c>
      <c r="F572" s="260"/>
      <c r="G572" s="351"/>
      <c r="H572" s="351"/>
      <c r="I572" s="262"/>
      <c r="J572" s="351"/>
      <c r="K572" s="351"/>
      <c r="L572" s="351"/>
      <c r="M572" s="351"/>
      <c r="N572" s="351"/>
      <c r="O572" s="351"/>
      <c r="P572" s="261">
        <v>1450</v>
      </c>
      <c r="Q572" s="260">
        <v>1</v>
      </c>
      <c r="R572" s="260" t="s">
        <v>401</v>
      </c>
      <c r="S572" s="260">
        <v>2006</v>
      </c>
      <c r="T572" s="260" t="s">
        <v>161</v>
      </c>
      <c r="U572" s="386">
        <v>42653</v>
      </c>
      <c r="V572" s="387"/>
      <c r="W572" s="354">
        <f>COUNT(RawMaterials[[#This Row],[Lab Quantity 1]:[Lab Quantity 4]])</f>
        <v>0</v>
      </c>
      <c r="X57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2" s="392" t="e">
        <f>RawMaterials[[#This Row],[Lab Price 1]]/RawMaterials[[#This Row],[Lab Q Model Units 1]]</f>
        <v>#N/A</v>
      </c>
      <c r="AC572" s="392" t="e">
        <f>RawMaterials[[#This Row],[Lab Price 2]]/RawMaterials[[#This Row],[Lab Q Model Units 2]]</f>
        <v>#N/A</v>
      </c>
      <c r="AD572" s="392" t="e">
        <f>RawMaterials[[#This Row],[Lab Price 3]]/RawMaterials[[#This Row],[Lab Q Model Units 3]]</f>
        <v>#N/A</v>
      </c>
      <c r="AE572" s="392" t="e">
        <f>RawMaterials[[#This Row],[Lab Price 4]]/RawMaterials[[#This Row],[Lab Q Model Units 4]]</f>
        <v>#N/A</v>
      </c>
      <c r="AF572" s="392" t="str">
        <f ca="1">IF(RawMaterials[[#This Row],[Lab Quote Count]]&gt;1,SLOPE(LOG(INDIRECT("RawMaterials[@[Lab Unit P 1]:[Lab Unit P "&amp;RawMaterials[[#This Row],[Lab Quote Count]]&amp;"]]")),LOG(INDIRECT("RawMaterials[@[Lab Q Model Units 1]:[Lab Q Model Units "&amp;RawMaterials[[#This Row],[Lab Quote Count]]&amp;"]]"))),"")</f>
        <v/>
      </c>
      <c r="AG572" s="392" t="str">
        <f ca="1">IF(RawMaterials[[#This Row],[Lab Quote Count]]&gt;1,INTERCEPT(LOG(INDIRECT("RawMaterials[@[Lab Unit P 1]:[Lab Unit P "&amp;RawMaterials[[#This Row],[Lab Quote Count]]&amp;"]]")),LOG(INDIRECT("RawMaterials[@[Lab Q Model Units 1]:[Lab Q Model Units "&amp;RawMaterials[[#This Row],[Lab Quote Count]]&amp;"]]"))),"")</f>
        <v/>
      </c>
      <c r="AH572" s="393" t="str">
        <f>IF(RawMaterials[[#This Row],[Material Type]]="Metal Precursor","D13",IF(RawMaterials[[#This Row],[Material Type]]="Ligand","D13","D12"))</f>
        <v>D12</v>
      </c>
      <c r="AI572" s="394" t="str">
        <f ca="1">IF(RawMaterials[[#This Row],[Lab Quote Count]]&gt;1,10^RawMaterials[[#This Row],[Lab Log-Log Intercept]]*INDIRECT(RawMaterials[[#This Row],[Basis Cell]])^RawMaterials[[#This Row],[Lab Log-Log Slope]],"&gt;&gt;&gt; Enter 2 or more lab quotes &lt;&lt;&lt;")</f>
        <v>&gt;&gt;&gt; Enter 2 or more lab quotes &lt;&lt;&lt;</v>
      </c>
      <c r="AJ57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1.5983514008403623</v>
      </c>
      <c r="AL572" s="396">
        <f>IF(ISTEXT(RawMaterials[[#This Row],[Unit price in quote year]]),"Check calcs",RawMaterials[[#This Row],[Unit price in quote year]]/VLOOKUP(RawMaterials[[#This Row],[Quote Year]],ChemPPI[],14,FALSE)*VLOOKUP(BasisYear,ChemPPI[],14,FALSE))</f>
        <v>2.1693072112015286</v>
      </c>
      <c r="AM572" s="397" t="str">
        <f t="shared" si="8"/>
        <v>$/kg (2016)</v>
      </c>
    </row>
    <row r="573" spans="1:39">
      <c r="A573" s="259" t="s">
        <v>1657</v>
      </c>
      <c r="B573" s="260"/>
      <c r="C573" s="351"/>
      <c r="D573" s="351"/>
      <c r="E573" s="260">
        <v>100</v>
      </c>
      <c r="F573" s="260"/>
      <c r="G573" s="351"/>
      <c r="H573" s="351"/>
      <c r="I573" s="262"/>
      <c r="J573" s="351"/>
      <c r="K573" s="351"/>
      <c r="L573" s="351"/>
      <c r="M573" s="351"/>
      <c r="N573" s="351"/>
      <c r="O573" s="351"/>
      <c r="P573" s="261">
        <v>87</v>
      </c>
      <c r="Q573" s="260">
        <v>1</v>
      </c>
      <c r="R573" s="260" t="s">
        <v>401</v>
      </c>
      <c r="S573" s="260">
        <v>2006</v>
      </c>
      <c r="T573" s="260" t="s">
        <v>161</v>
      </c>
      <c r="U573" s="386">
        <v>42653</v>
      </c>
      <c r="V573" s="387"/>
      <c r="W573" s="354">
        <f>COUNT(RawMaterials[[#This Row],[Lab Quantity 1]:[Lab Quantity 4]])</f>
        <v>0</v>
      </c>
      <c r="X57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3" s="392" t="e">
        <f>RawMaterials[[#This Row],[Lab Price 1]]/RawMaterials[[#This Row],[Lab Q Model Units 1]]</f>
        <v>#N/A</v>
      </c>
      <c r="AC573" s="392" t="e">
        <f>RawMaterials[[#This Row],[Lab Price 2]]/RawMaterials[[#This Row],[Lab Q Model Units 2]]</f>
        <v>#N/A</v>
      </c>
      <c r="AD573" s="392" t="e">
        <f>RawMaterials[[#This Row],[Lab Price 3]]/RawMaterials[[#This Row],[Lab Q Model Units 3]]</f>
        <v>#N/A</v>
      </c>
      <c r="AE573" s="392" t="e">
        <f>RawMaterials[[#This Row],[Lab Price 4]]/RawMaterials[[#This Row],[Lab Q Model Units 4]]</f>
        <v>#N/A</v>
      </c>
      <c r="AF573" s="392" t="str">
        <f ca="1">IF(RawMaterials[[#This Row],[Lab Quote Count]]&gt;1,SLOPE(LOG(INDIRECT("RawMaterials[@[Lab Unit P 1]:[Lab Unit P "&amp;RawMaterials[[#This Row],[Lab Quote Count]]&amp;"]]")),LOG(INDIRECT("RawMaterials[@[Lab Q Model Units 1]:[Lab Q Model Units "&amp;RawMaterials[[#This Row],[Lab Quote Count]]&amp;"]]"))),"")</f>
        <v/>
      </c>
      <c r="AG573" s="392" t="str">
        <f ca="1">IF(RawMaterials[[#This Row],[Lab Quote Count]]&gt;1,INTERCEPT(LOG(INDIRECT("RawMaterials[@[Lab Unit P 1]:[Lab Unit P "&amp;RawMaterials[[#This Row],[Lab Quote Count]]&amp;"]]")),LOG(INDIRECT("RawMaterials[@[Lab Q Model Units 1]:[Lab Q Model Units "&amp;RawMaterials[[#This Row],[Lab Quote Count]]&amp;"]]"))),"")</f>
        <v/>
      </c>
      <c r="AH573" s="393" t="str">
        <f>IF(RawMaterials[[#This Row],[Material Type]]="Metal Precursor","D13",IF(RawMaterials[[#This Row],[Material Type]]="Ligand","D13","D12"))</f>
        <v>D12</v>
      </c>
      <c r="AI573" s="394" t="str">
        <f ca="1">IF(RawMaterials[[#This Row],[Lab Quote Count]]&gt;1,10^RawMaterials[[#This Row],[Lab Log-Log Intercept]]*INDIRECT(RawMaterials[[#This Row],[Basis Cell]])^RawMaterials[[#This Row],[Lab Log-Log Slope]],"&gt;&gt;&gt; Enter 2 or more lab quotes &lt;&lt;&lt;")</f>
        <v>&gt;&gt;&gt; Enter 2 or more lab quotes &lt;&lt;&lt;</v>
      </c>
      <c r="AJ57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9.5901084050421748E-2</v>
      </c>
      <c r="AL573" s="396">
        <f>IF(ISTEXT(RawMaterials[[#This Row],[Unit price in quote year]]),"Check calcs",RawMaterials[[#This Row],[Unit price in quote year]]/VLOOKUP(RawMaterials[[#This Row],[Quote Year]],ChemPPI[],14,FALSE)*VLOOKUP(BasisYear,ChemPPI[],14,FALSE))</f>
        <v>0.13015843267209173</v>
      </c>
      <c r="AM573" s="397" t="str">
        <f t="shared" si="8"/>
        <v>$/kg (2016)</v>
      </c>
    </row>
    <row r="574" spans="1:39">
      <c r="A574" s="259" t="s">
        <v>1658</v>
      </c>
      <c r="B574" s="260"/>
      <c r="C574" s="351"/>
      <c r="D574" s="351"/>
      <c r="E574" s="260">
        <v>100</v>
      </c>
      <c r="F574" s="260"/>
      <c r="G574" s="351"/>
      <c r="H574" s="351"/>
      <c r="I574" s="262"/>
      <c r="J574" s="351"/>
      <c r="K574" s="351"/>
      <c r="L574" s="351"/>
      <c r="M574" s="351"/>
      <c r="N574" s="351"/>
      <c r="O574" s="351"/>
      <c r="P574" s="261">
        <v>94</v>
      </c>
      <c r="Q574" s="260">
        <v>1</v>
      </c>
      <c r="R574" s="260" t="s">
        <v>401</v>
      </c>
      <c r="S574" s="260">
        <v>2006</v>
      </c>
      <c r="T574" s="260" t="s">
        <v>161</v>
      </c>
      <c r="U574" s="386">
        <v>42653</v>
      </c>
      <c r="V574" s="387"/>
      <c r="W574" s="354">
        <f>COUNT(RawMaterials[[#This Row],[Lab Quantity 1]:[Lab Quantity 4]])</f>
        <v>0</v>
      </c>
      <c r="X57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4" s="392" t="e">
        <f>RawMaterials[[#This Row],[Lab Price 1]]/RawMaterials[[#This Row],[Lab Q Model Units 1]]</f>
        <v>#N/A</v>
      </c>
      <c r="AC574" s="392" t="e">
        <f>RawMaterials[[#This Row],[Lab Price 2]]/RawMaterials[[#This Row],[Lab Q Model Units 2]]</f>
        <v>#N/A</v>
      </c>
      <c r="AD574" s="392" t="e">
        <f>RawMaterials[[#This Row],[Lab Price 3]]/RawMaterials[[#This Row],[Lab Q Model Units 3]]</f>
        <v>#N/A</v>
      </c>
      <c r="AE574" s="392" t="e">
        <f>RawMaterials[[#This Row],[Lab Price 4]]/RawMaterials[[#This Row],[Lab Q Model Units 4]]</f>
        <v>#N/A</v>
      </c>
      <c r="AF574" s="392" t="str">
        <f ca="1">IF(RawMaterials[[#This Row],[Lab Quote Count]]&gt;1,SLOPE(LOG(INDIRECT("RawMaterials[@[Lab Unit P 1]:[Lab Unit P "&amp;RawMaterials[[#This Row],[Lab Quote Count]]&amp;"]]")),LOG(INDIRECT("RawMaterials[@[Lab Q Model Units 1]:[Lab Q Model Units "&amp;RawMaterials[[#This Row],[Lab Quote Count]]&amp;"]]"))),"")</f>
        <v/>
      </c>
      <c r="AG574" s="392" t="str">
        <f ca="1">IF(RawMaterials[[#This Row],[Lab Quote Count]]&gt;1,INTERCEPT(LOG(INDIRECT("RawMaterials[@[Lab Unit P 1]:[Lab Unit P "&amp;RawMaterials[[#This Row],[Lab Quote Count]]&amp;"]]")),LOG(INDIRECT("RawMaterials[@[Lab Q Model Units 1]:[Lab Q Model Units "&amp;RawMaterials[[#This Row],[Lab Quote Count]]&amp;"]]"))),"")</f>
        <v/>
      </c>
      <c r="AH574" s="393" t="str">
        <f>IF(RawMaterials[[#This Row],[Material Type]]="Metal Precursor","D13",IF(RawMaterials[[#This Row],[Material Type]]="Ligand","D13","D12"))</f>
        <v>D12</v>
      </c>
      <c r="AI574" s="394" t="str">
        <f ca="1">IF(RawMaterials[[#This Row],[Lab Quote Count]]&gt;1,10^RawMaterials[[#This Row],[Lab Log-Log Intercept]]*INDIRECT(RawMaterials[[#This Row],[Basis Cell]])^RawMaterials[[#This Row],[Lab Log-Log Slope]],"&gt;&gt;&gt; Enter 2 or more lab quotes &lt;&lt;&lt;")</f>
        <v>&gt;&gt;&gt; Enter 2 or more lab quotes &lt;&lt;&lt;</v>
      </c>
      <c r="AJ57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0.10361726322689246</v>
      </c>
      <c r="AL574" s="396">
        <f>IF(ISTEXT(RawMaterials[[#This Row],[Unit price in quote year]]),"Check calcs",RawMaterials[[#This Row],[Unit price in quote year]]/VLOOKUP(RawMaterials[[#This Row],[Quote Year]],ChemPPI[],14,FALSE)*VLOOKUP(BasisYear,ChemPPI[],14,FALSE))</f>
        <v>0.14063095024340946</v>
      </c>
      <c r="AM574" s="397" t="str">
        <f t="shared" si="8"/>
        <v>$/kg (2016)</v>
      </c>
    </row>
    <row r="575" spans="1:39">
      <c r="A575" s="259" t="s">
        <v>1659</v>
      </c>
      <c r="B575" s="260"/>
      <c r="C575" s="351"/>
      <c r="D575" s="351"/>
      <c r="E575" s="260">
        <v>100</v>
      </c>
      <c r="F575" s="260"/>
      <c r="G575" s="351"/>
      <c r="H575" s="351"/>
      <c r="I575" s="262"/>
      <c r="J575" s="351"/>
      <c r="K575" s="351"/>
      <c r="L575" s="351"/>
      <c r="M575" s="351"/>
      <c r="N575" s="351"/>
      <c r="O575" s="351"/>
      <c r="P575" s="261">
        <v>71</v>
      </c>
      <c r="Q575" s="260">
        <v>1</v>
      </c>
      <c r="R575" s="260" t="s">
        <v>401</v>
      </c>
      <c r="S575" s="260">
        <v>2006</v>
      </c>
      <c r="T575" s="260" t="s">
        <v>161</v>
      </c>
      <c r="U575" s="386">
        <v>42653</v>
      </c>
      <c r="V575" s="387"/>
      <c r="W575" s="354">
        <f>COUNT(RawMaterials[[#This Row],[Lab Quantity 1]:[Lab Quantity 4]])</f>
        <v>0</v>
      </c>
      <c r="X57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5" s="392" t="e">
        <f>RawMaterials[[#This Row],[Lab Price 1]]/RawMaterials[[#This Row],[Lab Q Model Units 1]]</f>
        <v>#N/A</v>
      </c>
      <c r="AC575" s="392" t="e">
        <f>RawMaterials[[#This Row],[Lab Price 2]]/RawMaterials[[#This Row],[Lab Q Model Units 2]]</f>
        <v>#N/A</v>
      </c>
      <c r="AD575" s="392" t="e">
        <f>RawMaterials[[#This Row],[Lab Price 3]]/RawMaterials[[#This Row],[Lab Q Model Units 3]]</f>
        <v>#N/A</v>
      </c>
      <c r="AE575" s="392" t="e">
        <f>RawMaterials[[#This Row],[Lab Price 4]]/RawMaterials[[#This Row],[Lab Q Model Units 4]]</f>
        <v>#N/A</v>
      </c>
      <c r="AF575" s="392" t="str">
        <f ca="1">IF(RawMaterials[[#This Row],[Lab Quote Count]]&gt;1,SLOPE(LOG(INDIRECT("RawMaterials[@[Lab Unit P 1]:[Lab Unit P "&amp;RawMaterials[[#This Row],[Lab Quote Count]]&amp;"]]")),LOG(INDIRECT("RawMaterials[@[Lab Q Model Units 1]:[Lab Q Model Units "&amp;RawMaterials[[#This Row],[Lab Quote Count]]&amp;"]]"))),"")</f>
        <v/>
      </c>
      <c r="AG575" s="392" t="str">
        <f ca="1">IF(RawMaterials[[#This Row],[Lab Quote Count]]&gt;1,INTERCEPT(LOG(INDIRECT("RawMaterials[@[Lab Unit P 1]:[Lab Unit P "&amp;RawMaterials[[#This Row],[Lab Quote Count]]&amp;"]]")),LOG(INDIRECT("RawMaterials[@[Lab Q Model Units 1]:[Lab Q Model Units "&amp;RawMaterials[[#This Row],[Lab Quote Count]]&amp;"]]"))),"")</f>
        <v/>
      </c>
      <c r="AH575" s="393" t="str">
        <f>IF(RawMaterials[[#This Row],[Material Type]]="Metal Precursor","D13",IF(RawMaterials[[#This Row],[Material Type]]="Ligand","D13","D12"))</f>
        <v>D12</v>
      </c>
      <c r="AI575" s="394" t="str">
        <f ca="1">IF(RawMaterials[[#This Row],[Lab Quote Count]]&gt;1,10^RawMaterials[[#This Row],[Lab Log-Log Intercept]]*INDIRECT(RawMaterials[[#This Row],[Basis Cell]])^RawMaterials[[#This Row],[Lab Log-Log Slope]],"&gt;&gt;&gt; Enter 2 or more lab quotes &lt;&lt;&lt;")</f>
        <v>&gt;&gt;&gt; Enter 2 or more lab quotes &lt;&lt;&lt;</v>
      </c>
      <c r="AJ57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7.8264103075631544E-2</v>
      </c>
      <c r="AL575" s="396">
        <f>IF(ISTEXT(RawMaterials[[#This Row],[Unit price in quote year]]),"Check calcs",RawMaterials[[#This Row],[Unit price in quote year]]/VLOOKUP(RawMaterials[[#This Row],[Quote Year]],ChemPPI[],14,FALSE)*VLOOKUP(BasisYear,ChemPPI[],14,FALSE))</f>
        <v>0.10622124965193694</v>
      </c>
      <c r="AM575" s="397" t="str">
        <f t="shared" si="8"/>
        <v>$/kg (2016)</v>
      </c>
    </row>
    <row r="576" spans="1:39">
      <c r="A576" s="259" t="s">
        <v>1660</v>
      </c>
      <c r="B576" s="260"/>
      <c r="C576" s="351"/>
      <c r="D576" s="351"/>
      <c r="E576" s="260">
        <v>100</v>
      </c>
      <c r="F576" s="260"/>
      <c r="G576" s="351"/>
      <c r="H576" s="351"/>
      <c r="I576" s="262"/>
      <c r="J576" s="351"/>
      <c r="K576" s="351"/>
      <c r="L576" s="351"/>
      <c r="M576" s="351"/>
      <c r="N576" s="351"/>
      <c r="O576" s="351"/>
      <c r="P576" s="261">
        <v>73.099999999999994</v>
      </c>
      <c r="Q576" s="260">
        <v>1</v>
      </c>
      <c r="R576" s="260" t="s">
        <v>401</v>
      </c>
      <c r="S576" s="260">
        <v>2006</v>
      </c>
      <c r="T576" s="260" t="s">
        <v>161</v>
      </c>
      <c r="U576" s="386">
        <v>42653</v>
      </c>
      <c r="V576" s="387"/>
      <c r="W576" s="354">
        <f>COUNT(RawMaterials[[#This Row],[Lab Quantity 1]:[Lab Quantity 4]])</f>
        <v>0</v>
      </c>
      <c r="X57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6" s="392" t="e">
        <f>RawMaterials[[#This Row],[Lab Price 1]]/RawMaterials[[#This Row],[Lab Q Model Units 1]]</f>
        <v>#N/A</v>
      </c>
      <c r="AC576" s="392" t="e">
        <f>RawMaterials[[#This Row],[Lab Price 2]]/RawMaterials[[#This Row],[Lab Q Model Units 2]]</f>
        <v>#N/A</v>
      </c>
      <c r="AD576" s="392" t="e">
        <f>RawMaterials[[#This Row],[Lab Price 3]]/RawMaterials[[#This Row],[Lab Q Model Units 3]]</f>
        <v>#N/A</v>
      </c>
      <c r="AE576" s="392" t="e">
        <f>RawMaterials[[#This Row],[Lab Price 4]]/RawMaterials[[#This Row],[Lab Q Model Units 4]]</f>
        <v>#N/A</v>
      </c>
      <c r="AF576" s="392" t="str">
        <f ca="1">IF(RawMaterials[[#This Row],[Lab Quote Count]]&gt;1,SLOPE(LOG(INDIRECT("RawMaterials[@[Lab Unit P 1]:[Lab Unit P "&amp;RawMaterials[[#This Row],[Lab Quote Count]]&amp;"]]")),LOG(INDIRECT("RawMaterials[@[Lab Q Model Units 1]:[Lab Q Model Units "&amp;RawMaterials[[#This Row],[Lab Quote Count]]&amp;"]]"))),"")</f>
        <v/>
      </c>
      <c r="AG576" s="392" t="str">
        <f ca="1">IF(RawMaterials[[#This Row],[Lab Quote Count]]&gt;1,INTERCEPT(LOG(INDIRECT("RawMaterials[@[Lab Unit P 1]:[Lab Unit P "&amp;RawMaterials[[#This Row],[Lab Quote Count]]&amp;"]]")),LOG(INDIRECT("RawMaterials[@[Lab Q Model Units 1]:[Lab Q Model Units "&amp;RawMaterials[[#This Row],[Lab Quote Count]]&amp;"]]"))),"")</f>
        <v/>
      </c>
      <c r="AH576" s="393" t="str">
        <f>IF(RawMaterials[[#This Row],[Material Type]]="Metal Precursor","D13",IF(RawMaterials[[#This Row],[Material Type]]="Ligand","D13","D12"))</f>
        <v>D12</v>
      </c>
      <c r="AI576" s="394" t="str">
        <f ca="1">IF(RawMaterials[[#This Row],[Lab Quote Count]]&gt;1,10^RawMaterials[[#This Row],[Lab Log-Log Intercept]]*INDIRECT(RawMaterials[[#This Row],[Basis Cell]])^RawMaterials[[#This Row],[Lab Log-Log Slope]],"&gt;&gt;&gt; Enter 2 or more lab quotes &lt;&lt;&lt;")</f>
        <v>&gt;&gt;&gt; Enter 2 or more lab quotes &lt;&lt;&lt;</v>
      </c>
      <c r="AJ57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8.0578956828572745E-2</v>
      </c>
      <c r="AL576" s="396">
        <f>IF(ISTEXT(RawMaterials[[#This Row],[Unit price in quote year]]),"Check calcs",RawMaterials[[#This Row],[Unit price in quote year]]/VLOOKUP(RawMaterials[[#This Row],[Quote Year]],ChemPPI[],14,FALSE)*VLOOKUP(BasisYear,ChemPPI[],14,FALSE))</f>
        <v>0.10936300492333223</v>
      </c>
      <c r="AM576" s="397" t="str">
        <f t="shared" si="8"/>
        <v>$/kg (2016)</v>
      </c>
    </row>
    <row r="577" spans="1:39">
      <c r="A577" s="259" t="s">
        <v>1661</v>
      </c>
      <c r="B577" s="260"/>
      <c r="C577" s="351"/>
      <c r="D577" s="351"/>
      <c r="E577" s="260">
        <v>100</v>
      </c>
      <c r="F577" s="260"/>
      <c r="G577" s="351"/>
      <c r="H577" s="351"/>
      <c r="I577" s="262"/>
      <c r="J577" s="351"/>
      <c r="K577" s="351"/>
      <c r="L577" s="351"/>
      <c r="M577" s="351"/>
      <c r="N577" s="351"/>
      <c r="O577" s="351"/>
      <c r="P577" s="261">
        <v>85</v>
      </c>
      <c r="Q577" s="260">
        <v>1</v>
      </c>
      <c r="R577" s="260" t="s">
        <v>20</v>
      </c>
      <c r="S577" s="260">
        <v>2006</v>
      </c>
      <c r="T577" s="260" t="s">
        <v>161</v>
      </c>
      <c r="U577" s="386">
        <v>42653</v>
      </c>
      <c r="V577" s="387"/>
      <c r="W577" s="354">
        <f>COUNT(RawMaterials[[#This Row],[Lab Quantity 1]:[Lab Quantity 4]])</f>
        <v>0</v>
      </c>
      <c r="X57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7" s="392" t="e">
        <f>RawMaterials[[#This Row],[Lab Price 1]]/RawMaterials[[#This Row],[Lab Q Model Units 1]]</f>
        <v>#N/A</v>
      </c>
      <c r="AC577" s="392" t="e">
        <f>RawMaterials[[#This Row],[Lab Price 2]]/RawMaterials[[#This Row],[Lab Q Model Units 2]]</f>
        <v>#N/A</v>
      </c>
      <c r="AD577" s="392" t="e">
        <f>RawMaterials[[#This Row],[Lab Price 3]]/RawMaterials[[#This Row],[Lab Q Model Units 3]]</f>
        <v>#N/A</v>
      </c>
      <c r="AE577" s="392" t="e">
        <f>RawMaterials[[#This Row],[Lab Price 4]]/RawMaterials[[#This Row],[Lab Q Model Units 4]]</f>
        <v>#N/A</v>
      </c>
      <c r="AF577" s="392" t="str">
        <f ca="1">IF(RawMaterials[[#This Row],[Lab Quote Count]]&gt;1,SLOPE(LOG(INDIRECT("RawMaterials[@[Lab Unit P 1]:[Lab Unit P "&amp;RawMaterials[[#This Row],[Lab Quote Count]]&amp;"]]")),LOG(INDIRECT("RawMaterials[@[Lab Q Model Units 1]:[Lab Q Model Units "&amp;RawMaterials[[#This Row],[Lab Quote Count]]&amp;"]]"))),"")</f>
        <v/>
      </c>
      <c r="AG577" s="392" t="str">
        <f ca="1">IF(RawMaterials[[#This Row],[Lab Quote Count]]&gt;1,INTERCEPT(LOG(INDIRECT("RawMaterials[@[Lab Unit P 1]:[Lab Unit P "&amp;RawMaterials[[#This Row],[Lab Quote Count]]&amp;"]]")),LOG(INDIRECT("RawMaterials[@[Lab Q Model Units 1]:[Lab Q Model Units "&amp;RawMaterials[[#This Row],[Lab Quote Count]]&amp;"]]"))),"")</f>
        <v/>
      </c>
      <c r="AH577" s="393" t="str">
        <f>IF(RawMaterials[[#This Row],[Material Type]]="Metal Precursor","D13",IF(RawMaterials[[#This Row],[Material Type]]="Ligand","D13","D12"))</f>
        <v>D12</v>
      </c>
      <c r="AI577" s="394" t="str">
        <f ca="1">IF(RawMaterials[[#This Row],[Lab Quote Count]]&gt;1,10^RawMaterials[[#This Row],[Lab Log-Log Intercept]]*INDIRECT(RawMaterials[[#This Row],[Basis Cell]])^RawMaterials[[#This Row],[Lab Log-Log Slope]],"&gt;&gt;&gt; Enter 2 or more lab quotes &lt;&lt;&lt;")</f>
        <v>&gt;&gt;&gt; Enter 2 or more lab quotes &lt;&lt;&lt;</v>
      </c>
      <c r="AJ57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187.39292285714595</v>
      </c>
      <c r="AL577" s="396">
        <f>IF(ISTEXT(RawMaterials[[#This Row],[Unit price in quote year]]),"Check calcs",RawMaterials[[#This Row],[Unit price in quote year]]/VLOOKUP(RawMaterials[[#This Row],[Quote Year]],ChemPPI[],14,FALSE)*VLOOKUP(BasisYear,ChemPPI[],14,FALSE))</f>
        <v>254.33256958914478</v>
      </c>
      <c r="AM577" s="397" t="str">
        <f t="shared" si="8"/>
        <v>$/kg (2016)</v>
      </c>
    </row>
    <row r="578" spans="1:39">
      <c r="A578" s="259" t="s">
        <v>1662</v>
      </c>
      <c r="B578" s="260"/>
      <c r="C578" s="351"/>
      <c r="D578" s="351"/>
      <c r="E578" s="260">
        <v>100</v>
      </c>
      <c r="F578" s="260"/>
      <c r="G578" s="351"/>
      <c r="H578" s="351"/>
      <c r="I578" s="262"/>
      <c r="J578" s="351"/>
      <c r="K578" s="351"/>
      <c r="L578" s="351"/>
      <c r="M578" s="351"/>
      <c r="N578" s="351"/>
      <c r="O578" s="351"/>
      <c r="P578" s="261">
        <v>0.3</v>
      </c>
      <c r="Q578" s="260">
        <v>1</v>
      </c>
      <c r="R578" s="260" t="s">
        <v>20</v>
      </c>
      <c r="S578" s="260">
        <v>2006</v>
      </c>
      <c r="T578" s="260" t="s">
        <v>161</v>
      </c>
      <c r="U578" s="386">
        <v>42653</v>
      </c>
      <c r="V578" s="387"/>
      <c r="W578" s="354">
        <f>COUNT(RawMaterials[[#This Row],[Lab Quantity 1]:[Lab Quantity 4]])</f>
        <v>0</v>
      </c>
      <c r="X57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8" s="392" t="e">
        <f>RawMaterials[[#This Row],[Lab Price 1]]/RawMaterials[[#This Row],[Lab Q Model Units 1]]</f>
        <v>#N/A</v>
      </c>
      <c r="AC578" s="392" t="e">
        <f>RawMaterials[[#This Row],[Lab Price 2]]/RawMaterials[[#This Row],[Lab Q Model Units 2]]</f>
        <v>#N/A</v>
      </c>
      <c r="AD578" s="392" t="e">
        <f>RawMaterials[[#This Row],[Lab Price 3]]/RawMaterials[[#This Row],[Lab Q Model Units 3]]</f>
        <v>#N/A</v>
      </c>
      <c r="AE578" s="392" t="e">
        <f>RawMaterials[[#This Row],[Lab Price 4]]/RawMaterials[[#This Row],[Lab Q Model Units 4]]</f>
        <v>#N/A</v>
      </c>
      <c r="AF578" s="392" t="str">
        <f ca="1">IF(RawMaterials[[#This Row],[Lab Quote Count]]&gt;1,SLOPE(LOG(INDIRECT("RawMaterials[@[Lab Unit P 1]:[Lab Unit P "&amp;RawMaterials[[#This Row],[Lab Quote Count]]&amp;"]]")),LOG(INDIRECT("RawMaterials[@[Lab Q Model Units 1]:[Lab Q Model Units "&amp;RawMaterials[[#This Row],[Lab Quote Count]]&amp;"]]"))),"")</f>
        <v/>
      </c>
      <c r="AG578" s="392" t="str">
        <f ca="1">IF(RawMaterials[[#This Row],[Lab Quote Count]]&gt;1,INTERCEPT(LOG(INDIRECT("RawMaterials[@[Lab Unit P 1]:[Lab Unit P "&amp;RawMaterials[[#This Row],[Lab Quote Count]]&amp;"]]")),LOG(INDIRECT("RawMaterials[@[Lab Q Model Units 1]:[Lab Q Model Units "&amp;RawMaterials[[#This Row],[Lab Quote Count]]&amp;"]]"))),"")</f>
        <v/>
      </c>
      <c r="AH578" s="393" t="str">
        <f>IF(RawMaterials[[#This Row],[Material Type]]="Metal Precursor","D13",IF(RawMaterials[[#This Row],[Material Type]]="Ligand","D13","D12"))</f>
        <v>D12</v>
      </c>
      <c r="AI578" s="394" t="str">
        <f ca="1">IF(RawMaterials[[#This Row],[Lab Quote Count]]&gt;1,10^RawMaterials[[#This Row],[Lab Log-Log Intercept]]*INDIRECT(RawMaterials[[#This Row],[Basis Cell]])^RawMaterials[[#This Row],[Lab Log-Log Slope]],"&gt;&gt;&gt; Enter 2 or more lab quotes &lt;&lt;&lt;")</f>
        <v>&gt;&gt;&gt; Enter 2 or more lab quotes &lt;&lt;&lt;</v>
      </c>
      <c r="AJ57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0.66138678655463268</v>
      </c>
      <c r="AL578" s="396">
        <f>IF(ISTEXT(RawMaterials[[#This Row],[Unit price in quote year]]),"Check calcs",RawMaterials[[#This Row],[Unit price in quote year]]/VLOOKUP(RawMaterials[[#This Row],[Quote Year]],ChemPPI[],14,FALSE)*VLOOKUP(BasisYear,ChemPPI[],14,FALSE))</f>
        <v>0.89764436325580499</v>
      </c>
      <c r="AM578" s="397" t="str">
        <f t="shared" si="8"/>
        <v>$/kg (2016)</v>
      </c>
    </row>
    <row r="579" spans="1:39">
      <c r="A579" s="259" t="s">
        <v>1663</v>
      </c>
      <c r="B579" s="260"/>
      <c r="C579" s="351"/>
      <c r="D579" s="351"/>
      <c r="E579" s="260">
        <v>100</v>
      </c>
      <c r="F579" s="260"/>
      <c r="G579" s="351"/>
      <c r="H579" s="351"/>
      <c r="I579" s="262"/>
      <c r="J579" s="351"/>
      <c r="K579" s="351"/>
      <c r="L579" s="351"/>
      <c r="M579" s="351"/>
      <c r="N579" s="351"/>
      <c r="O579" s="351"/>
      <c r="P579" s="261">
        <v>0.36</v>
      </c>
      <c r="Q579" s="260">
        <v>1</v>
      </c>
      <c r="R579" s="260" t="s">
        <v>20</v>
      </c>
      <c r="S579" s="260">
        <v>2006</v>
      </c>
      <c r="T579" s="260" t="s">
        <v>161</v>
      </c>
      <c r="U579" s="386">
        <v>42653</v>
      </c>
      <c r="V579" s="387"/>
      <c r="W579" s="354">
        <f>COUNT(RawMaterials[[#This Row],[Lab Quantity 1]:[Lab Quantity 4]])</f>
        <v>0</v>
      </c>
      <c r="X57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9" s="392" t="e">
        <f>RawMaterials[[#This Row],[Lab Price 1]]/RawMaterials[[#This Row],[Lab Q Model Units 1]]</f>
        <v>#N/A</v>
      </c>
      <c r="AC579" s="392" t="e">
        <f>RawMaterials[[#This Row],[Lab Price 2]]/RawMaterials[[#This Row],[Lab Q Model Units 2]]</f>
        <v>#N/A</v>
      </c>
      <c r="AD579" s="392" t="e">
        <f>RawMaterials[[#This Row],[Lab Price 3]]/RawMaterials[[#This Row],[Lab Q Model Units 3]]</f>
        <v>#N/A</v>
      </c>
      <c r="AE579" s="392" t="e">
        <f>RawMaterials[[#This Row],[Lab Price 4]]/RawMaterials[[#This Row],[Lab Q Model Units 4]]</f>
        <v>#N/A</v>
      </c>
      <c r="AF579" s="392" t="str">
        <f ca="1">IF(RawMaterials[[#This Row],[Lab Quote Count]]&gt;1,SLOPE(LOG(INDIRECT("RawMaterials[@[Lab Unit P 1]:[Lab Unit P "&amp;RawMaterials[[#This Row],[Lab Quote Count]]&amp;"]]")),LOG(INDIRECT("RawMaterials[@[Lab Q Model Units 1]:[Lab Q Model Units "&amp;RawMaterials[[#This Row],[Lab Quote Count]]&amp;"]]"))),"")</f>
        <v/>
      </c>
      <c r="AG579" s="392" t="str">
        <f ca="1">IF(RawMaterials[[#This Row],[Lab Quote Count]]&gt;1,INTERCEPT(LOG(INDIRECT("RawMaterials[@[Lab Unit P 1]:[Lab Unit P "&amp;RawMaterials[[#This Row],[Lab Quote Count]]&amp;"]]")),LOG(INDIRECT("RawMaterials[@[Lab Q Model Units 1]:[Lab Q Model Units "&amp;RawMaterials[[#This Row],[Lab Quote Count]]&amp;"]]"))),"")</f>
        <v/>
      </c>
      <c r="AH579" s="393" t="str">
        <f>IF(RawMaterials[[#This Row],[Material Type]]="Metal Precursor","D13",IF(RawMaterials[[#This Row],[Material Type]]="Ligand","D13","D12"))</f>
        <v>D12</v>
      </c>
      <c r="AI579" s="394" t="str">
        <f ca="1">IF(RawMaterials[[#This Row],[Lab Quote Count]]&gt;1,10^RawMaterials[[#This Row],[Lab Log-Log Intercept]]*INDIRECT(RawMaterials[[#This Row],[Basis Cell]])^RawMaterials[[#This Row],[Lab Log-Log Slope]],"&gt;&gt;&gt; Enter 2 or more lab quotes &lt;&lt;&lt;")</f>
        <v>&gt;&gt;&gt; Enter 2 or more lab quotes &lt;&lt;&lt;</v>
      </c>
      <c r="AJ57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0.79366414386555917</v>
      </c>
      <c r="AL579" s="396">
        <f>IF(ISTEXT(RawMaterials[[#This Row],[Unit price in quote year]]),"Check calcs",RawMaterials[[#This Row],[Unit price in quote year]]/VLOOKUP(RawMaterials[[#This Row],[Quote Year]],ChemPPI[],14,FALSE)*VLOOKUP(BasisYear,ChemPPI[],14,FALSE))</f>
        <v>1.0771732359069659</v>
      </c>
      <c r="AM579" s="397" t="str">
        <f t="shared" si="8"/>
        <v>$/kg (2016)</v>
      </c>
    </row>
    <row r="580" spans="1:39">
      <c r="A580" s="259" t="s">
        <v>1664</v>
      </c>
      <c r="B580" s="260"/>
      <c r="C580" s="351"/>
      <c r="D580" s="351"/>
      <c r="E580" s="260">
        <v>100</v>
      </c>
      <c r="F580" s="260"/>
      <c r="G580" s="351"/>
      <c r="H580" s="351"/>
      <c r="I580" s="262"/>
      <c r="J580" s="351"/>
      <c r="K580" s="351"/>
      <c r="L580" s="351"/>
      <c r="M580" s="351"/>
      <c r="N580" s="351"/>
      <c r="O580" s="351"/>
      <c r="P580" s="261">
        <v>105</v>
      </c>
      <c r="Q580" s="260">
        <v>1</v>
      </c>
      <c r="R580" s="260" t="s">
        <v>401</v>
      </c>
      <c r="S580" s="260">
        <v>2006</v>
      </c>
      <c r="T580" s="260" t="s">
        <v>161</v>
      </c>
      <c r="U580" s="386">
        <v>42653</v>
      </c>
      <c r="V580" s="387"/>
      <c r="W580" s="354">
        <f>COUNT(RawMaterials[[#This Row],[Lab Quantity 1]:[Lab Quantity 4]])</f>
        <v>0</v>
      </c>
      <c r="X58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0" s="392" t="e">
        <f>RawMaterials[[#This Row],[Lab Price 1]]/RawMaterials[[#This Row],[Lab Q Model Units 1]]</f>
        <v>#N/A</v>
      </c>
      <c r="AC580" s="392" t="e">
        <f>RawMaterials[[#This Row],[Lab Price 2]]/RawMaterials[[#This Row],[Lab Q Model Units 2]]</f>
        <v>#N/A</v>
      </c>
      <c r="AD580" s="392" t="e">
        <f>RawMaterials[[#This Row],[Lab Price 3]]/RawMaterials[[#This Row],[Lab Q Model Units 3]]</f>
        <v>#N/A</v>
      </c>
      <c r="AE580" s="392" t="e">
        <f>RawMaterials[[#This Row],[Lab Price 4]]/RawMaterials[[#This Row],[Lab Q Model Units 4]]</f>
        <v>#N/A</v>
      </c>
      <c r="AF580" s="392" t="str">
        <f ca="1">IF(RawMaterials[[#This Row],[Lab Quote Count]]&gt;1,SLOPE(LOG(INDIRECT("RawMaterials[@[Lab Unit P 1]:[Lab Unit P "&amp;RawMaterials[[#This Row],[Lab Quote Count]]&amp;"]]")),LOG(INDIRECT("RawMaterials[@[Lab Q Model Units 1]:[Lab Q Model Units "&amp;RawMaterials[[#This Row],[Lab Quote Count]]&amp;"]]"))),"")</f>
        <v/>
      </c>
      <c r="AG580" s="392" t="str">
        <f ca="1">IF(RawMaterials[[#This Row],[Lab Quote Count]]&gt;1,INTERCEPT(LOG(INDIRECT("RawMaterials[@[Lab Unit P 1]:[Lab Unit P "&amp;RawMaterials[[#This Row],[Lab Quote Count]]&amp;"]]")),LOG(INDIRECT("RawMaterials[@[Lab Q Model Units 1]:[Lab Q Model Units "&amp;RawMaterials[[#This Row],[Lab Quote Count]]&amp;"]]"))),"")</f>
        <v/>
      </c>
      <c r="AH580" s="393" t="str">
        <f>IF(RawMaterials[[#This Row],[Material Type]]="Metal Precursor","D13",IF(RawMaterials[[#This Row],[Material Type]]="Ligand","D13","D12"))</f>
        <v>D12</v>
      </c>
      <c r="AI580" s="394" t="str">
        <f ca="1">IF(RawMaterials[[#This Row],[Lab Quote Count]]&gt;1,10^RawMaterials[[#This Row],[Lab Log-Log Intercept]]*INDIRECT(RawMaterials[[#This Row],[Basis Cell]])^RawMaterials[[#This Row],[Lab Log-Log Slope]],"&gt;&gt;&gt; Enter 2 or more lab quotes &lt;&lt;&lt;")</f>
        <v>&gt;&gt;&gt; Enter 2 or more lab quotes &lt;&lt;&lt;</v>
      </c>
      <c r="AJ58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8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0.11574268764706072</v>
      </c>
      <c r="AL580" s="396">
        <f>IF(ISTEXT(RawMaterials[[#This Row],[Unit price in quote year]]),"Check calcs",RawMaterials[[#This Row],[Unit price in quote year]]/VLOOKUP(RawMaterials[[#This Row],[Quote Year]],ChemPPI[],14,FALSE)*VLOOKUP(BasisYear,ChemPPI[],14,FALSE))</f>
        <v>0.15708776356976589</v>
      </c>
      <c r="AM580" s="397" t="str">
        <f t="shared" si="8"/>
        <v>$/kg (2016)</v>
      </c>
    </row>
    <row r="581" spans="1:39">
      <c r="A581" s="259" t="s">
        <v>1665</v>
      </c>
      <c r="B581" s="260"/>
      <c r="C581" s="351"/>
      <c r="D581" s="351"/>
      <c r="E581" s="260">
        <v>100</v>
      </c>
      <c r="F581" s="260"/>
      <c r="G581" s="351"/>
      <c r="H581" s="351"/>
      <c r="I581" s="262"/>
      <c r="J581" s="351"/>
      <c r="K581" s="351"/>
      <c r="L581" s="351"/>
      <c r="M581" s="351"/>
      <c r="N581" s="351"/>
      <c r="O581" s="351"/>
      <c r="P581" s="261">
        <v>0.32500000000000001</v>
      </c>
      <c r="Q581" s="260">
        <v>1</v>
      </c>
      <c r="R581" s="260" t="s">
        <v>20</v>
      </c>
      <c r="S581" s="260">
        <v>2006</v>
      </c>
      <c r="T581" s="260" t="s">
        <v>161</v>
      </c>
      <c r="U581" s="386">
        <v>42653</v>
      </c>
      <c r="V581" s="387"/>
      <c r="W581" s="354">
        <f>COUNT(RawMaterials[[#This Row],[Lab Quantity 1]:[Lab Quantity 4]])</f>
        <v>0</v>
      </c>
      <c r="X58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1" s="392" t="e">
        <f>RawMaterials[[#This Row],[Lab Price 1]]/RawMaterials[[#This Row],[Lab Q Model Units 1]]</f>
        <v>#N/A</v>
      </c>
      <c r="AC581" s="392" t="e">
        <f>RawMaterials[[#This Row],[Lab Price 2]]/RawMaterials[[#This Row],[Lab Q Model Units 2]]</f>
        <v>#N/A</v>
      </c>
      <c r="AD581" s="392" t="e">
        <f>RawMaterials[[#This Row],[Lab Price 3]]/RawMaterials[[#This Row],[Lab Q Model Units 3]]</f>
        <v>#N/A</v>
      </c>
      <c r="AE581" s="392" t="e">
        <f>RawMaterials[[#This Row],[Lab Price 4]]/RawMaterials[[#This Row],[Lab Q Model Units 4]]</f>
        <v>#N/A</v>
      </c>
      <c r="AF581" s="392" t="str">
        <f ca="1">IF(RawMaterials[[#This Row],[Lab Quote Count]]&gt;1,SLOPE(LOG(INDIRECT("RawMaterials[@[Lab Unit P 1]:[Lab Unit P "&amp;RawMaterials[[#This Row],[Lab Quote Count]]&amp;"]]")),LOG(INDIRECT("RawMaterials[@[Lab Q Model Units 1]:[Lab Q Model Units "&amp;RawMaterials[[#This Row],[Lab Quote Count]]&amp;"]]"))),"")</f>
        <v/>
      </c>
      <c r="AG581" s="392" t="str">
        <f ca="1">IF(RawMaterials[[#This Row],[Lab Quote Count]]&gt;1,INTERCEPT(LOG(INDIRECT("RawMaterials[@[Lab Unit P 1]:[Lab Unit P "&amp;RawMaterials[[#This Row],[Lab Quote Count]]&amp;"]]")),LOG(INDIRECT("RawMaterials[@[Lab Q Model Units 1]:[Lab Q Model Units "&amp;RawMaterials[[#This Row],[Lab Quote Count]]&amp;"]]"))),"")</f>
        <v/>
      </c>
      <c r="AH581" s="393" t="str">
        <f>IF(RawMaterials[[#This Row],[Material Type]]="Metal Precursor","D13",IF(RawMaterials[[#This Row],[Material Type]]="Ligand","D13","D12"))</f>
        <v>D12</v>
      </c>
      <c r="AI581" s="394" t="str">
        <f ca="1">IF(RawMaterials[[#This Row],[Lab Quote Count]]&gt;1,10^RawMaterials[[#This Row],[Lab Log-Log Intercept]]*INDIRECT(RawMaterials[[#This Row],[Basis Cell]])^RawMaterials[[#This Row],[Lab Log-Log Slope]],"&gt;&gt;&gt; Enter 2 or more lab quotes &lt;&lt;&lt;")</f>
        <v>&gt;&gt;&gt; Enter 2 or more lab quotes &lt;&lt;&lt;</v>
      </c>
      <c r="AJ58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0.71650235210085211</v>
      </c>
      <c r="AL581" s="396">
        <f>IF(ISTEXT(RawMaterials[[#This Row],[Unit price in quote year]]),"Check calcs",RawMaterials[[#This Row],[Unit price in quote year]]/VLOOKUP(RawMaterials[[#This Row],[Quote Year]],ChemPPI[],14,FALSE)*VLOOKUP(BasisYear,ChemPPI[],14,FALSE))</f>
        <v>0.97244806019378882</v>
      </c>
      <c r="AM581" s="397" t="str">
        <f t="shared" si="8"/>
        <v>$/kg (2016)</v>
      </c>
    </row>
    <row r="582" spans="1:39">
      <c r="A582" s="259" t="s">
        <v>1666</v>
      </c>
      <c r="B582" s="260"/>
      <c r="C582" s="351"/>
      <c r="D582" s="351"/>
      <c r="E582" s="260">
        <v>100</v>
      </c>
      <c r="F582" s="260"/>
      <c r="G582" s="351"/>
      <c r="H582" s="351"/>
      <c r="I582" s="262"/>
      <c r="J582" s="351"/>
      <c r="K582" s="351"/>
      <c r="L582" s="351"/>
      <c r="M582" s="351"/>
      <c r="N582" s="351"/>
      <c r="O582" s="351"/>
      <c r="P582" s="261">
        <v>0.26</v>
      </c>
      <c r="Q582" s="260">
        <v>1</v>
      </c>
      <c r="R582" s="260" t="s">
        <v>20</v>
      </c>
      <c r="S582" s="260">
        <v>2006</v>
      </c>
      <c r="T582" s="260" t="s">
        <v>161</v>
      </c>
      <c r="U582" s="386">
        <v>42653</v>
      </c>
      <c r="V582" s="387"/>
      <c r="W582" s="354">
        <f>COUNT(RawMaterials[[#This Row],[Lab Quantity 1]:[Lab Quantity 4]])</f>
        <v>0</v>
      </c>
      <c r="X58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2" s="392" t="e">
        <f>RawMaterials[[#This Row],[Lab Price 1]]/RawMaterials[[#This Row],[Lab Q Model Units 1]]</f>
        <v>#N/A</v>
      </c>
      <c r="AC582" s="392" t="e">
        <f>RawMaterials[[#This Row],[Lab Price 2]]/RawMaterials[[#This Row],[Lab Q Model Units 2]]</f>
        <v>#N/A</v>
      </c>
      <c r="AD582" s="392" t="e">
        <f>RawMaterials[[#This Row],[Lab Price 3]]/RawMaterials[[#This Row],[Lab Q Model Units 3]]</f>
        <v>#N/A</v>
      </c>
      <c r="AE582" s="392" t="e">
        <f>RawMaterials[[#This Row],[Lab Price 4]]/RawMaterials[[#This Row],[Lab Q Model Units 4]]</f>
        <v>#N/A</v>
      </c>
      <c r="AF582" s="392" t="str">
        <f ca="1">IF(RawMaterials[[#This Row],[Lab Quote Count]]&gt;1,SLOPE(LOG(INDIRECT("RawMaterials[@[Lab Unit P 1]:[Lab Unit P "&amp;RawMaterials[[#This Row],[Lab Quote Count]]&amp;"]]")),LOG(INDIRECT("RawMaterials[@[Lab Q Model Units 1]:[Lab Q Model Units "&amp;RawMaterials[[#This Row],[Lab Quote Count]]&amp;"]]"))),"")</f>
        <v/>
      </c>
      <c r="AG582" s="392" t="str">
        <f ca="1">IF(RawMaterials[[#This Row],[Lab Quote Count]]&gt;1,INTERCEPT(LOG(INDIRECT("RawMaterials[@[Lab Unit P 1]:[Lab Unit P "&amp;RawMaterials[[#This Row],[Lab Quote Count]]&amp;"]]")),LOG(INDIRECT("RawMaterials[@[Lab Q Model Units 1]:[Lab Q Model Units "&amp;RawMaterials[[#This Row],[Lab Quote Count]]&amp;"]]"))),"")</f>
        <v/>
      </c>
      <c r="AH582" s="393" t="str">
        <f>IF(RawMaterials[[#This Row],[Material Type]]="Metal Precursor","D13",IF(RawMaterials[[#This Row],[Material Type]]="Ligand","D13","D12"))</f>
        <v>D12</v>
      </c>
      <c r="AI582" s="394" t="str">
        <f ca="1">IF(RawMaterials[[#This Row],[Lab Quote Count]]&gt;1,10^RawMaterials[[#This Row],[Lab Log-Log Intercept]]*INDIRECT(RawMaterials[[#This Row],[Basis Cell]])^RawMaterials[[#This Row],[Lab Log-Log Slope]],"&gt;&gt;&gt; Enter 2 or more lab quotes &lt;&lt;&lt;")</f>
        <v>&gt;&gt;&gt; Enter 2 or more lab quotes &lt;&lt;&lt;</v>
      </c>
      <c r="AJ58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0.57320188168068165</v>
      </c>
      <c r="AL582" s="396">
        <f>IF(ISTEXT(RawMaterials[[#This Row],[Unit price in quote year]]),"Check calcs",RawMaterials[[#This Row],[Unit price in quote year]]/VLOOKUP(RawMaterials[[#This Row],[Quote Year]],ChemPPI[],14,FALSE)*VLOOKUP(BasisYear,ChemPPI[],14,FALSE))</f>
        <v>0.7779584481550309</v>
      </c>
      <c r="AM582" s="397" t="str">
        <f t="shared" si="8"/>
        <v>$/kg (2016)</v>
      </c>
    </row>
    <row r="583" spans="1:39">
      <c r="A583" s="259" t="s">
        <v>1667</v>
      </c>
      <c r="B583" s="260"/>
      <c r="C583" s="351"/>
      <c r="D583" s="351"/>
      <c r="E583" s="260">
        <v>100</v>
      </c>
      <c r="F583" s="260"/>
      <c r="G583" s="351"/>
      <c r="H583" s="351"/>
      <c r="I583" s="262"/>
      <c r="J583" s="351"/>
      <c r="K583" s="351"/>
      <c r="L583" s="351"/>
      <c r="M583" s="351"/>
      <c r="N583" s="351"/>
      <c r="O583" s="351"/>
      <c r="P583" s="261">
        <v>2.375</v>
      </c>
      <c r="Q583" s="260">
        <v>1</v>
      </c>
      <c r="R583" s="260" t="s">
        <v>20</v>
      </c>
      <c r="S583" s="260">
        <v>2006</v>
      </c>
      <c r="T583" s="260" t="s">
        <v>161</v>
      </c>
      <c r="U583" s="386">
        <v>42653</v>
      </c>
      <c r="V583" s="387"/>
      <c r="W583" s="354">
        <f>COUNT(RawMaterials[[#This Row],[Lab Quantity 1]:[Lab Quantity 4]])</f>
        <v>0</v>
      </c>
      <c r="X58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3" s="392" t="e">
        <f>RawMaterials[[#This Row],[Lab Price 1]]/RawMaterials[[#This Row],[Lab Q Model Units 1]]</f>
        <v>#N/A</v>
      </c>
      <c r="AC583" s="392" t="e">
        <f>RawMaterials[[#This Row],[Lab Price 2]]/RawMaterials[[#This Row],[Lab Q Model Units 2]]</f>
        <v>#N/A</v>
      </c>
      <c r="AD583" s="392" t="e">
        <f>RawMaterials[[#This Row],[Lab Price 3]]/RawMaterials[[#This Row],[Lab Q Model Units 3]]</f>
        <v>#N/A</v>
      </c>
      <c r="AE583" s="392" t="e">
        <f>RawMaterials[[#This Row],[Lab Price 4]]/RawMaterials[[#This Row],[Lab Q Model Units 4]]</f>
        <v>#N/A</v>
      </c>
      <c r="AF583" s="392" t="str">
        <f ca="1">IF(RawMaterials[[#This Row],[Lab Quote Count]]&gt;1,SLOPE(LOG(INDIRECT("RawMaterials[@[Lab Unit P 1]:[Lab Unit P "&amp;RawMaterials[[#This Row],[Lab Quote Count]]&amp;"]]")),LOG(INDIRECT("RawMaterials[@[Lab Q Model Units 1]:[Lab Q Model Units "&amp;RawMaterials[[#This Row],[Lab Quote Count]]&amp;"]]"))),"")</f>
        <v/>
      </c>
      <c r="AG583" s="392" t="str">
        <f ca="1">IF(RawMaterials[[#This Row],[Lab Quote Count]]&gt;1,INTERCEPT(LOG(INDIRECT("RawMaterials[@[Lab Unit P 1]:[Lab Unit P "&amp;RawMaterials[[#This Row],[Lab Quote Count]]&amp;"]]")),LOG(INDIRECT("RawMaterials[@[Lab Q Model Units 1]:[Lab Q Model Units "&amp;RawMaterials[[#This Row],[Lab Quote Count]]&amp;"]]"))),"")</f>
        <v/>
      </c>
      <c r="AH583" s="393" t="str">
        <f>IF(RawMaterials[[#This Row],[Material Type]]="Metal Precursor","D13",IF(RawMaterials[[#This Row],[Material Type]]="Ligand","D13","D12"))</f>
        <v>D12</v>
      </c>
      <c r="AI583" s="394" t="str">
        <f ca="1">IF(RawMaterials[[#This Row],[Lab Quote Count]]&gt;1,10^RawMaterials[[#This Row],[Lab Log-Log Intercept]]*INDIRECT(RawMaterials[[#This Row],[Basis Cell]])^RawMaterials[[#This Row],[Lab Log-Log Slope]],"&gt;&gt;&gt; Enter 2 or more lab quotes &lt;&lt;&lt;")</f>
        <v>&gt;&gt;&gt; Enter 2 or more lab quotes &lt;&lt;&lt;</v>
      </c>
      <c r="AJ58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5.235978726890842</v>
      </c>
      <c r="AL583" s="396">
        <f>IF(ISTEXT(RawMaterials[[#This Row],[Unit price in quote year]]),"Check calcs",RawMaterials[[#This Row],[Unit price in quote year]]/VLOOKUP(RawMaterials[[#This Row],[Quote Year]],ChemPPI[],14,FALSE)*VLOOKUP(BasisYear,ChemPPI[],14,FALSE))</f>
        <v>7.106351209108456</v>
      </c>
      <c r="AM583" s="397" t="str">
        <f t="shared" si="8"/>
        <v>$/kg (2016)</v>
      </c>
    </row>
    <row r="584" spans="1:39">
      <c r="A584" s="259" t="s">
        <v>1668</v>
      </c>
      <c r="B584" s="260"/>
      <c r="C584" s="351"/>
      <c r="D584" s="351"/>
      <c r="E584" s="260">
        <v>100</v>
      </c>
      <c r="F584" s="260"/>
      <c r="G584" s="351"/>
      <c r="H584" s="351"/>
      <c r="I584" s="262"/>
      <c r="J584" s="351"/>
      <c r="K584" s="351"/>
      <c r="L584" s="351"/>
      <c r="M584" s="351"/>
      <c r="N584" s="351"/>
      <c r="O584" s="351"/>
      <c r="P584" s="261">
        <v>0.42</v>
      </c>
      <c r="Q584" s="260">
        <v>1</v>
      </c>
      <c r="R584" s="260" t="s">
        <v>20</v>
      </c>
      <c r="S584" s="260">
        <v>2006</v>
      </c>
      <c r="T584" s="260" t="s">
        <v>161</v>
      </c>
      <c r="U584" s="386">
        <v>42653</v>
      </c>
      <c r="V584" s="387"/>
      <c r="W584" s="354">
        <f>COUNT(RawMaterials[[#This Row],[Lab Quantity 1]:[Lab Quantity 4]])</f>
        <v>0</v>
      </c>
      <c r="X58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4" s="392" t="e">
        <f>RawMaterials[[#This Row],[Lab Price 1]]/RawMaterials[[#This Row],[Lab Q Model Units 1]]</f>
        <v>#N/A</v>
      </c>
      <c r="AC584" s="392" t="e">
        <f>RawMaterials[[#This Row],[Lab Price 2]]/RawMaterials[[#This Row],[Lab Q Model Units 2]]</f>
        <v>#N/A</v>
      </c>
      <c r="AD584" s="392" t="e">
        <f>RawMaterials[[#This Row],[Lab Price 3]]/RawMaterials[[#This Row],[Lab Q Model Units 3]]</f>
        <v>#N/A</v>
      </c>
      <c r="AE584" s="392" t="e">
        <f>RawMaterials[[#This Row],[Lab Price 4]]/RawMaterials[[#This Row],[Lab Q Model Units 4]]</f>
        <v>#N/A</v>
      </c>
      <c r="AF584" s="392" t="str">
        <f ca="1">IF(RawMaterials[[#This Row],[Lab Quote Count]]&gt;1,SLOPE(LOG(INDIRECT("RawMaterials[@[Lab Unit P 1]:[Lab Unit P "&amp;RawMaterials[[#This Row],[Lab Quote Count]]&amp;"]]")),LOG(INDIRECT("RawMaterials[@[Lab Q Model Units 1]:[Lab Q Model Units "&amp;RawMaterials[[#This Row],[Lab Quote Count]]&amp;"]]"))),"")</f>
        <v/>
      </c>
      <c r="AG584" s="392" t="str">
        <f ca="1">IF(RawMaterials[[#This Row],[Lab Quote Count]]&gt;1,INTERCEPT(LOG(INDIRECT("RawMaterials[@[Lab Unit P 1]:[Lab Unit P "&amp;RawMaterials[[#This Row],[Lab Quote Count]]&amp;"]]")),LOG(INDIRECT("RawMaterials[@[Lab Q Model Units 1]:[Lab Q Model Units "&amp;RawMaterials[[#This Row],[Lab Quote Count]]&amp;"]]"))),"")</f>
        <v/>
      </c>
      <c r="AH584" s="393" t="str">
        <f>IF(RawMaterials[[#This Row],[Material Type]]="Metal Precursor","D13",IF(RawMaterials[[#This Row],[Material Type]]="Ligand","D13","D12"))</f>
        <v>D12</v>
      </c>
      <c r="AI584" s="394" t="str">
        <f ca="1">IF(RawMaterials[[#This Row],[Lab Quote Count]]&gt;1,10^RawMaterials[[#This Row],[Lab Log-Log Intercept]]*INDIRECT(RawMaterials[[#This Row],[Basis Cell]])^RawMaterials[[#This Row],[Lab Log-Log Slope]],"&gt;&gt;&gt; Enter 2 or more lab quotes &lt;&lt;&lt;")</f>
        <v>&gt;&gt;&gt; Enter 2 or more lab quotes &lt;&lt;&lt;</v>
      </c>
      <c r="AJ58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0.92594150117648577</v>
      </c>
      <c r="AL584" s="396">
        <f>IF(ISTEXT(RawMaterials[[#This Row],[Unit price in quote year]]),"Check calcs",RawMaterials[[#This Row],[Unit price in quote year]]/VLOOKUP(RawMaterials[[#This Row],[Quote Year]],ChemPPI[],14,FALSE)*VLOOKUP(BasisYear,ChemPPI[],14,FALSE))</f>
        <v>1.2567021085581271</v>
      </c>
      <c r="AM584" s="397" t="str">
        <f t="shared" si="8"/>
        <v>$/kg (2016)</v>
      </c>
    </row>
    <row r="585" spans="1:39">
      <c r="A585" s="259" t="s">
        <v>1669</v>
      </c>
      <c r="B585" s="260"/>
      <c r="C585" s="351"/>
      <c r="D585" s="351"/>
      <c r="E585" s="260">
        <v>100</v>
      </c>
      <c r="F585" s="260"/>
      <c r="G585" s="351"/>
      <c r="H585" s="351"/>
      <c r="I585" s="262"/>
      <c r="J585" s="351"/>
      <c r="K585" s="351"/>
      <c r="L585" s="351"/>
      <c r="M585" s="351"/>
      <c r="N585" s="351"/>
      <c r="O585" s="351"/>
      <c r="P585" s="261">
        <v>0.68500000000000005</v>
      </c>
      <c r="Q585" s="260">
        <v>1</v>
      </c>
      <c r="R585" s="260" t="s">
        <v>20</v>
      </c>
      <c r="S585" s="260">
        <v>2006</v>
      </c>
      <c r="T585" s="260" t="s">
        <v>161</v>
      </c>
      <c r="U585" s="386">
        <v>42653</v>
      </c>
      <c r="V585" s="387"/>
      <c r="W585" s="354">
        <f>COUNT(RawMaterials[[#This Row],[Lab Quantity 1]:[Lab Quantity 4]])</f>
        <v>0</v>
      </c>
      <c r="X58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5" s="392" t="e">
        <f>RawMaterials[[#This Row],[Lab Price 1]]/RawMaterials[[#This Row],[Lab Q Model Units 1]]</f>
        <v>#N/A</v>
      </c>
      <c r="AC585" s="392" t="e">
        <f>RawMaterials[[#This Row],[Lab Price 2]]/RawMaterials[[#This Row],[Lab Q Model Units 2]]</f>
        <v>#N/A</v>
      </c>
      <c r="AD585" s="392" t="e">
        <f>RawMaterials[[#This Row],[Lab Price 3]]/RawMaterials[[#This Row],[Lab Q Model Units 3]]</f>
        <v>#N/A</v>
      </c>
      <c r="AE585" s="392" t="e">
        <f>RawMaterials[[#This Row],[Lab Price 4]]/RawMaterials[[#This Row],[Lab Q Model Units 4]]</f>
        <v>#N/A</v>
      </c>
      <c r="AF585" s="392" t="str">
        <f ca="1">IF(RawMaterials[[#This Row],[Lab Quote Count]]&gt;1,SLOPE(LOG(INDIRECT("RawMaterials[@[Lab Unit P 1]:[Lab Unit P "&amp;RawMaterials[[#This Row],[Lab Quote Count]]&amp;"]]")),LOG(INDIRECT("RawMaterials[@[Lab Q Model Units 1]:[Lab Q Model Units "&amp;RawMaterials[[#This Row],[Lab Quote Count]]&amp;"]]"))),"")</f>
        <v/>
      </c>
      <c r="AG585" s="392" t="str">
        <f ca="1">IF(RawMaterials[[#This Row],[Lab Quote Count]]&gt;1,INTERCEPT(LOG(INDIRECT("RawMaterials[@[Lab Unit P 1]:[Lab Unit P "&amp;RawMaterials[[#This Row],[Lab Quote Count]]&amp;"]]")),LOG(INDIRECT("RawMaterials[@[Lab Q Model Units 1]:[Lab Q Model Units "&amp;RawMaterials[[#This Row],[Lab Quote Count]]&amp;"]]"))),"")</f>
        <v/>
      </c>
      <c r="AH585" s="393" t="str">
        <f>IF(RawMaterials[[#This Row],[Material Type]]="Metal Precursor","D13",IF(RawMaterials[[#This Row],[Material Type]]="Ligand","D13","D12"))</f>
        <v>D12</v>
      </c>
      <c r="AI585" s="394" t="str">
        <f ca="1">IF(RawMaterials[[#This Row],[Lab Quote Count]]&gt;1,10^RawMaterials[[#This Row],[Lab Log-Log Intercept]]*INDIRECT(RawMaterials[[#This Row],[Basis Cell]])^RawMaterials[[#This Row],[Lab Log-Log Slope]],"&gt;&gt;&gt; Enter 2 or more lab quotes &lt;&lt;&lt;")</f>
        <v>&gt;&gt;&gt; Enter 2 or more lab quotes &lt;&lt;&lt;</v>
      </c>
      <c r="AJ58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1.5101664959664114</v>
      </c>
      <c r="AL585" s="396">
        <f>IF(ISTEXT(RawMaterials[[#This Row],[Unit price in quote year]]),"Check calcs",RawMaterials[[#This Row],[Unit price in quote year]]/VLOOKUP(RawMaterials[[#This Row],[Quote Year]],ChemPPI[],14,FALSE)*VLOOKUP(BasisYear,ChemPPI[],14,FALSE))</f>
        <v>2.0496212961007547</v>
      </c>
      <c r="AM585" s="397" t="str">
        <f t="shared" si="8"/>
        <v>$/kg (2016)</v>
      </c>
    </row>
    <row r="586" spans="1:39">
      <c r="A586" s="259" t="s">
        <v>1670</v>
      </c>
      <c r="B586" s="260"/>
      <c r="C586" s="351"/>
      <c r="D586" s="351"/>
      <c r="E586" s="260">
        <v>100</v>
      </c>
      <c r="F586" s="260"/>
      <c r="G586" s="351"/>
      <c r="H586" s="351"/>
      <c r="I586" s="262"/>
      <c r="J586" s="351"/>
      <c r="K586" s="351"/>
      <c r="L586" s="351"/>
      <c r="M586" s="351"/>
      <c r="N586" s="351"/>
      <c r="O586" s="351"/>
      <c r="P586" s="261">
        <v>1.7</v>
      </c>
      <c r="Q586" s="260">
        <v>1</v>
      </c>
      <c r="R586" s="260" t="s">
        <v>20</v>
      </c>
      <c r="S586" s="260">
        <v>2006</v>
      </c>
      <c r="T586" s="260" t="s">
        <v>161</v>
      </c>
      <c r="U586" s="386">
        <v>42653</v>
      </c>
      <c r="V586" s="387"/>
      <c r="W586" s="354">
        <f>COUNT(RawMaterials[[#This Row],[Lab Quantity 1]:[Lab Quantity 4]])</f>
        <v>0</v>
      </c>
      <c r="X58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6" s="392" t="e">
        <f>RawMaterials[[#This Row],[Lab Price 1]]/RawMaterials[[#This Row],[Lab Q Model Units 1]]</f>
        <v>#N/A</v>
      </c>
      <c r="AC586" s="392" t="e">
        <f>RawMaterials[[#This Row],[Lab Price 2]]/RawMaterials[[#This Row],[Lab Q Model Units 2]]</f>
        <v>#N/A</v>
      </c>
      <c r="AD586" s="392" t="e">
        <f>RawMaterials[[#This Row],[Lab Price 3]]/RawMaterials[[#This Row],[Lab Q Model Units 3]]</f>
        <v>#N/A</v>
      </c>
      <c r="AE586" s="392" t="e">
        <f>RawMaterials[[#This Row],[Lab Price 4]]/RawMaterials[[#This Row],[Lab Q Model Units 4]]</f>
        <v>#N/A</v>
      </c>
      <c r="AF586" s="392" t="str">
        <f ca="1">IF(RawMaterials[[#This Row],[Lab Quote Count]]&gt;1,SLOPE(LOG(INDIRECT("RawMaterials[@[Lab Unit P 1]:[Lab Unit P "&amp;RawMaterials[[#This Row],[Lab Quote Count]]&amp;"]]")),LOG(INDIRECT("RawMaterials[@[Lab Q Model Units 1]:[Lab Q Model Units "&amp;RawMaterials[[#This Row],[Lab Quote Count]]&amp;"]]"))),"")</f>
        <v/>
      </c>
      <c r="AG586" s="392" t="str">
        <f ca="1">IF(RawMaterials[[#This Row],[Lab Quote Count]]&gt;1,INTERCEPT(LOG(INDIRECT("RawMaterials[@[Lab Unit P 1]:[Lab Unit P "&amp;RawMaterials[[#This Row],[Lab Quote Count]]&amp;"]]")),LOG(INDIRECT("RawMaterials[@[Lab Q Model Units 1]:[Lab Q Model Units "&amp;RawMaterials[[#This Row],[Lab Quote Count]]&amp;"]]"))),"")</f>
        <v/>
      </c>
      <c r="AH586" s="393" t="str">
        <f>IF(RawMaterials[[#This Row],[Material Type]]="Metal Precursor","D13",IF(RawMaterials[[#This Row],[Material Type]]="Ligand","D13","D12"))</f>
        <v>D12</v>
      </c>
      <c r="AI586" s="394" t="str">
        <f ca="1">IF(RawMaterials[[#This Row],[Lab Quote Count]]&gt;1,10^RawMaterials[[#This Row],[Lab Log-Log Intercept]]*INDIRECT(RawMaterials[[#This Row],[Basis Cell]])^RawMaterials[[#This Row],[Lab Log-Log Slope]],"&gt;&gt;&gt; Enter 2 or more lab quotes &lt;&lt;&lt;")</f>
        <v>&gt;&gt;&gt; Enter 2 or more lab quotes &lt;&lt;&lt;</v>
      </c>
      <c r="AJ58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3.7478584571429185</v>
      </c>
      <c r="AL586" s="396">
        <f>IF(ISTEXT(RawMaterials[[#This Row],[Unit price in quote year]]),"Check calcs",RawMaterials[[#This Row],[Unit price in quote year]]/VLOOKUP(RawMaterials[[#This Row],[Quote Year]],ChemPPI[],14,FALSE)*VLOOKUP(BasisYear,ChemPPI[],14,FALSE))</f>
        <v>5.0866513917828957</v>
      </c>
      <c r="AM586" s="397" t="str">
        <f t="shared" si="8"/>
        <v>$/kg (2016)</v>
      </c>
    </row>
    <row r="587" spans="1:39">
      <c r="A587" s="259" t="s">
        <v>1671</v>
      </c>
      <c r="B587" s="260"/>
      <c r="C587" s="351"/>
      <c r="D587" s="351"/>
      <c r="E587" s="260">
        <v>100</v>
      </c>
      <c r="F587" s="260"/>
      <c r="G587" s="351"/>
      <c r="H587" s="351"/>
      <c r="I587" s="262"/>
      <c r="J587" s="351"/>
      <c r="K587" s="351"/>
      <c r="L587" s="351"/>
      <c r="M587" s="351"/>
      <c r="N587" s="351"/>
      <c r="O587" s="351"/>
      <c r="P587" s="261">
        <v>1.55</v>
      </c>
      <c r="Q587" s="260">
        <v>1</v>
      </c>
      <c r="R587" s="260" t="s">
        <v>20</v>
      </c>
      <c r="S587" s="260">
        <v>2006</v>
      </c>
      <c r="T587" s="260" t="s">
        <v>161</v>
      </c>
      <c r="U587" s="386">
        <v>42653</v>
      </c>
      <c r="V587" s="387"/>
      <c r="W587" s="354">
        <f>COUNT(RawMaterials[[#This Row],[Lab Quantity 1]:[Lab Quantity 4]])</f>
        <v>0</v>
      </c>
      <c r="X58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7" s="392" t="e">
        <f>RawMaterials[[#This Row],[Lab Price 1]]/RawMaterials[[#This Row],[Lab Q Model Units 1]]</f>
        <v>#N/A</v>
      </c>
      <c r="AC587" s="392" t="e">
        <f>RawMaterials[[#This Row],[Lab Price 2]]/RawMaterials[[#This Row],[Lab Q Model Units 2]]</f>
        <v>#N/A</v>
      </c>
      <c r="AD587" s="392" t="e">
        <f>RawMaterials[[#This Row],[Lab Price 3]]/RawMaterials[[#This Row],[Lab Q Model Units 3]]</f>
        <v>#N/A</v>
      </c>
      <c r="AE587" s="392" t="e">
        <f>RawMaterials[[#This Row],[Lab Price 4]]/RawMaterials[[#This Row],[Lab Q Model Units 4]]</f>
        <v>#N/A</v>
      </c>
      <c r="AF587" s="392" t="str">
        <f ca="1">IF(RawMaterials[[#This Row],[Lab Quote Count]]&gt;1,SLOPE(LOG(INDIRECT("RawMaterials[@[Lab Unit P 1]:[Lab Unit P "&amp;RawMaterials[[#This Row],[Lab Quote Count]]&amp;"]]")),LOG(INDIRECT("RawMaterials[@[Lab Q Model Units 1]:[Lab Q Model Units "&amp;RawMaterials[[#This Row],[Lab Quote Count]]&amp;"]]"))),"")</f>
        <v/>
      </c>
      <c r="AG587" s="392" t="str">
        <f ca="1">IF(RawMaterials[[#This Row],[Lab Quote Count]]&gt;1,INTERCEPT(LOG(INDIRECT("RawMaterials[@[Lab Unit P 1]:[Lab Unit P "&amp;RawMaterials[[#This Row],[Lab Quote Count]]&amp;"]]")),LOG(INDIRECT("RawMaterials[@[Lab Q Model Units 1]:[Lab Q Model Units "&amp;RawMaterials[[#This Row],[Lab Quote Count]]&amp;"]]"))),"")</f>
        <v/>
      </c>
      <c r="AH587" s="393" t="str">
        <f>IF(RawMaterials[[#This Row],[Material Type]]="Metal Precursor","D13",IF(RawMaterials[[#This Row],[Material Type]]="Ligand","D13","D12"))</f>
        <v>D12</v>
      </c>
      <c r="AI587" s="394" t="str">
        <f ca="1">IF(RawMaterials[[#This Row],[Lab Quote Count]]&gt;1,10^RawMaterials[[#This Row],[Lab Log-Log Intercept]]*INDIRECT(RawMaterials[[#This Row],[Basis Cell]])^RawMaterials[[#This Row],[Lab Log-Log Slope]],"&gt;&gt;&gt; Enter 2 or more lab quotes &lt;&lt;&lt;")</f>
        <v>&gt;&gt;&gt; Enter 2 or more lab quotes &lt;&lt;&lt;</v>
      </c>
      <c r="AJ58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3.4171650638656024</v>
      </c>
      <c r="AL587" s="396">
        <f>IF(ISTEXT(RawMaterials[[#This Row],[Unit price in quote year]]),"Check calcs",RawMaterials[[#This Row],[Unit price in quote year]]/VLOOKUP(RawMaterials[[#This Row],[Quote Year]],ChemPPI[],14,FALSE)*VLOOKUP(BasisYear,ChemPPI[],14,FALSE))</f>
        <v>4.6378292101549929</v>
      </c>
      <c r="AM587" s="397" t="str">
        <f t="shared" si="8"/>
        <v>$/kg (2016)</v>
      </c>
    </row>
    <row r="588" spans="1:39">
      <c r="A588" s="259" t="s">
        <v>1672</v>
      </c>
      <c r="B588" s="260"/>
      <c r="C588" s="351"/>
      <c r="D588" s="351"/>
      <c r="E588" s="260">
        <v>100</v>
      </c>
      <c r="F588" s="260"/>
      <c r="G588" s="351"/>
      <c r="H588" s="351"/>
      <c r="I588" s="262"/>
      <c r="J588" s="351"/>
      <c r="K588" s="351"/>
      <c r="L588" s="351"/>
      <c r="M588" s="351"/>
      <c r="N588" s="351"/>
      <c r="O588" s="351"/>
      <c r="P588" s="261">
        <v>1.55</v>
      </c>
      <c r="Q588" s="260">
        <v>1</v>
      </c>
      <c r="R588" s="260" t="s">
        <v>20</v>
      </c>
      <c r="S588" s="260">
        <v>2006</v>
      </c>
      <c r="T588" s="260" t="s">
        <v>161</v>
      </c>
      <c r="U588" s="386">
        <v>42653</v>
      </c>
      <c r="V588" s="387"/>
      <c r="W588" s="354">
        <f>COUNT(RawMaterials[[#This Row],[Lab Quantity 1]:[Lab Quantity 4]])</f>
        <v>0</v>
      </c>
      <c r="X58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8" s="392" t="e">
        <f>RawMaterials[[#This Row],[Lab Price 1]]/RawMaterials[[#This Row],[Lab Q Model Units 1]]</f>
        <v>#N/A</v>
      </c>
      <c r="AC588" s="392" t="e">
        <f>RawMaterials[[#This Row],[Lab Price 2]]/RawMaterials[[#This Row],[Lab Q Model Units 2]]</f>
        <v>#N/A</v>
      </c>
      <c r="AD588" s="392" t="e">
        <f>RawMaterials[[#This Row],[Lab Price 3]]/RawMaterials[[#This Row],[Lab Q Model Units 3]]</f>
        <v>#N/A</v>
      </c>
      <c r="AE588" s="392" t="e">
        <f>RawMaterials[[#This Row],[Lab Price 4]]/RawMaterials[[#This Row],[Lab Q Model Units 4]]</f>
        <v>#N/A</v>
      </c>
      <c r="AF588" s="392" t="str">
        <f ca="1">IF(RawMaterials[[#This Row],[Lab Quote Count]]&gt;1,SLOPE(LOG(INDIRECT("RawMaterials[@[Lab Unit P 1]:[Lab Unit P "&amp;RawMaterials[[#This Row],[Lab Quote Count]]&amp;"]]")),LOG(INDIRECT("RawMaterials[@[Lab Q Model Units 1]:[Lab Q Model Units "&amp;RawMaterials[[#This Row],[Lab Quote Count]]&amp;"]]"))),"")</f>
        <v/>
      </c>
      <c r="AG588" s="392" t="str">
        <f ca="1">IF(RawMaterials[[#This Row],[Lab Quote Count]]&gt;1,INTERCEPT(LOG(INDIRECT("RawMaterials[@[Lab Unit P 1]:[Lab Unit P "&amp;RawMaterials[[#This Row],[Lab Quote Count]]&amp;"]]")),LOG(INDIRECT("RawMaterials[@[Lab Q Model Units 1]:[Lab Q Model Units "&amp;RawMaterials[[#This Row],[Lab Quote Count]]&amp;"]]"))),"")</f>
        <v/>
      </c>
      <c r="AH588" s="393" t="str">
        <f>IF(RawMaterials[[#This Row],[Material Type]]="Metal Precursor","D13",IF(RawMaterials[[#This Row],[Material Type]]="Ligand","D13","D12"))</f>
        <v>D12</v>
      </c>
      <c r="AI588" s="394" t="str">
        <f ca="1">IF(RawMaterials[[#This Row],[Lab Quote Count]]&gt;1,10^RawMaterials[[#This Row],[Lab Log-Log Intercept]]*INDIRECT(RawMaterials[[#This Row],[Basis Cell]])^RawMaterials[[#This Row],[Lab Log-Log Slope]],"&gt;&gt;&gt; Enter 2 or more lab quotes &lt;&lt;&lt;")</f>
        <v>&gt;&gt;&gt; Enter 2 or more lab quotes &lt;&lt;&lt;</v>
      </c>
      <c r="AJ58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3.4171650638656024</v>
      </c>
      <c r="AL588" s="396">
        <f>IF(ISTEXT(RawMaterials[[#This Row],[Unit price in quote year]]),"Check calcs",RawMaterials[[#This Row],[Unit price in quote year]]/VLOOKUP(RawMaterials[[#This Row],[Quote Year]],ChemPPI[],14,FALSE)*VLOOKUP(BasisYear,ChemPPI[],14,FALSE))</f>
        <v>4.6378292101549929</v>
      </c>
      <c r="AM588" s="397" t="str">
        <f t="shared" si="8"/>
        <v>$/kg (2016)</v>
      </c>
    </row>
    <row r="589" spans="1:39">
      <c r="A589" s="259" t="s">
        <v>1673</v>
      </c>
      <c r="B589" s="260"/>
      <c r="C589" s="351"/>
      <c r="D589" s="351"/>
      <c r="E589" s="260">
        <v>100</v>
      </c>
      <c r="F589" s="260"/>
      <c r="G589" s="351"/>
      <c r="H589" s="351"/>
      <c r="I589" s="262"/>
      <c r="J589" s="351"/>
      <c r="K589" s="351"/>
      <c r="L589" s="351"/>
      <c r="M589" s="351"/>
      <c r="N589" s="351"/>
      <c r="O589" s="351"/>
      <c r="P589" s="261">
        <v>0.97499999999999998</v>
      </c>
      <c r="Q589" s="260">
        <v>1</v>
      </c>
      <c r="R589" s="260" t="s">
        <v>20</v>
      </c>
      <c r="S589" s="260">
        <v>2006</v>
      </c>
      <c r="T589" s="260" t="s">
        <v>161</v>
      </c>
      <c r="U589" s="386">
        <v>42653</v>
      </c>
      <c r="V589" s="387"/>
      <c r="W589" s="354">
        <f>COUNT(RawMaterials[[#This Row],[Lab Quantity 1]:[Lab Quantity 4]])</f>
        <v>0</v>
      </c>
      <c r="X58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9" s="392" t="e">
        <f>RawMaterials[[#This Row],[Lab Price 1]]/RawMaterials[[#This Row],[Lab Q Model Units 1]]</f>
        <v>#N/A</v>
      </c>
      <c r="AC589" s="392" t="e">
        <f>RawMaterials[[#This Row],[Lab Price 2]]/RawMaterials[[#This Row],[Lab Q Model Units 2]]</f>
        <v>#N/A</v>
      </c>
      <c r="AD589" s="392" t="e">
        <f>RawMaterials[[#This Row],[Lab Price 3]]/RawMaterials[[#This Row],[Lab Q Model Units 3]]</f>
        <v>#N/A</v>
      </c>
      <c r="AE589" s="392" t="e">
        <f>RawMaterials[[#This Row],[Lab Price 4]]/RawMaterials[[#This Row],[Lab Q Model Units 4]]</f>
        <v>#N/A</v>
      </c>
      <c r="AF589" s="392" t="str">
        <f ca="1">IF(RawMaterials[[#This Row],[Lab Quote Count]]&gt;1,SLOPE(LOG(INDIRECT("RawMaterials[@[Lab Unit P 1]:[Lab Unit P "&amp;RawMaterials[[#This Row],[Lab Quote Count]]&amp;"]]")),LOG(INDIRECT("RawMaterials[@[Lab Q Model Units 1]:[Lab Q Model Units "&amp;RawMaterials[[#This Row],[Lab Quote Count]]&amp;"]]"))),"")</f>
        <v/>
      </c>
      <c r="AG589" s="392" t="str">
        <f ca="1">IF(RawMaterials[[#This Row],[Lab Quote Count]]&gt;1,INTERCEPT(LOG(INDIRECT("RawMaterials[@[Lab Unit P 1]:[Lab Unit P "&amp;RawMaterials[[#This Row],[Lab Quote Count]]&amp;"]]")),LOG(INDIRECT("RawMaterials[@[Lab Q Model Units 1]:[Lab Q Model Units "&amp;RawMaterials[[#This Row],[Lab Quote Count]]&amp;"]]"))),"")</f>
        <v/>
      </c>
      <c r="AH589" s="393" t="str">
        <f>IF(RawMaterials[[#This Row],[Material Type]]="Metal Precursor","D13",IF(RawMaterials[[#This Row],[Material Type]]="Ligand","D13","D12"))</f>
        <v>D12</v>
      </c>
      <c r="AI589" s="394" t="str">
        <f ca="1">IF(RawMaterials[[#This Row],[Lab Quote Count]]&gt;1,10^RawMaterials[[#This Row],[Lab Log-Log Intercept]]*INDIRECT(RawMaterials[[#This Row],[Basis Cell]])^RawMaterials[[#This Row],[Lab Log-Log Slope]],"&gt;&gt;&gt; Enter 2 or more lab quotes &lt;&lt;&lt;")</f>
        <v>&gt;&gt;&gt; Enter 2 or more lab quotes &lt;&lt;&lt;</v>
      </c>
      <c r="AJ58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2.1495070563025562</v>
      </c>
      <c r="AL589" s="396">
        <f>IF(ISTEXT(RawMaterials[[#This Row],[Unit price in quote year]]),"Check calcs",RawMaterials[[#This Row],[Unit price in quote year]]/VLOOKUP(RawMaterials[[#This Row],[Quote Year]],ChemPPI[],14,FALSE)*VLOOKUP(BasisYear,ChemPPI[],14,FALSE))</f>
        <v>2.9173441805813662</v>
      </c>
      <c r="AM589" s="397" t="str">
        <f t="shared" si="8"/>
        <v>$/kg (2016)</v>
      </c>
    </row>
    <row r="590" spans="1:39">
      <c r="A590" s="259" t="s">
        <v>1674</v>
      </c>
      <c r="B590" s="260"/>
      <c r="C590" s="351"/>
      <c r="D590" s="351"/>
      <c r="E590" s="260">
        <v>100</v>
      </c>
      <c r="F590" s="260"/>
      <c r="G590" s="351"/>
      <c r="H590" s="351"/>
      <c r="I590" s="262"/>
      <c r="J590" s="351"/>
      <c r="K590" s="351"/>
      <c r="L590" s="351"/>
      <c r="M590" s="351"/>
      <c r="N590" s="351"/>
      <c r="O590" s="351"/>
      <c r="P590" s="261">
        <v>0.97499999999999998</v>
      </c>
      <c r="Q590" s="260">
        <v>1</v>
      </c>
      <c r="R590" s="260" t="s">
        <v>20</v>
      </c>
      <c r="S590" s="260">
        <v>2006</v>
      </c>
      <c r="T590" s="260" t="s">
        <v>161</v>
      </c>
      <c r="U590" s="386">
        <v>42653</v>
      </c>
      <c r="V590" s="387"/>
      <c r="W590" s="354">
        <f>COUNT(RawMaterials[[#This Row],[Lab Quantity 1]:[Lab Quantity 4]])</f>
        <v>0</v>
      </c>
      <c r="X59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0" s="392" t="e">
        <f>RawMaterials[[#This Row],[Lab Price 1]]/RawMaterials[[#This Row],[Lab Q Model Units 1]]</f>
        <v>#N/A</v>
      </c>
      <c r="AC590" s="392" t="e">
        <f>RawMaterials[[#This Row],[Lab Price 2]]/RawMaterials[[#This Row],[Lab Q Model Units 2]]</f>
        <v>#N/A</v>
      </c>
      <c r="AD590" s="392" t="e">
        <f>RawMaterials[[#This Row],[Lab Price 3]]/RawMaterials[[#This Row],[Lab Q Model Units 3]]</f>
        <v>#N/A</v>
      </c>
      <c r="AE590" s="392" t="e">
        <f>RawMaterials[[#This Row],[Lab Price 4]]/RawMaterials[[#This Row],[Lab Q Model Units 4]]</f>
        <v>#N/A</v>
      </c>
      <c r="AF590" s="392" t="str">
        <f ca="1">IF(RawMaterials[[#This Row],[Lab Quote Count]]&gt;1,SLOPE(LOG(INDIRECT("RawMaterials[@[Lab Unit P 1]:[Lab Unit P "&amp;RawMaterials[[#This Row],[Lab Quote Count]]&amp;"]]")),LOG(INDIRECT("RawMaterials[@[Lab Q Model Units 1]:[Lab Q Model Units "&amp;RawMaterials[[#This Row],[Lab Quote Count]]&amp;"]]"))),"")</f>
        <v/>
      </c>
      <c r="AG590" s="392" t="str">
        <f ca="1">IF(RawMaterials[[#This Row],[Lab Quote Count]]&gt;1,INTERCEPT(LOG(INDIRECT("RawMaterials[@[Lab Unit P 1]:[Lab Unit P "&amp;RawMaterials[[#This Row],[Lab Quote Count]]&amp;"]]")),LOG(INDIRECT("RawMaterials[@[Lab Q Model Units 1]:[Lab Q Model Units "&amp;RawMaterials[[#This Row],[Lab Quote Count]]&amp;"]]"))),"")</f>
        <v/>
      </c>
      <c r="AH590" s="393" t="str">
        <f>IF(RawMaterials[[#This Row],[Material Type]]="Metal Precursor","D13",IF(RawMaterials[[#This Row],[Material Type]]="Ligand","D13","D12"))</f>
        <v>D12</v>
      </c>
      <c r="AI590" s="394" t="str">
        <f ca="1">IF(RawMaterials[[#This Row],[Lab Quote Count]]&gt;1,10^RawMaterials[[#This Row],[Lab Log-Log Intercept]]*INDIRECT(RawMaterials[[#This Row],[Basis Cell]])^RawMaterials[[#This Row],[Lab Log-Log Slope]],"&gt;&gt;&gt; Enter 2 or more lab quotes &lt;&lt;&lt;")</f>
        <v>&gt;&gt;&gt; Enter 2 or more lab quotes &lt;&lt;&lt;</v>
      </c>
      <c r="AJ59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2.1495070563025562</v>
      </c>
      <c r="AL590" s="396">
        <f>IF(ISTEXT(RawMaterials[[#This Row],[Unit price in quote year]]),"Check calcs",RawMaterials[[#This Row],[Unit price in quote year]]/VLOOKUP(RawMaterials[[#This Row],[Quote Year]],ChemPPI[],14,FALSE)*VLOOKUP(BasisYear,ChemPPI[],14,FALSE))</f>
        <v>2.9173441805813662</v>
      </c>
      <c r="AM590" s="397" t="str">
        <f t="shared" si="8"/>
        <v>$/kg (2016)</v>
      </c>
    </row>
    <row r="591" spans="1:39">
      <c r="A591" s="259" t="s">
        <v>1675</v>
      </c>
      <c r="B591" s="260"/>
      <c r="C591" s="351"/>
      <c r="D591" s="351"/>
      <c r="E591" s="260">
        <v>100</v>
      </c>
      <c r="F591" s="260"/>
      <c r="G591" s="351"/>
      <c r="H591" s="351"/>
      <c r="I591" s="262"/>
      <c r="J591" s="351"/>
      <c r="K591" s="351"/>
      <c r="L591" s="351"/>
      <c r="M591" s="351"/>
      <c r="N591" s="351"/>
      <c r="O591" s="351"/>
      <c r="P591" s="261">
        <v>0.97499999999999998</v>
      </c>
      <c r="Q591" s="260">
        <v>1</v>
      </c>
      <c r="R591" s="260" t="s">
        <v>20</v>
      </c>
      <c r="S591" s="260">
        <v>2006</v>
      </c>
      <c r="T591" s="260" t="s">
        <v>161</v>
      </c>
      <c r="U591" s="386">
        <v>42653</v>
      </c>
      <c r="V591" s="387"/>
      <c r="W591" s="354">
        <f>COUNT(RawMaterials[[#This Row],[Lab Quantity 1]:[Lab Quantity 4]])</f>
        <v>0</v>
      </c>
      <c r="X59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1" s="392" t="e">
        <f>RawMaterials[[#This Row],[Lab Price 1]]/RawMaterials[[#This Row],[Lab Q Model Units 1]]</f>
        <v>#N/A</v>
      </c>
      <c r="AC591" s="392" t="e">
        <f>RawMaterials[[#This Row],[Lab Price 2]]/RawMaterials[[#This Row],[Lab Q Model Units 2]]</f>
        <v>#N/A</v>
      </c>
      <c r="AD591" s="392" t="e">
        <f>RawMaterials[[#This Row],[Lab Price 3]]/RawMaterials[[#This Row],[Lab Q Model Units 3]]</f>
        <v>#N/A</v>
      </c>
      <c r="AE591" s="392" t="e">
        <f>RawMaterials[[#This Row],[Lab Price 4]]/RawMaterials[[#This Row],[Lab Q Model Units 4]]</f>
        <v>#N/A</v>
      </c>
      <c r="AF591" s="392" t="str">
        <f ca="1">IF(RawMaterials[[#This Row],[Lab Quote Count]]&gt;1,SLOPE(LOG(INDIRECT("RawMaterials[@[Lab Unit P 1]:[Lab Unit P "&amp;RawMaterials[[#This Row],[Lab Quote Count]]&amp;"]]")),LOG(INDIRECT("RawMaterials[@[Lab Q Model Units 1]:[Lab Q Model Units "&amp;RawMaterials[[#This Row],[Lab Quote Count]]&amp;"]]"))),"")</f>
        <v/>
      </c>
      <c r="AG591" s="392" t="str">
        <f ca="1">IF(RawMaterials[[#This Row],[Lab Quote Count]]&gt;1,INTERCEPT(LOG(INDIRECT("RawMaterials[@[Lab Unit P 1]:[Lab Unit P "&amp;RawMaterials[[#This Row],[Lab Quote Count]]&amp;"]]")),LOG(INDIRECT("RawMaterials[@[Lab Q Model Units 1]:[Lab Q Model Units "&amp;RawMaterials[[#This Row],[Lab Quote Count]]&amp;"]]"))),"")</f>
        <v/>
      </c>
      <c r="AH591" s="393" t="str">
        <f>IF(RawMaterials[[#This Row],[Material Type]]="Metal Precursor","D13",IF(RawMaterials[[#This Row],[Material Type]]="Ligand","D13","D12"))</f>
        <v>D12</v>
      </c>
      <c r="AI591" s="394" t="str">
        <f ca="1">IF(RawMaterials[[#This Row],[Lab Quote Count]]&gt;1,10^RawMaterials[[#This Row],[Lab Log-Log Intercept]]*INDIRECT(RawMaterials[[#This Row],[Basis Cell]])^RawMaterials[[#This Row],[Lab Log-Log Slope]],"&gt;&gt;&gt; Enter 2 or more lab quotes &lt;&lt;&lt;")</f>
        <v>&gt;&gt;&gt; Enter 2 or more lab quotes &lt;&lt;&lt;</v>
      </c>
      <c r="AJ59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2.1495070563025562</v>
      </c>
      <c r="AL591" s="396">
        <f>IF(ISTEXT(RawMaterials[[#This Row],[Unit price in quote year]]),"Check calcs",RawMaterials[[#This Row],[Unit price in quote year]]/VLOOKUP(RawMaterials[[#This Row],[Quote Year]],ChemPPI[],14,FALSE)*VLOOKUP(BasisYear,ChemPPI[],14,FALSE))</f>
        <v>2.9173441805813662</v>
      </c>
      <c r="AM591" s="397" t="str">
        <f t="shared" si="8"/>
        <v>$/kg (2016)</v>
      </c>
    </row>
    <row r="592" spans="1:39">
      <c r="A592" s="259" t="s">
        <v>1676</v>
      </c>
      <c r="B592" s="260"/>
      <c r="C592" s="351"/>
      <c r="D592" s="351"/>
      <c r="E592" s="260">
        <v>100</v>
      </c>
      <c r="F592" s="260"/>
      <c r="G592" s="351"/>
      <c r="H592" s="351"/>
      <c r="I592" s="262"/>
      <c r="J592" s="351"/>
      <c r="K592" s="351"/>
      <c r="L592" s="351"/>
      <c r="M592" s="351"/>
      <c r="N592" s="351"/>
      <c r="O592" s="351"/>
      <c r="P592" s="261">
        <v>1.05</v>
      </c>
      <c r="Q592" s="260">
        <v>1</v>
      </c>
      <c r="R592" s="260" t="s">
        <v>20</v>
      </c>
      <c r="S592" s="260">
        <v>2006</v>
      </c>
      <c r="T592" s="260" t="s">
        <v>161</v>
      </c>
      <c r="U592" s="386">
        <v>42653</v>
      </c>
      <c r="V592" s="387"/>
      <c r="W592" s="354">
        <f>COUNT(RawMaterials[[#This Row],[Lab Quantity 1]:[Lab Quantity 4]])</f>
        <v>0</v>
      </c>
      <c r="X59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2" s="392" t="e">
        <f>RawMaterials[[#This Row],[Lab Price 1]]/RawMaterials[[#This Row],[Lab Q Model Units 1]]</f>
        <v>#N/A</v>
      </c>
      <c r="AC592" s="392" t="e">
        <f>RawMaterials[[#This Row],[Lab Price 2]]/RawMaterials[[#This Row],[Lab Q Model Units 2]]</f>
        <v>#N/A</v>
      </c>
      <c r="AD592" s="392" t="e">
        <f>RawMaterials[[#This Row],[Lab Price 3]]/RawMaterials[[#This Row],[Lab Q Model Units 3]]</f>
        <v>#N/A</v>
      </c>
      <c r="AE592" s="392" t="e">
        <f>RawMaterials[[#This Row],[Lab Price 4]]/RawMaterials[[#This Row],[Lab Q Model Units 4]]</f>
        <v>#N/A</v>
      </c>
      <c r="AF592" s="392" t="str">
        <f ca="1">IF(RawMaterials[[#This Row],[Lab Quote Count]]&gt;1,SLOPE(LOG(INDIRECT("RawMaterials[@[Lab Unit P 1]:[Lab Unit P "&amp;RawMaterials[[#This Row],[Lab Quote Count]]&amp;"]]")),LOG(INDIRECT("RawMaterials[@[Lab Q Model Units 1]:[Lab Q Model Units "&amp;RawMaterials[[#This Row],[Lab Quote Count]]&amp;"]]"))),"")</f>
        <v/>
      </c>
      <c r="AG592" s="392" t="str">
        <f ca="1">IF(RawMaterials[[#This Row],[Lab Quote Count]]&gt;1,INTERCEPT(LOG(INDIRECT("RawMaterials[@[Lab Unit P 1]:[Lab Unit P "&amp;RawMaterials[[#This Row],[Lab Quote Count]]&amp;"]]")),LOG(INDIRECT("RawMaterials[@[Lab Q Model Units 1]:[Lab Q Model Units "&amp;RawMaterials[[#This Row],[Lab Quote Count]]&amp;"]]"))),"")</f>
        <v/>
      </c>
      <c r="AH592" s="393" t="str">
        <f>IF(RawMaterials[[#This Row],[Material Type]]="Metal Precursor","D13",IF(RawMaterials[[#This Row],[Material Type]]="Ligand","D13","D12"))</f>
        <v>D12</v>
      </c>
      <c r="AI592" s="394" t="str">
        <f ca="1">IF(RawMaterials[[#This Row],[Lab Quote Count]]&gt;1,10^RawMaterials[[#This Row],[Lab Log-Log Intercept]]*INDIRECT(RawMaterials[[#This Row],[Basis Cell]])^RawMaterials[[#This Row],[Lab Log-Log Slope]],"&gt;&gt;&gt; Enter 2 or more lab quotes &lt;&lt;&lt;")</f>
        <v>&gt;&gt;&gt; Enter 2 or more lab quotes &lt;&lt;&lt;</v>
      </c>
      <c r="AJ59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2.3148537529412145</v>
      </c>
      <c r="AL592" s="396">
        <f>IF(ISTEXT(RawMaterials[[#This Row],[Unit price in quote year]]),"Check calcs",RawMaterials[[#This Row],[Unit price in quote year]]/VLOOKUP(RawMaterials[[#This Row],[Quote Year]],ChemPPI[],14,FALSE)*VLOOKUP(BasisYear,ChemPPI[],14,FALSE))</f>
        <v>3.1417552713953176</v>
      </c>
      <c r="AM592" s="397" t="str">
        <f t="shared" ref="AM592:AM621" si="9">CurrencySymbol&amp;"/"&amp;OutMassUnit&amp;" ("&amp;BasisYear&amp;")"</f>
        <v>$/kg (2016)</v>
      </c>
    </row>
    <row r="593" spans="1:39">
      <c r="A593" s="259" t="s">
        <v>1677</v>
      </c>
      <c r="B593" s="260"/>
      <c r="C593" s="351"/>
      <c r="D593" s="351">
        <v>0.86699999999999999</v>
      </c>
      <c r="E593" s="260">
        <v>100</v>
      </c>
      <c r="F593" s="260"/>
      <c r="G593" s="351"/>
      <c r="H593" s="351"/>
      <c r="I593" s="262"/>
      <c r="J593" s="351"/>
      <c r="K593" s="351"/>
      <c r="L593" s="351"/>
      <c r="M593" s="351"/>
      <c r="N593" s="351"/>
      <c r="O593" s="351"/>
      <c r="P593" s="261">
        <v>3.3499999999999899</v>
      </c>
      <c r="Q593" s="260">
        <v>1</v>
      </c>
      <c r="R593" s="260" t="s">
        <v>85</v>
      </c>
      <c r="S593" s="260">
        <v>2008</v>
      </c>
      <c r="T593" s="260" t="s">
        <v>161</v>
      </c>
      <c r="U593" s="386">
        <v>42653</v>
      </c>
      <c r="V593" s="387"/>
      <c r="W593" s="354">
        <f>COUNT(RawMaterials[[#This Row],[Lab Quantity 1]:[Lab Quantity 4]])</f>
        <v>0</v>
      </c>
      <c r="X59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3" s="392" t="e">
        <f>RawMaterials[[#This Row],[Lab Price 1]]/RawMaterials[[#This Row],[Lab Q Model Units 1]]</f>
        <v>#N/A</v>
      </c>
      <c r="AC593" s="392" t="e">
        <f>RawMaterials[[#This Row],[Lab Price 2]]/RawMaterials[[#This Row],[Lab Q Model Units 2]]</f>
        <v>#N/A</v>
      </c>
      <c r="AD593" s="392" t="e">
        <f>RawMaterials[[#This Row],[Lab Price 3]]/RawMaterials[[#This Row],[Lab Q Model Units 3]]</f>
        <v>#N/A</v>
      </c>
      <c r="AE593" s="392" t="e">
        <f>RawMaterials[[#This Row],[Lab Price 4]]/RawMaterials[[#This Row],[Lab Q Model Units 4]]</f>
        <v>#N/A</v>
      </c>
      <c r="AF593" s="392" t="str">
        <f ca="1">IF(RawMaterials[[#This Row],[Lab Quote Count]]&gt;1,SLOPE(LOG(INDIRECT("RawMaterials[@[Lab Unit P 1]:[Lab Unit P "&amp;RawMaterials[[#This Row],[Lab Quote Count]]&amp;"]]")),LOG(INDIRECT("RawMaterials[@[Lab Q Model Units 1]:[Lab Q Model Units "&amp;RawMaterials[[#This Row],[Lab Quote Count]]&amp;"]]"))),"")</f>
        <v/>
      </c>
      <c r="AG593" s="392" t="str">
        <f ca="1">IF(RawMaterials[[#This Row],[Lab Quote Count]]&gt;1,INTERCEPT(LOG(INDIRECT("RawMaterials[@[Lab Unit P 1]:[Lab Unit P "&amp;RawMaterials[[#This Row],[Lab Quote Count]]&amp;"]]")),LOG(INDIRECT("RawMaterials[@[Lab Q Model Units 1]:[Lab Q Model Units "&amp;RawMaterials[[#This Row],[Lab Quote Count]]&amp;"]]"))),"")</f>
        <v/>
      </c>
      <c r="AH593" s="393" t="str">
        <f>IF(RawMaterials[[#This Row],[Material Type]]="Metal Precursor","D13",IF(RawMaterials[[#This Row],[Material Type]]="Ligand","D13","D12"))</f>
        <v>D12</v>
      </c>
      <c r="AI593" s="394" t="str">
        <f ca="1">IF(RawMaterials[[#This Row],[Lab Quote Count]]&gt;1,10^RawMaterials[[#This Row],[Lab Log-Log Intercept]]*INDIRECT(RawMaterials[[#This Row],[Basis Cell]])^RawMaterials[[#This Row],[Lab Log-Log Slope]],"&gt;&gt;&gt; Enter 2 or more lab quotes &lt;&lt;&lt;")</f>
        <v>&gt;&gt;&gt; Enter 2 or more lab quotes &lt;&lt;&lt;</v>
      </c>
      <c r="AJ59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3.2819520167279999</v>
      </c>
      <c r="AK59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1.0207339970009164</v>
      </c>
      <c r="AL593" s="396">
        <f>IF(ISTEXT(RawMaterials[[#This Row],[Unit price in quote year]]),"Check calcs",RawMaterials[[#This Row],[Unit price in quote year]]/VLOOKUP(RawMaterials[[#This Row],[Quote Year]],ChemPPI[],14,FALSE)*VLOOKUP(BasisYear,ChemPPI[],14,FALSE))</f>
        <v>1.1946892850784507</v>
      </c>
      <c r="AM593" s="397" t="str">
        <f t="shared" si="9"/>
        <v>$/kg (2016)</v>
      </c>
    </row>
    <row r="594" spans="1:39">
      <c r="A594" s="259" t="s">
        <v>1678</v>
      </c>
      <c r="B594" s="260"/>
      <c r="C594" s="351"/>
      <c r="D594" s="351">
        <v>0.86699999999999999</v>
      </c>
      <c r="E594" s="260">
        <v>100</v>
      </c>
      <c r="F594" s="260"/>
      <c r="G594" s="351"/>
      <c r="H594" s="351"/>
      <c r="I594" s="262"/>
      <c r="J594" s="351"/>
      <c r="K594" s="351"/>
      <c r="L594" s="351"/>
      <c r="M594" s="351"/>
      <c r="N594" s="351"/>
      <c r="O594" s="351"/>
      <c r="P594" s="261">
        <v>3.3899999999999899</v>
      </c>
      <c r="Q594" s="260">
        <v>1</v>
      </c>
      <c r="R594" s="260" t="s">
        <v>85</v>
      </c>
      <c r="S594" s="260">
        <v>2008</v>
      </c>
      <c r="T594" s="260" t="s">
        <v>161</v>
      </c>
      <c r="U594" s="386">
        <v>42653</v>
      </c>
      <c r="V594" s="387"/>
      <c r="W594" s="354">
        <f>COUNT(RawMaterials[[#This Row],[Lab Quantity 1]:[Lab Quantity 4]])</f>
        <v>0</v>
      </c>
      <c r="X59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4" s="392" t="e">
        <f>RawMaterials[[#This Row],[Lab Price 1]]/RawMaterials[[#This Row],[Lab Q Model Units 1]]</f>
        <v>#N/A</v>
      </c>
      <c r="AC594" s="392" t="e">
        <f>RawMaterials[[#This Row],[Lab Price 2]]/RawMaterials[[#This Row],[Lab Q Model Units 2]]</f>
        <v>#N/A</v>
      </c>
      <c r="AD594" s="392" t="e">
        <f>RawMaterials[[#This Row],[Lab Price 3]]/RawMaterials[[#This Row],[Lab Q Model Units 3]]</f>
        <v>#N/A</v>
      </c>
      <c r="AE594" s="392" t="e">
        <f>RawMaterials[[#This Row],[Lab Price 4]]/RawMaterials[[#This Row],[Lab Q Model Units 4]]</f>
        <v>#N/A</v>
      </c>
      <c r="AF594" s="392" t="str">
        <f ca="1">IF(RawMaterials[[#This Row],[Lab Quote Count]]&gt;1,SLOPE(LOG(INDIRECT("RawMaterials[@[Lab Unit P 1]:[Lab Unit P "&amp;RawMaterials[[#This Row],[Lab Quote Count]]&amp;"]]")),LOG(INDIRECT("RawMaterials[@[Lab Q Model Units 1]:[Lab Q Model Units "&amp;RawMaterials[[#This Row],[Lab Quote Count]]&amp;"]]"))),"")</f>
        <v/>
      </c>
      <c r="AG594" s="392" t="str">
        <f ca="1">IF(RawMaterials[[#This Row],[Lab Quote Count]]&gt;1,INTERCEPT(LOG(INDIRECT("RawMaterials[@[Lab Unit P 1]:[Lab Unit P "&amp;RawMaterials[[#This Row],[Lab Quote Count]]&amp;"]]")),LOG(INDIRECT("RawMaterials[@[Lab Q Model Units 1]:[Lab Q Model Units "&amp;RawMaterials[[#This Row],[Lab Quote Count]]&amp;"]]"))),"")</f>
        <v/>
      </c>
      <c r="AH594" s="393" t="str">
        <f>IF(RawMaterials[[#This Row],[Material Type]]="Metal Precursor","D13",IF(RawMaterials[[#This Row],[Material Type]]="Ligand","D13","D12"))</f>
        <v>D12</v>
      </c>
      <c r="AI594" s="394" t="str">
        <f ca="1">IF(RawMaterials[[#This Row],[Lab Quote Count]]&gt;1,10^RawMaterials[[#This Row],[Lab Log-Log Intercept]]*INDIRECT(RawMaterials[[#This Row],[Basis Cell]])^RawMaterials[[#This Row],[Lab Log-Log Slope]],"&gt;&gt;&gt; Enter 2 or more lab quotes &lt;&lt;&lt;")</f>
        <v>&gt;&gt;&gt; Enter 2 or more lab quotes &lt;&lt;&lt;</v>
      </c>
      <c r="AJ59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3.2819520167279999</v>
      </c>
      <c r="AK59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1.0329218656218229</v>
      </c>
      <c r="AL594" s="396">
        <f>IF(ISTEXT(RawMaterials[[#This Row],[Unit price in quote year]]),"Check calcs",RawMaterials[[#This Row],[Unit price in quote year]]/VLOOKUP(RawMaterials[[#This Row],[Quote Year]],ChemPPI[],14,FALSE)*VLOOKUP(BasisYear,ChemPPI[],14,FALSE))</f>
        <v>1.2089542317659545</v>
      </c>
      <c r="AM594" s="397" t="str">
        <f t="shared" si="9"/>
        <v>$/kg (2016)</v>
      </c>
    </row>
    <row r="595" spans="1:39">
      <c r="A595" s="259" t="s">
        <v>1679</v>
      </c>
      <c r="B595" s="260"/>
      <c r="C595" s="351"/>
      <c r="D595" s="351"/>
      <c r="E595" s="260">
        <v>100</v>
      </c>
      <c r="F595" s="260"/>
      <c r="G595" s="351"/>
      <c r="H595" s="351"/>
      <c r="I595" s="262"/>
      <c r="J595" s="351"/>
      <c r="K595" s="351"/>
      <c r="L595" s="351"/>
      <c r="M595" s="351"/>
      <c r="N595" s="351"/>
      <c r="O595" s="351"/>
      <c r="P595" s="261">
        <v>0.54</v>
      </c>
      <c r="Q595" s="260">
        <v>1</v>
      </c>
      <c r="R595" s="260" t="s">
        <v>20</v>
      </c>
      <c r="S595" s="260">
        <v>2008</v>
      </c>
      <c r="T595" s="260" t="s">
        <v>161</v>
      </c>
      <c r="U595" s="386">
        <v>42653</v>
      </c>
      <c r="V595" s="387"/>
      <c r="W595" s="354">
        <f>COUNT(RawMaterials[[#This Row],[Lab Quantity 1]:[Lab Quantity 4]])</f>
        <v>0</v>
      </c>
      <c r="X59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5" s="392" t="e">
        <f>RawMaterials[[#This Row],[Lab Price 1]]/RawMaterials[[#This Row],[Lab Q Model Units 1]]</f>
        <v>#N/A</v>
      </c>
      <c r="AC595" s="392" t="e">
        <f>RawMaterials[[#This Row],[Lab Price 2]]/RawMaterials[[#This Row],[Lab Q Model Units 2]]</f>
        <v>#N/A</v>
      </c>
      <c r="AD595" s="392" t="e">
        <f>RawMaterials[[#This Row],[Lab Price 3]]/RawMaterials[[#This Row],[Lab Q Model Units 3]]</f>
        <v>#N/A</v>
      </c>
      <c r="AE595" s="392" t="e">
        <f>RawMaterials[[#This Row],[Lab Price 4]]/RawMaterials[[#This Row],[Lab Q Model Units 4]]</f>
        <v>#N/A</v>
      </c>
      <c r="AF595" s="392" t="str">
        <f ca="1">IF(RawMaterials[[#This Row],[Lab Quote Count]]&gt;1,SLOPE(LOG(INDIRECT("RawMaterials[@[Lab Unit P 1]:[Lab Unit P "&amp;RawMaterials[[#This Row],[Lab Quote Count]]&amp;"]]")),LOG(INDIRECT("RawMaterials[@[Lab Q Model Units 1]:[Lab Q Model Units "&amp;RawMaterials[[#This Row],[Lab Quote Count]]&amp;"]]"))),"")</f>
        <v/>
      </c>
      <c r="AG595" s="392" t="str">
        <f ca="1">IF(RawMaterials[[#This Row],[Lab Quote Count]]&gt;1,INTERCEPT(LOG(INDIRECT("RawMaterials[@[Lab Unit P 1]:[Lab Unit P "&amp;RawMaterials[[#This Row],[Lab Quote Count]]&amp;"]]")),LOG(INDIRECT("RawMaterials[@[Lab Q Model Units 1]:[Lab Q Model Units "&amp;RawMaterials[[#This Row],[Lab Quote Count]]&amp;"]]"))),"")</f>
        <v/>
      </c>
      <c r="AH595" s="393" t="str">
        <f>IF(RawMaterials[[#This Row],[Material Type]]="Metal Precursor","D13",IF(RawMaterials[[#This Row],[Material Type]]="Ligand","D13","D12"))</f>
        <v>D12</v>
      </c>
      <c r="AI595" s="394" t="str">
        <f ca="1">IF(RawMaterials[[#This Row],[Lab Quote Count]]&gt;1,10^RawMaterials[[#This Row],[Lab Log-Log Intercept]]*INDIRECT(RawMaterials[[#This Row],[Basis Cell]])^RawMaterials[[#This Row],[Lab Log-Log Slope]],"&gt;&gt;&gt; Enter 2 or more lab quotes &lt;&lt;&lt;")</f>
        <v>&gt;&gt;&gt; Enter 2 or more lab quotes &lt;&lt;&lt;</v>
      </c>
      <c r="AJ59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1.190496215798339</v>
      </c>
      <c r="AL595" s="396">
        <f>IF(ISTEXT(RawMaterials[[#This Row],[Unit price in quote year]]),"Check calcs",RawMaterials[[#This Row],[Unit price in quote year]]/VLOOKUP(RawMaterials[[#This Row],[Quote Year]],ChemPPI[],14,FALSE)*VLOOKUP(BasisYear,ChemPPI[],14,FALSE))</f>
        <v>1.3933826806196226</v>
      </c>
      <c r="AM595" s="397" t="str">
        <f t="shared" si="9"/>
        <v>$/kg (2016)</v>
      </c>
    </row>
    <row r="596" spans="1:39">
      <c r="A596" s="259" t="s">
        <v>1680</v>
      </c>
      <c r="B596" s="260"/>
      <c r="C596" s="351"/>
      <c r="D596" s="351"/>
      <c r="E596" s="260">
        <v>100</v>
      </c>
      <c r="F596" s="260"/>
      <c r="G596" s="351"/>
      <c r="H596" s="351"/>
      <c r="I596" s="262"/>
      <c r="J596" s="351"/>
      <c r="K596" s="351"/>
      <c r="L596" s="351"/>
      <c r="M596" s="351"/>
      <c r="N596" s="351"/>
      <c r="O596" s="351"/>
      <c r="P596" s="261">
        <v>0.53500000000000003</v>
      </c>
      <c r="Q596" s="260">
        <v>1</v>
      </c>
      <c r="R596" s="260" t="s">
        <v>20</v>
      </c>
      <c r="S596" s="260">
        <v>2008</v>
      </c>
      <c r="T596" s="260" t="s">
        <v>161</v>
      </c>
      <c r="U596" s="386">
        <v>42653</v>
      </c>
      <c r="V596" s="387"/>
      <c r="W596" s="354">
        <f>COUNT(RawMaterials[[#This Row],[Lab Quantity 1]:[Lab Quantity 4]])</f>
        <v>0</v>
      </c>
      <c r="X59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6" s="392" t="e">
        <f>RawMaterials[[#This Row],[Lab Price 1]]/RawMaterials[[#This Row],[Lab Q Model Units 1]]</f>
        <v>#N/A</v>
      </c>
      <c r="AC596" s="392" t="e">
        <f>RawMaterials[[#This Row],[Lab Price 2]]/RawMaterials[[#This Row],[Lab Q Model Units 2]]</f>
        <v>#N/A</v>
      </c>
      <c r="AD596" s="392" t="e">
        <f>RawMaterials[[#This Row],[Lab Price 3]]/RawMaterials[[#This Row],[Lab Q Model Units 3]]</f>
        <v>#N/A</v>
      </c>
      <c r="AE596" s="392" t="e">
        <f>RawMaterials[[#This Row],[Lab Price 4]]/RawMaterials[[#This Row],[Lab Q Model Units 4]]</f>
        <v>#N/A</v>
      </c>
      <c r="AF596" s="392" t="str">
        <f ca="1">IF(RawMaterials[[#This Row],[Lab Quote Count]]&gt;1,SLOPE(LOG(INDIRECT("RawMaterials[@[Lab Unit P 1]:[Lab Unit P "&amp;RawMaterials[[#This Row],[Lab Quote Count]]&amp;"]]")),LOG(INDIRECT("RawMaterials[@[Lab Q Model Units 1]:[Lab Q Model Units "&amp;RawMaterials[[#This Row],[Lab Quote Count]]&amp;"]]"))),"")</f>
        <v/>
      </c>
      <c r="AG596" s="392" t="str">
        <f ca="1">IF(RawMaterials[[#This Row],[Lab Quote Count]]&gt;1,INTERCEPT(LOG(INDIRECT("RawMaterials[@[Lab Unit P 1]:[Lab Unit P "&amp;RawMaterials[[#This Row],[Lab Quote Count]]&amp;"]]")),LOG(INDIRECT("RawMaterials[@[Lab Q Model Units 1]:[Lab Q Model Units "&amp;RawMaterials[[#This Row],[Lab Quote Count]]&amp;"]]"))),"")</f>
        <v/>
      </c>
      <c r="AH596" s="393" t="str">
        <f>IF(RawMaterials[[#This Row],[Material Type]]="Metal Precursor","D13",IF(RawMaterials[[#This Row],[Material Type]]="Ligand","D13","D12"))</f>
        <v>D12</v>
      </c>
      <c r="AI596" s="394" t="str">
        <f ca="1">IF(RawMaterials[[#This Row],[Lab Quote Count]]&gt;1,10^RawMaterials[[#This Row],[Lab Log-Log Intercept]]*INDIRECT(RawMaterials[[#This Row],[Basis Cell]])^RawMaterials[[#This Row],[Lab Log-Log Slope]],"&gt;&gt;&gt; Enter 2 or more lab quotes &lt;&lt;&lt;")</f>
        <v>&gt;&gt;&gt; Enter 2 or more lab quotes &lt;&lt;&lt;</v>
      </c>
      <c r="AJ59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1.179473102689095</v>
      </c>
      <c r="AL596" s="396">
        <f>IF(ISTEXT(RawMaterials[[#This Row],[Unit price in quote year]]),"Check calcs",RawMaterials[[#This Row],[Unit price in quote year]]/VLOOKUP(RawMaterials[[#This Row],[Quote Year]],ChemPPI[],14,FALSE)*VLOOKUP(BasisYear,ChemPPI[],14,FALSE))</f>
        <v>1.3804809891324037</v>
      </c>
      <c r="AM596" s="397" t="str">
        <f t="shared" si="9"/>
        <v>$/kg (2016)</v>
      </c>
    </row>
    <row r="597" spans="1:39">
      <c r="A597" s="259" t="s">
        <v>1681</v>
      </c>
      <c r="B597" s="260"/>
      <c r="C597" s="351"/>
      <c r="D597" s="351"/>
      <c r="E597" s="260">
        <v>100</v>
      </c>
      <c r="F597" s="260"/>
      <c r="G597" s="351"/>
      <c r="H597" s="351"/>
      <c r="I597" s="262"/>
      <c r="J597" s="351"/>
      <c r="K597" s="351"/>
      <c r="L597" s="351"/>
      <c r="M597" s="351"/>
      <c r="N597" s="351"/>
      <c r="O597" s="351"/>
      <c r="P597" s="261">
        <v>0.7</v>
      </c>
      <c r="Q597" s="260">
        <v>1</v>
      </c>
      <c r="R597" s="260" t="s">
        <v>20</v>
      </c>
      <c r="S597" s="260">
        <v>2006</v>
      </c>
      <c r="T597" s="260" t="s">
        <v>161</v>
      </c>
      <c r="U597" s="386">
        <v>42653</v>
      </c>
      <c r="V597" s="387"/>
      <c r="W597" s="354">
        <f>COUNT(RawMaterials[[#This Row],[Lab Quantity 1]:[Lab Quantity 4]])</f>
        <v>0</v>
      </c>
      <c r="X59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7" s="392" t="e">
        <f>RawMaterials[[#This Row],[Lab Price 1]]/RawMaterials[[#This Row],[Lab Q Model Units 1]]</f>
        <v>#N/A</v>
      </c>
      <c r="AC597" s="392" t="e">
        <f>RawMaterials[[#This Row],[Lab Price 2]]/RawMaterials[[#This Row],[Lab Q Model Units 2]]</f>
        <v>#N/A</v>
      </c>
      <c r="AD597" s="392" t="e">
        <f>RawMaterials[[#This Row],[Lab Price 3]]/RawMaterials[[#This Row],[Lab Q Model Units 3]]</f>
        <v>#N/A</v>
      </c>
      <c r="AE597" s="392" t="e">
        <f>RawMaterials[[#This Row],[Lab Price 4]]/RawMaterials[[#This Row],[Lab Q Model Units 4]]</f>
        <v>#N/A</v>
      </c>
      <c r="AF597" s="392" t="str">
        <f ca="1">IF(RawMaterials[[#This Row],[Lab Quote Count]]&gt;1,SLOPE(LOG(INDIRECT("RawMaterials[@[Lab Unit P 1]:[Lab Unit P "&amp;RawMaterials[[#This Row],[Lab Quote Count]]&amp;"]]")),LOG(INDIRECT("RawMaterials[@[Lab Q Model Units 1]:[Lab Q Model Units "&amp;RawMaterials[[#This Row],[Lab Quote Count]]&amp;"]]"))),"")</f>
        <v/>
      </c>
      <c r="AG597" s="392" t="str">
        <f ca="1">IF(RawMaterials[[#This Row],[Lab Quote Count]]&gt;1,INTERCEPT(LOG(INDIRECT("RawMaterials[@[Lab Unit P 1]:[Lab Unit P "&amp;RawMaterials[[#This Row],[Lab Quote Count]]&amp;"]]")),LOG(INDIRECT("RawMaterials[@[Lab Q Model Units 1]:[Lab Q Model Units "&amp;RawMaterials[[#This Row],[Lab Quote Count]]&amp;"]]"))),"")</f>
        <v/>
      </c>
      <c r="AH597" s="393" t="str">
        <f>IF(RawMaterials[[#This Row],[Material Type]]="Metal Precursor","D13",IF(RawMaterials[[#This Row],[Material Type]]="Ligand","D13","D12"))</f>
        <v>D12</v>
      </c>
      <c r="AI597" s="394" t="str">
        <f ca="1">IF(RawMaterials[[#This Row],[Lab Quote Count]]&gt;1,10^RawMaterials[[#This Row],[Lab Log-Log Intercept]]*INDIRECT(RawMaterials[[#This Row],[Basis Cell]])^RawMaterials[[#This Row],[Lab Log-Log Slope]],"&gt;&gt;&gt; Enter 2 or more lab quotes &lt;&lt;&lt;")</f>
        <v>&gt;&gt;&gt; Enter 2 or more lab quotes &lt;&lt;&lt;</v>
      </c>
      <c r="AJ59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1.5432358352941429</v>
      </c>
      <c r="AL597" s="396">
        <f>IF(ISTEXT(RawMaterials[[#This Row],[Unit price in quote year]]),"Check calcs",RawMaterials[[#This Row],[Unit price in quote year]]/VLOOKUP(RawMaterials[[#This Row],[Quote Year]],ChemPPI[],14,FALSE)*VLOOKUP(BasisYear,ChemPPI[],14,FALSE))</f>
        <v>2.0945035142635451</v>
      </c>
      <c r="AM597" s="397" t="str">
        <f t="shared" si="9"/>
        <v>$/kg (2016)</v>
      </c>
    </row>
    <row r="598" spans="1:39">
      <c r="A598" s="259" t="s">
        <v>1682</v>
      </c>
      <c r="B598" s="260"/>
      <c r="C598" s="351"/>
      <c r="D598" s="351"/>
      <c r="E598" s="260">
        <v>100</v>
      </c>
      <c r="F598" s="260"/>
      <c r="G598" s="351"/>
      <c r="H598" s="351"/>
      <c r="I598" s="262"/>
      <c r="J598" s="351"/>
      <c r="K598" s="351"/>
      <c r="L598" s="351"/>
      <c r="M598" s="351"/>
      <c r="N598" s="351"/>
      <c r="O598" s="351"/>
      <c r="P598" s="261">
        <v>1.2</v>
      </c>
      <c r="Q598" s="260">
        <v>1</v>
      </c>
      <c r="R598" s="260" t="s">
        <v>20</v>
      </c>
      <c r="S598" s="260">
        <v>2006</v>
      </c>
      <c r="T598" s="260" t="s">
        <v>161</v>
      </c>
      <c r="U598" s="386">
        <v>42653</v>
      </c>
      <c r="V598" s="387"/>
      <c r="W598" s="354">
        <f>COUNT(RawMaterials[[#This Row],[Lab Quantity 1]:[Lab Quantity 4]])</f>
        <v>0</v>
      </c>
      <c r="X59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8" s="392" t="e">
        <f>RawMaterials[[#This Row],[Lab Price 1]]/RawMaterials[[#This Row],[Lab Q Model Units 1]]</f>
        <v>#N/A</v>
      </c>
      <c r="AC598" s="392" t="e">
        <f>RawMaterials[[#This Row],[Lab Price 2]]/RawMaterials[[#This Row],[Lab Q Model Units 2]]</f>
        <v>#N/A</v>
      </c>
      <c r="AD598" s="392" t="e">
        <f>RawMaterials[[#This Row],[Lab Price 3]]/RawMaterials[[#This Row],[Lab Q Model Units 3]]</f>
        <v>#N/A</v>
      </c>
      <c r="AE598" s="392" t="e">
        <f>RawMaterials[[#This Row],[Lab Price 4]]/RawMaterials[[#This Row],[Lab Q Model Units 4]]</f>
        <v>#N/A</v>
      </c>
      <c r="AF598" s="392" t="str">
        <f ca="1">IF(RawMaterials[[#This Row],[Lab Quote Count]]&gt;1,SLOPE(LOG(INDIRECT("RawMaterials[@[Lab Unit P 1]:[Lab Unit P "&amp;RawMaterials[[#This Row],[Lab Quote Count]]&amp;"]]")),LOG(INDIRECT("RawMaterials[@[Lab Q Model Units 1]:[Lab Q Model Units "&amp;RawMaterials[[#This Row],[Lab Quote Count]]&amp;"]]"))),"")</f>
        <v/>
      </c>
      <c r="AG598" s="392" t="str">
        <f ca="1">IF(RawMaterials[[#This Row],[Lab Quote Count]]&gt;1,INTERCEPT(LOG(INDIRECT("RawMaterials[@[Lab Unit P 1]:[Lab Unit P "&amp;RawMaterials[[#This Row],[Lab Quote Count]]&amp;"]]")),LOG(INDIRECT("RawMaterials[@[Lab Q Model Units 1]:[Lab Q Model Units "&amp;RawMaterials[[#This Row],[Lab Quote Count]]&amp;"]]"))),"")</f>
        <v/>
      </c>
      <c r="AH598" s="393" t="str">
        <f>IF(RawMaterials[[#This Row],[Material Type]]="Metal Precursor","D13",IF(RawMaterials[[#This Row],[Material Type]]="Ligand","D13","D12"))</f>
        <v>D12</v>
      </c>
      <c r="AI598" s="394" t="str">
        <f ca="1">IF(RawMaterials[[#This Row],[Lab Quote Count]]&gt;1,10^RawMaterials[[#This Row],[Lab Log-Log Intercept]]*INDIRECT(RawMaterials[[#This Row],[Basis Cell]])^RawMaterials[[#This Row],[Lab Log-Log Slope]],"&gt;&gt;&gt; Enter 2 or more lab quotes &lt;&lt;&lt;")</f>
        <v>&gt;&gt;&gt; Enter 2 or more lab quotes &lt;&lt;&lt;</v>
      </c>
      <c r="AJ59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2.6455471462185307</v>
      </c>
      <c r="AL598" s="396">
        <f>IF(ISTEXT(RawMaterials[[#This Row],[Unit price in quote year]]),"Check calcs",RawMaterials[[#This Row],[Unit price in quote year]]/VLOOKUP(RawMaterials[[#This Row],[Quote Year]],ChemPPI[],14,FALSE)*VLOOKUP(BasisYear,ChemPPI[],14,FALSE))</f>
        <v>3.59057745302322</v>
      </c>
      <c r="AM598" s="397" t="str">
        <f t="shared" si="9"/>
        <v>$/kg (2016)</v>
      </c>
    </row>
    <row r="599" spans="1:39">
      <c r="A599" s="259" t="s">
        <v>1683</v>
      </c>
      <c r="B599" s="260"/>
      <c r="C599" s="351"/>
      <c r="D599" s="351"/>
      <c r="E599" s="260">
        <v>100</v>
      </c>
      <c r="F599" s="260"/>
      <c r="G599" s="351"/>
      <c r="H599" s="351"/>
      <c r="I599" s="262"/>
      <c r="J599" s="351"/>
      <c r="K599" s="351"/>
      <c r="L599" s="351"/>
      <c r="M599" s="351"/>
      <c r="N599" s="351"/>
      <c r="O599" s="351"/>
      <c r="P599" s="261">
        <v>0.85</v>
      </c>
      <c r="Q599" s="260">
        <v>1</v>
      </c>
      <c r="R599" s="260" t="s">
        <v>20</v>
      </c>
      <c r="S599" s="260">
        <v>2007</v>
      </c>
      <c r="T599" s="260" t="s">
        <v>161</v>
      </c>
      <c r="U599" s="386">
        <v>42653</v>
      </c>
      <c r="V599" s="387"/>
      <c r="W599" s="354">
        <f>COUNT(RawMaterials[[#This Row],[Lab Quantity 1]:[Lab Quantity 4]])</f>
        <v>0</v>
      </c>
      <c r="X59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9" s="392" t="e">
        <f>RawMaterials[[#This Row],[Lab Price 1]]/RawMaterials[[#This Row],[Lab Q Model Units 1]]</f>
        <v>#N/A</v>
      </c>
      <c r="AC599" s="392" t="e">
        <f>RawMaterials[[#This Row],[Lab Price 2]]/RawMaterials[[#This Row],[Lab Q Model Units 2]]</f>
        <v>#N/A</v>
      </c>
      <c r="AD599" s="392" t="e">
        <f>RawMaterials[[#This Row],[Lab Price 3]]/RawMaterials[[#This Row],[Lab Q Model Units 3]]</f>
        <v>#N/A</v>
      </c>
      <c r="AE599" s="392" t="e">
        <f>RawMaterials[[#This Row],[Lab Price 4]]/RawMaterials[[#This Row],[Lab Q Model Units 4]]</f>
        <v>#N/A</v>
      </c>
      <c r="AF599" s="392" t="str">
        <f ca="1">IF(RawMaterials[[#This Row],[Lab Quote Count]]&gt;1,SLOPE(LOG(INDIRECT("RawMaterials[@[Lab Unit P 1]:[Lab Unit P "&amp;RawMaterials[[#This Row],[Lab Quote Count]]&amp;"]]")),LOG(INDIRECT("RawMaterials[@[Lab Q Model Units 1]:[Lab Q Model Units "&amp;RawMaterials[[#This Row],[Lab Quote Count]]&amp;"]]"))),"")</f>
        <v/>
      </c>
      <c r="AG599" s="392" t="str">
        <f ca="1">IF(RawMaterials[[#This Row],[Lab Quote Count]]&gt;1,INTERCEPT(LOG(INDIRECT("RawMaterials[@[Lab Unit P 1]:[Lab Unit P "&amp;RawMaterials[[#This Row],[Lab Quote Count]]&amp;"]]")),LOG(INDIRECT("RawMaterials[@[Lab Q Model Units 1]:[Lab Q Model Units "&amp;RawMaterials[[#This Row],[Lab Quote Count]]&amp;"]]"))),"")</f>
        <v/>
      </c>
      <c r="AH599" s="393" t="str">
        <f>IF(RawMaterials[[#This Row],[Material Type]]="Metal Precursor","D13",IF(RawMaterials[[#This Row],[Material Type]]="Ligand","D13","D12"))</f>
        <v>D12</v>
      </c>
      <c r="AI599" s="394" t="str">
        <f ca="1">IF(RawMaterials[[#This Row],[Lab Quote Count]]&gt;1,10^RawMaterials[[#This Row],[Lab Log-Log Intercept]]*INDIRECT(RawMaterials[[#This Row],[Basis Cell]])^RawMaterials[[#This Row],[Lab Log-Log Slope]],"&gt;&gt;&gt; Enter 2 or more lab quotes &lt;&lt;&lt;")</f>
        <v>&gt;&gt;&gt; Enter 2 or more lab quotes &lt;&lt;&lt;</v>
      </c>
      <c r="AJ59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1.8739292285714593</v>
      </c>
      <c r="AL599" s="396">
        <f>IF(ISTEXT(RawMaterials[[#This Row],[Unit price in quote year]]),"Check calcs",RawMaterials[[#This Row],[Unit price in quote year]]/VLOOKUP(RawMaterials[[#This Row],[Quote Year]],ChemPPI[],14,FALSE)*VLOOKUP(BasisYear,ChemPPI[],14,FALSE))</f>
        <v>2.4615048413660268</v>
      </c>
      <c r="AM599" s="397" t="str">
        <f t="shared" si="9"/>
        <v>$/kg (2016)</v>
      </c>
    </row>
    <row r="600" spans="1:39">
      <c r="A600" s="352" t="s">
        <v>184</v>
      </c>
      <c r="B600" s="354"/>
      <c r="C600" s="353"/>
      <c r="D600" s="353"/>
      <c r="E600" s="354">
        <v>100</v>
      </c>
      <c r="F600" s="354"/>
      <c r="G600" s="353"/>
      <c r="H600" s="353"/>
      <c r="I600" s="355"/>
      <c r="J600" s="353"/>
      <c r="K600" s="353"/>
      <c r="L600" s="353"/>
      <c r="M600" s="353"/>
      <c r="N600" s="353"/>
      <c r="O600" s="353"/>
      <c r="P600" s="356">
        <v>24.04</v>
      </c>
      <c r="Q600" s="260">
        <v>1</v>
      </c>
      <c r="R600" s="354" t="s">
        <v>71</v>
      </c>
      <c r="S600" s="354">
        <v>2016</v>
      </c>
      <c r="T600" s="354" t="s">
        <v>176</v>
      </c>
      <c r="U600" s="400">
        <v>43339</v>
      </c>
      <c r="V600" s="387" t="s">
        <v>1705</v>
      </c>
      <c r="W600" s="354">
        <f>COUNT(RawMaterials[[#This Row],[Lab Quantity 1]:[Lab Quantity 4]])</f>
        <v>0</v>
      </c>
      <c r="X60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0" s="392" t="e">
        <f>RawMaterials[[#This Row],[Lab Price 1]]/RawMaterials[[#This Row],[Lab Q Model Units 1]]</f>
        <v>#N/A</v>
      </c>
      <c r="AC600" s="392" t="e">
        <f>RawMaterials[[#This Row],[Lab Price 2]]/RawMaterials[[#This Row],[Lab Q Model Units 2]]</f>
        <v>#N/A</v>
      </c>
      <c r="AD600" s="392" t="e">
        <f>RawMaterials[[#This Row],[Lab Price 3]]/RawMaterials[[#This Row],[Lab Q Model Units 3]]</f>
        <v>#N/A</v>
      </c>
      <c r="AE600" s="392" t="e">
        <f>RawMaterials[[#This Row],[Lab Price 4]]/RawMaterials[[#This Row],[Lab Q Model Units 4]]</f>
        <v>#N/A</v>
      </c>
      <c r="AF600" s="392" t="str">
        <f ca="1">IF(RawMaterials[[#This Row],[Lab Quote Count]]&gt;1,SLOPE(LOG(INDIRECT("RawMaterials[@[Lab Unit P 1]:[Lab Unit P "&amp;RawMaterials[[#This Row],[Lab Quote Count]]&amp;"]]")),LOG(INDIRECT("RawMaterials[@[Lab Q Model Units 1]:[Lab Q Model Units "&amp;RawMaterials[[#This Row],[Lab Quote Count]]&amp;"]]"))),"")</f>
        <v/>
      </c>
      <c r="AG600" s="392" t="str">
        <f ca="1">IF(RawMaterials[[#This Row],[Lab Quote Count]]&gt;1,INTERCEPT(LOG(INDIRECT("RawMaterials[@[Lab Unit P 1]:[Lab Unit P "&amp;RawMaterials[[#This Row],[Lab Quote Count]]&amp;"]]")),LOG(INDIRECT("RawMaterials[@[Lab Q Model Units 1]:[Lab Q Model Units "&amp;RawMaterials[[#This Row],[Lab Quote Count]]&amp;"]]"))),"")</f>
        <v/>
      </c>
      <c r="AH600" s="393" t="str">
        <f>IF(RawMaterials[[#This Row],[Material Type]]="Metal Precursor","D13",IF(RawMaterials[[#This Row],[Material Type]]="Ligand","D13","D12"))</f>
        <v>D12</v>
      </c>
      <c r="AI600" s="394" t="str">
        <f ca="1">IF(RawMaterials[[#This Row],[Lab Quote Count]]&gt;1,10^RawMaterials[[#This Row],[Lab Log-Log Intercept]]*INDIRECT(RawMaterials[[#This Row],[Basis Cell]])^RawMaterials[[#This Row],[Lab Log-Log Slope]],"&gt;&gt;&gt; Enter 2 or more lab quotes &lt;&lt;&lt;")</f>
        <v>&gt;&gt;&gt; Enter 2 or more lab quotes &lt;&lt;&lt;</v>
      </c>
      <c r="AJ60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24.04</v>
      </c>
      <c r="AL600" s="396">
        <f>IF(ISTEXT(RawMaterials[[#This Row],[Unit price in quote year]]),"Check calcs",RawMaterials[[#This Row],[Unit price in quote year]]/VLOOKUP(RawMaterials[[#This Row],[Quote Year]],ChemPPI[],14,FALSE)*VLOOKUP(BasisYear,ChemPPI[],14,FALSE))</f>
        <v>24.04</v>
      </c>
      <c r="AM600" s="397" t="str">
        <f t="shared" si="9"/>
        <v>$/kg (2016)</v>
      </c>
    </row>
    <row r="601" spans="1:39">
      <c r="A601" s="259" t="s">
        <v>1684</v>
      </c>
      <c r="B601" s="260"/>
      <c r="C601" s="351"/>
      <c r="D601" s="351">
        <v>0.86499999999999999</v>
      </c>
      <c r="E601" s="260">
        <v>100</v>
      </c>
      <c r="F601" s="260"/>
      <c r="G601" s="351"/>
      <c r="H601" s="351"/>
      <c r="I601" s="262"/>
      <c r="J601" s="351"/>
      <c r="K601" s="351"/>
      <c r="L601" s="351"/>
      <c r="M601" s="351"/>
      <c r="N601" s="351"/>
      <c r="O601" s="351"/>
      <c r="P601" s="261">
        <v>0.85</v>
      </c>
      <c r="Q601" s="260">
        <v>1</v>
      </c>
      <c r="R601" s="260" t="s">
        <v>85</v>
      </c>
      <c r="S601" s="260">
        <v>2006</v>
      </c>
      <c r="T601" s="260" t="s">
        <v>161</v>
      </c>
      <c r="U601" s="386">
        <v>42653</v>
      </c>
      <c r="V601" s="387"/>
      <c r="W601" s="354">
        <f>COUNT(RawMaterials[[#This Row],[Lab Quantity 1]:[Lab Quantity 4]])</f>
        <v>0</v>
      </c>
      <c r="X60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1" s="392" t="e">
        <f>RawMaterials[[#This Row],[Lab Price 1]]/RawMaterials[[#This Row],[Lab Q Model Units 1]]</f>
        <v>#N/A</v>
      </c>
      <c r="AC601" s="392" t="e">
        <f>RawMaterials[[#This Row],[Lab Price 2]]/RawMaterials[[#This Row],[Lab Q Model Units 2]]</f>
        <v>#N/A</v>
      </c>
      <c r="AD601" s="392" t="e">
        <f>RawMaterials[[#This Row],[Lab Price 3]]/RawMaterials[[#This Row],[Lab Q Model Units 3]]</f>
        <v>#N/A</v>
      </c>
      <c r="AE601" s="392" t="e">
        <f>RawMaterials[[#This Row],[Lab Price 4]]/RawMaterials[[#This Row],[Lab Q Model Units 4]]</f>
        <v>#N/A</v>
      </c>
      <c r="AF601" s="392" t="str">
        <f ca="1">IF(RawMaterials[[#This Row],[Lab Quote Count]]&gt;1,SLOPE(LOG(INDIRECT("RawMaterials[@[Lab Unit P 1]:[Lab Unit P "&amp;RawMaterials[[#This Row],[Lab Quote Count]]&amp;"]]")),LOG(INDIRECT("RawMaterials[@[Lab Q Model Units 1]:[Lab Q Model Units "&amp;RawMaterials[[#This Row],[Lab Quote Count]]&amp;"]]"))),"")</f>
        <v/>
      </c>
      <c r="AG601" s="392" t="str">
        <f ca="1">IF(RawMaterials[[#This Row],[Lab Quote Count]]&gt;1,INTERCEPT(LOG(INDIRECT("RawMaterials[@[Lab Unit P 1]:[Lab Unit P "&amp;RawMaterials[[#This Row],[Lab Quote Count]]&amp;"]]")),LOG(INDIRECT("RawMaterials[@[Lab Q Model Units 1]:[Lab Q Model Units "&amp;RawMaterials[[#This Row],[Lab Quote Count]]&amp;"]]"))),"")</f>
        <v/>
      </c>
      <c r="AH601" s="393" t="str">
        <f>IF(RawMaterials[[#This Row],[Material Type]]="Metal Precursor","D13",IF(RawMaterials[[#This Row],[Material Type]]="Ligand","D13","D12"))</f>
        <v>D12</v>
      </c>
      <c r="AI601" s="394" t="str">
        <f ca="1">IF(RawMaterials[[#This Row],[Lab Quote Count]]&gt;1,10^RawMaterials[[#This Row],[Lab Log-Log Intercept]]*INDIRECT(RawMaterials[[#This Row],[Basis Cell]])^RawMaterials[[#This Row],[Lab Log-Log Slope]],"&gt;&gt;&gt; Enter 2 or more lab quotes &lt;&lt;&lt;")</f>
        <v>&gt;&gt;&gt; Enter 2 or more lab quotes &lt;&lt;&lt;</v>
      </c>
      <c r="AJ60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3.27438119316</v>
      </c>
      <c r="AK60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0.25959103410916318</v>
      </c>
      <c r="AL601" s="396">
        <f>IF(ISTEXT(RawMaterials[[#This Row],[Unit price in quote year]]),"Check calcs",RawMaterials[[#This Row],[Unit price in quote year]]/VLOOKUP(RawMaterials[[#This Row],[Quote Year]],ChemPPI[],14,FALSE)*VLOOKUP(BasisYear,ChemPPI[],14,FALSE))</f>
        <v>0.35232096143575964</v>
      </c>
      <c r="AM601" s="397" t="str">
        <f t="shared" si="9"/>
        <v>$/kg (2016)</v>
      </c>
    </row>
    <row r="602" spans="1:39">
      <c r="A602" s="259" t="s">
        <v>1685</v>
      </c>
      <c r="B602" s="260"/>
      <c r="C602" s="351"/>
      <c r="D602" s="351"/>
      <c r="E602" s="260">
        <v>100</v>
      </c>
      <c r="F602" s="260"/>
      <c r="G602" s="351"/>
      <c r="H602" s="351"/>
      <c r="I602" s="262"/>
      <c r="J602" s="351"/>
      <c r="K602" s="351"/>
      <c r="L602" s="351"/>
      <c r="M602" s="351"/>
      <c r="N602" s="351"/>
      <c r="O602" s="351"/>
      <c r="P602" s="261">
        <v>590</v>
      </c>
      <c r="Q602" s="260">
        <v>1</v>
      </c>
      <c r="R602" s="260" t="s">
        <v>401</v>
      </c>
      <c r="S602" s="260">
        <v>2008</v>
      </c>
      <c r="T602" s="260" t="s">
        <v>161</v>
      </c>
      <c r="U602" s="386">
        <v>42653</v>
      </c>
      <c r="V602" s="387"/>
      <c r="W602" s="354">
        <f>COUNT(RawMaterials[[#This Row],[Lab Quantity 1]:[Lab Quantity 4]])</f>
        <v>0</v>
      </c>
      <c r="X60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2" s="392" t="e">
        <f>RawMaterials[[#This Row],[Lab Price 1]]/RawMaterials[[#This Row],[Lab Q Model Units 1]]</f>
        <v>#N/A</v>
      </c>
      <c r="AC602" s="392" t="e">
        <f>RawMaterials[[#This Row],[Lab Price 2]]/RawMaterials[[#This Row],[Lab Q Model Units 2]]</f>
        <v>#N/A</v>
      </c>
      <c r="AD602" s="392" t="e">
        <f>RawMaterials[[#This Row],[Lab Price 3]]/RawMaterials[[#This Row],[Lab Q Model Units 3]]</f>
        <v>#N/A</v>
      </c>
      <c r="AE602" s="392" t="e">
        <f>RawMaterials[[#This Row],[Lab Price 4]]/RawMaterials[[#This Row],[Lab Q Model Units 4]]</f>
        <v>#N/A</v>
      </c>
      <c r="AF602" s="392" t="str">
        <f ca="1">IF(RawMaterials[[#This Row],[Lab Quote Count]]&gt;1,SLOPE(LOG(INDIRECT("RawMaterials[@[Lab Unit P 1]:[Lab Unit P "&amp;RawMaterials[[#This Row],[Lab Quote Count]]&amp;"]]")),LOG(INDIRECT("RawMaterials[@[Lab Q Model Units 1]:[Lab Q Model Units "&amp;RawMaterials[[#This Row],[Lab Quote Count]]&amp;"]]"))),"")</f>
        <v/>
      </c>
      <c r="AG602" s="392" t="str">
        <f ca="1">IF(RawMaterials[[#This Row],[Lab Quote Count]]&gt;1,INTERCEPT(LOG(INDIRECT("RawMaterials[@[Lab Unit P 1]:[Lab Unit P "&amp;RawMaterials[[#This Row],[Lab Quote Count]]&amp;"]]")),LOG(INDIRECT("RawMaterials[@[Lab Q Model Units 1]:[Lab Q Model Units "&amp;RawMaterials[[#This Row],[Lab Quote Count]]&amp;"]]"))),"")</f>
        <v/>
      </c>
      <c r="AH602" s="393" t="str">
        <f>IF(RawMaterials[[#This Row],[Material Type]]="Metal Precursor","D13",IF(RawMaterials[[#This Row],[Material Type]]="Ligand","D13","D12"))</f>
        <v>D12</v>
      </c>
      <c r="AI602" s="394" t="str">
        <f ca="1">IF(RawMaterials[[#This Row],[Lab Quote Count]]&gt;1,10^RawMaterials[[#This Row],[Lab Log-Log Intercept]]*INDIRECT(RawMaterials[[#This Row],[Basis Cell]])^RawMaterials[[#This Row],[Lab Log-Log Slope]],"&gt;&gt;&gt; Enter 2 or more lab quotes &lt;&lt;&lt;")</f>
        <v>&gt;&gt;&gt; Enter 2 or more lab quotes &lt;&lt;&lt;</v>
      </c>
      <c r="AJ60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0.65036367344538881</v>
      </c>
      <c r="AL602" s="396">
        <f>IF(ISTEXT(RawMaterials[[#This Row],[Unit price in quote year]]),"Check calcs",RawMaterials[[#This Row],[Unit price in quote year]]/VLOOKUP(RawMaterials[[#This Row],[Quote Year]],ChemPPI[],14,FALSE)*VLOOKUP(BasisYear,ChemPPI[],14,FALSE))</f>
        <v>0.76119979774590474</v>
      </c>
      <c r="AM602" s="397" t="str">
        <f t="shared" si="9"/>
        <v>$/kg (2016)</v>
      </c>
    </row>
    <row r="603" spans="1:39">
      <c r="A603" s="259" t="s">
        <v>1686</v>
      </c>
      <c r="B603" s="260"/>
      <c r="C603" s="351"/>
      <c r="D603" s="351"/>
      <c r="E603" s="260">
        <v>100</v>
      </c>
      <c r="F603" s="260"/>
      <c r="G603" s="351"/>
      <c r="H603" s="351"/>
      <c r="I603" s="262"/>
      <c r="J603" s="351"/>
      <c r="K603" s="351"/>
      <c r="L603" s="351"/>
      <c r="M603" s="351"/>
      <c r="N603" s="351"/>
      <c r="O603" s="351"/>
      <c r="P603" s="261">
        <v>570.5</v>
      </c>
      <c r="Q603" s="260">
        <v>1</v>
      </c>
      <c r="R603" s="260" t="s">
        <v>401</v>
      </c>
      <c r="S603" s="260">
        <v>2008</v>
      </c>
      <c r="T603" s="260" t="s">
        <v>161</v>
      </c>
      <c r="U603" s="386">
        <v>42653</v>
      </c>
      <c r="V603" s="387"/>
      <c r="W603" s="354">
        <f>COUNT(RawMaterials[[#This Row],[Lab Quantity 1]:[Lab Quantity 4]])</f>
        <v>0</v>
      </c>
      <c r="X60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3" s="392" t="e">
        <f>RawMaterials[[#This Row],[Lab Price 1]]/RawMaterials[[#This Row],[Lab Q Model Units 1]]</f>
        <v>#N/A</v>
      </c>
      <c r="AC603" s="392" t="e">
        <f>RawMaterials[[#This Row],[Lab Price 2]]/RawMaterials[[#This Row],[Lab Q Model Units 2]]</f>
        <v>#N/A</v>
      </c>
      <c r="AD603" s="392" t="e">
        <f>RawMaterials[[#This Row],[Lab Price 3]]/RawMaterials[[#This Row],[Lab Q Model Units 3]]</f>
        <v>#N/A</v>
      </c>
      <c r="AE603" s="392" t="e">
        <f>RawMaterials[[#This Row],[Lab Price 4]]/RawMaterials[[#This Row],[Lab Q Model Units 4]]</f>
        <v>#N/A</v>
      </c>
      <c r="AF603" s="392" t="str">
        <f ca="1">IF(RawMaterials[[#This Row],[Lab Quote Count]]&gt;1,SLOPE(LOG(INDIRECT("RawMaterials[@[Lab Unit P 1]:[Lab Unit P "&amp;RawMaterials[[#This Row],[Lab Quote Count]]&amp;"]]")),LOG(INDIRECT("RawMaterials[@[Lab Q Model Units 1]:[Lab Q Model Units "&amp;RawMaterials[[#This Row],[Lab Quote Count]]&amp;"]]"))),"")</f>
        <v/>
      </c>
      <c r="AG603" s="392" t="str">
        <f ca="1">IF(RawMaterials[[#This Row],[Lab Quote Count]]&gt;1,INTERCEPT(LOG(INDIRECT("RawMaterials[@[Lab Unit P 1]:[Lab Unit P "&amp;RawMaterials[[#This Row],[Lab Quote Count]]&amp;"]]")),LOG(INDIRECT("RawMaterials[@[Lab Q Model Units 1]:[Lab Q Model Units "&amp;RawMaterials[[#This Row],[Lab Quote Count]]&amp;"]]"))),"")</f>
        <v/>
      </c>
      <c r="AH603" s="393" t="str">
        <f>IF(RawMaterials[[#This Row],[Material Type]]="Metal Precursor","D13",IF(RawMaterials[[#This Row],[Material Type]]="Ligand","D13","D12"))</f>
        <v>D12</v>
      </c>
      <c r="AI603" s="394" t="str">
        <f ca="1">IF(RawMaterials[[#This Row],[Lab Quote Count]]&gt;1,10^RawMaterials[[#This Row],[Lab Log-Log Intercept]]*INDIRECT(RawMaterials[[#This Row],[Basis Cell]])^RawMaterials[[#This Row],[Lab Log-Log Slope]],"&gt;&gt;&gt; Enter 2 or more lab quotes &lt;&lt;&lt;")</f>
        <v>&gt;&gt;&gt; Enter 2 or more lab quotes &lt;&lt;&lt;</v>
      </c>
      <c r="AJ60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0.62886860288236324</v>
      </c>
      <c r="AL603" s="396">
        <f>IF(ISTEXT(RawMaterials[[#This Row],[Unit price in quote year]]),"Check calcs",RawMaterials[[#This Row],[Unit price in quote year]]/VLOOKUP(RawMaterials[[#This Row],[Quote Year]],ChemPPI[],14,FALSE)*VLOOKUP(BasisYear,ChemPPI[],14,FALSE))</f>
        <v>0.7360414993458283</v>
      </c>
      <c r="AM603" s="397" t="str">
        <f t="shared" si="9"/>
        <v>$/kg (2016)</v>
      </c>
    </row>
    <row r="604" spans="1:39">
      <c r="A604" s="259" t="s">
        <v>1687</v>
      </c>
      <c r="B604" s="260"/>
      <c r="C604" s="351"/>
      <c r="D604" s="351"/>
      <c r="E604" s="260">
        <v>100</v>
      </c>
      <c r="F604" s="260"/>
      <c r="G604" s="351"/>
      <c r="H604" s="351"/>
      <c r="I604" s="262"/>
      <c r="J604" s="351"/>
      <c r="K604" s="351"/>
      <c r="L604" s="351"/>
      <c r="M604" s="351"/>
      <c r="N604" s="351"/>
      <c r="O604" s="351"/>
      <c r="P604" s="261">
        <v>13.25</v>
      </c>
      <c r="Q604" s="260">
        <v>1</v>
      </c>
      <c r="R604" s="260" t="s">
        <v>71</v>
      </c>
      <c r="S604" s="260">
        <v>2006</v>
      </c>
      <c r="T604" s="260" t="s">
        <v>161</v>
      </c>
      <c r="U604" s="386">
        <v>42653</v>
      </c>
      <c r="V604" s="387"/>
      <c r="W604" s="354">
        <f>COUNT(RawMaterials[[#This Row],[Lab Quantity 1]:[Lab Quantity 4]])</f>
        <v>0</v>
      </c>
      <c r="X60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4" s="392" t="e">
        <f>RawMaterials[[#This Row],[Lab Price 1]]/RawMaterials[[#This Row],[Lab Q Model Units 1]]</f>
        <v>#N/A</v>
      </c>
      <c r="AC604" s="392" t="e">
        <f>RawMaterials[[#This Row],[Lab Price 2]]/RawMaterials[[#This Row],[Lab Q Model Units 2]]</f>
        <v>#N/A</v>
      </c>
      <c r="AD604" s="392" t="e">
        <f>RawMaterials[[#This Row],[Lab Price 3]]/RawMaterials[[#This Row],[Lab Q Model Units 3]]</f>
        <v>#N/A</v>
      </c>
      <c r="AE604" s="392" t="e">
        <f>RawMaterials[[#This Row],[Lab Price 4]]/RawMaterials[[#This Row],[Lab Q Model Units 4]]</f>
        <v>#N/A</v>
      </c>
      <c r="AF604" s="392" t="str">
        <f ca="1">IF(RawMaterials[[#This Row],[Lab Quote Count]]&gt;1,SLOPE(LOG(INDIRECT("RawMaterials[@[Lab Unit P 1]:[Lab Unit P "&amp;RawMaterials[[#This Row],[Lab Quote Count]]&amp;"]]")),LOG(INDIRECT("RawMaterials[@[Lab Q Model Units 1]:[Lab Q Model Units "&amp;RawMaterials[[#This Row],[Lab Quote Count]]&amp;"]]"))),"")</f>
        <v/>
      </c>
      <c r="AG604" s="392" t="str">
        <f ca="1">IF(RawMaterials[[#This Row],[Lab Quote Count]]&gt;1,INTERCEPT(LOG(INDIRECT("RawMaterials[@[Lab Unit P 1]:[Lab Unit P "&amp;RawMaterials[[#This Row],[Lab Quote Count]]&amp;"]]")),LOG(INDIRECT("RawMaterials[@[Lab Q Model Units 1]:[Lab Q Model Units "&amp;RawMaterials[[#This Row],[Lab Quote Count]]&amp;"]]"))),"")</f>
        <v/>
      </c>
      <c r="AH604" s="393" t="str">
        <f>IF(RawMaterials[[#This Row],[Material Type]]="Metal Precursor","D13",IF(RawMaterials[[#This Row],[Material Type]]="Ligand","D13","D12"))</f>
        <v>D12</v>
      </c>
      <c r="AI604" s="394" t="str">
        <f ca="1">IF(RawMaterials[[#This Row],[Lab Quote Count]]&gt;1,10^RawMaterials[[#This Row],[Lab Log-Log Intercept]]*INDIRECT(RawMaterials[[#This Row],[Basis Cell]])^RawMaterials[[#This Row],[Lab Log-Log Slope]],"&gt;&gt;&gt; Enter 2 or more lab quotes &lt;&lt;&lt;")</f>
        <v>&gt;&gt;&gt; Enter 2 or more lab quotes &lt;&lt;&lt;</v>
      </c>
      <c r="AJ60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13.25</v>
      </c>
      <c r="AL604" s="396">
        <f>IF(ISTEXT(RawMaterials[[#This Row],[Unit price in quote year]]),"Check calcs",RawMaterials[[#This Row],[Unit price in quote year]]/VLOOKUP(RawMaterials[[#This Row],[Quote Year]],ChemPPI[],14,FALSE)*VLOOKUP(BasisYear,ChemPPI[],14,FALSE))</f>
        <v>17.983104674796753</v>
      </c>
      <c r="AM604" s="397" t="str">
        <f t="shared" si="9"/>
        <v>$/kg (2016)</v>
      </c>
    </row>
    <row r="605" spans="1:39">
      <c r="A605" s="259" t="s">
        <v>1688</v>
      </c>
      <c r="B605" s="260"/>
      <c r="C605" s="351"/>
      <c r="D605" s="351"/>
      <c r="E605" s="260">
        <v>100</v>
      </c>
      <c r="F605" s="260"/>
      <c r="G605" s="351"/>
      <c r="H605" s="351"/>
      <c r="I605" s="262"/>
      <c r="J605" s="351"/>
      <c r="K605" s="351"/>
      <c r="L605" s="351"/>
      <c r="M605" s="351"/>
      <c r="N605" s="351"/>
      <c r="O605" s="351"/>
      <c r="P605" s="261">
        <v>8.3000000000000007</v>
      </c>
      <c r="Q605" s="260">
        <v>1</v>
      </c>
      <c r="R605" s="260" t="s">
        <v>20</v>
      </c>
      <c r="S605" s="260">
        <v>2006</v>
      </c>
      <c r="T605" s="260" t="s">
        <v>161</v>
      </c>
      <c r="U605" s="386">
        <v>42653</v>
      </c>
      <c r="V605" s="387"/>
      <c r="W605" s="354">
        <f>COUNT(RawMaterials[[#This Row],[Lab Quantity 1]:[Lab Quantity 4]])</f>
        <v>0</v>
      </c>
      <c r="X60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5" s="392" t="e">
        <f>RawMaterials[[#This Row],[Lab Price 1]]/RawMaterials[[#This Row],[Lab Q Model Units 1]]</f>
        <v>#N/A</v>
      </c>
      <c r="AC605" s="392" t="e">
        <f>RawMaterials[[#This Row],[Lab Price 2]]/RawMaterials[[#This Row],[Lab Q Model Units 2]]</f>
        <v>#N/A</v>
      </c>
      <c r="AD605" s="392" t="e">
        <f>RawMaterials[[#This Row],[Lab Price 3]]/RawMaterials[[#This Row],[Lab Q Model Units 3]]</f>
        <v>#N/A</v>
      </c>
      <c r="AE605" s="392" t="e">
        <f>RawMaterials[[#This Row],[Lab Price 4]]/RawMaterials[[#This Row],[Lab Q Model Units 4]]</f>
        <v>#N/A</v>
      </c>
      <c r="AF605" s="392" t="str">
        <f ca="1">IF(RawMaterials[[#This Row],[Lab Quote Count]]&gt;1,SLOPE(LOG(INDIRECT("RawMaterials[@[Lab Unit P 1]:[Lab Unit P "&amp;RawMaterials[[#This Row],[Lab Quote Count]]&amp;"]]")),LOG(INDIRECT("RawMaterials[@[Lab Q Model Units 1]:[Lab Q Model Units "&amp;RawMaterials[[#This Row],[Lab Quote Count]]&amp;"]]"))),"")</f>
        <v/>
      </c>
      <c r="AG605" s="392" t="str">
        <f ca="1">IF(RawMaterials[[#This Row],[Lab Quote Count]]&gt;1,INTERCEPT(LOG(INDIRECT("RawMaterials[@[Lab Unit P 1]:[Lab Unit P "&amp;RawMaterials[[#This Row],[Lab Quote Count]]&amp;"]]")),LOG(INDIRECT("RawMaterials[@[Lab Q Model Units 1]:[Lab Q Model Units "&amp;RawMaterials[[#This Row],[Lab Quote Count]]&amp;"]]"))),"")</f>
        <v/>
      </c>
      <c r="AH605" s="393" t="str">
        <f>IF(RawMaterials[[#This Row],[Material Type]]="Metal Precursor","D13",IF(RawMaterials[[#This Row],[Material Type]]="Ligand","D13","D12"))</f>
        <v>D12</v>
      </c>
      <c r="AI605" s="394" t="str">
        <f ca="1">IF(RawMaterials[[#This Row],[Lab Quote Count]]&gt;1,10^RawMaterials[[#This Row],[Lab Log-Log Intercept]]*INDIRECT(RawMaterials[[#This Row],[Basis Cell]])^RawMaterials[[#This Row],[Lab Log-Log Slope]],"&gt;&gt;&gt; Enter 2 or more lab quotes &lt;&lt;&lt;")</f>
        <v>&gt;&gt;&gt; Enter 2 or more lab quotes &lt;&lt;&lt;</v>
      </c>
      <c r="AJ60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18.298367761344839</v>
      </c>
      <c r="AL605" s="396">
        <f>IF(ISTEXT(RawMaterials[[#This Row],[Unit price in quote year]]),"Check calcs",RawMaterials[[#This Row],[Unit price in quote year]]/VLOOKUP(RawMaterials[[#This Row],[Quote Year]],ChemPPI[],14,FALSE)*VLOOKUP(BasisYear,ChemPPI[],14,FALSE))</f>
        <v>24.834827383410605</v>
      </c>
      <c r="AM605" s="397" t="str">
        <f t="shared" si="9"/>
        <v>$/kg (2016)</v>
      </c>
    </row>
    <row r="606" spans="1:39">
      <c r="A606" s="259" t="s">
        <v>1689</v>
      </c>
      <c r="B606" s="260"/>
      <c r="C606" s="351"/>
      <c r="D606" s="351"/>
      <c r="E606" s="260">
        <v>100</v>
      </c>
      <c r="F606" s="260"/>
      <c r="G606" s="351"/>
      <c r="H606" s="351"/>
      <c r="I606" s="262"/>
      <c r="J606" s="351"/>
      <c r="K606" s="351"/>
      <c r="L606" s="351"/>
      <c r="M606" s="351"/>
      <c r="N606" s="351"/>
      <c r="O606" s="351"/>
      <c r="P606" s="261">
        <v>60</v>
      </c>
      <c r="Q606" s="260">
        <v>1</v>
      </c>
      <c r="R606" s="260" t="s">
        <v>71</v>
      </c>
      <c r="S606" s="260">
        <v>2006</v>
      </c>
      <c r="T606" s="260" t="s">
        <v>161</v>
      </c>
      <c r="U606" s="386">
        <v>42653</v>
      </c>
      <c r="V606" s="387"/>
      <c r="W606" s="354">
        <f>COUNT(RawMaterials[[#This Row],[Lab Quantity 1]:[Lab Quantity 4]])</f>
        <v>0</v>
      </c>
      <c r="X60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6" s="392" t="e">
        <f>RawMaterials[[#This Row],[Lab Price 1]]/RawMaterials[[#This Row],[Lab Q Model Units 1]]</f>
        <v>#N/A</v>
      </c>
      <c r="AC606" s="392" t="e">
        <f>RawMaterials[[#This Row],[Lab Price 2]]/RawMaterials[[#This Row],[Lab Q Model Units 2]]</f>
        <v>#N/A</v>
      </c>
      <c r="AD606" s="392" t="e">
        <f>RawMaterials[[#This Row],[Lab Price 3]]/RawMaterials[[#This Row],[Lab Q Model Units 3]]</f>
        <v>#N/A</v>
      </c>
      <c r="AE606" s="392" t="e">
        <f>RawMaterials[[#This Row],[Lab Price 4]]/RawMaterials[[#This Row],[Lab Q Model Units 4]]</f>
        <v>#N/A</v>
      </c>
      <c r="AF606" s="392" t="str">
        <f ca="1">IF(RawMaterials[[#This Row],[Lab Quote Count]]&gt;1,SLOPE(LOG(INDIRECT("RawMaterials[@[Lab Unit P 1]:[Lab Unit P "&amp;RawMaterials[[#This Row],[Lab Quote Count]]&amp;"]]")),LOG(INDIRECT("RawMaterials[@[Lab Q Model Units 1]:[Lab Q Model Units "&amp;RawMaterials[[#This Row],[Lab Quote Count]]&amp;"]]"))),"")</f>
        <v/>
      </c>
      <c r="AG606" s="392" t="str">
        <f ca="1">IF(RawMaterials[[#This Row],[Lab Quote Count]]&gt;1,INTERCEPT(LOG(INDIRECT("RawMaterials[@[Lab Unit P 1]:[Lab Unit P "&amp;RawMaterials[[#This Row],[Lab Quote Count]]&amp;"]]")),LOG(INDIRECT("RawMaterials[@[Lab Q Model Units 1]:[Lab Q Model Units "&amp;RawMaterials[[#This Row],[Lab Quote Count]]&amp;"]]"))),"")</f>
        <v/>
      </c>
      <c r="AH606" s="393" t="str">
        <f>IF(RawMaterials[[#This Row],[Material Type]]="Metal Precursor","D13",IF(RawMaterials[[#This Row],[Material Type]]="Ligand","D13","D12"))</f>
        <v>D12</v>
      </c>
      <c r="AI606" s="394" t="str">
        <f ca="1">IF(RawMaterials[[#This Row],[Lab Quote Count]]&gt;1,10^RawMaterials[[#This Row],[Lab Log-Log Intercept]]*INDIRECT(RawMaterials[[#This Row],[Basis Cell]])^RawMaterials[[#This Row],[Lab Log-Log Slope]],"&gt;&gt;&gt; Enter 2 or more lab quotes &lt;&lt;&lt;")</f>
        <v>&gt;&gt;&gt; Enter 2 or more lab quotes &lt;&lt;&lt;</v>
      </c>
      <c r="AJ60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60</v>
      </c>
      <c r="AL606" s="396">
        <f>IF(ISTEXT(RawMaterials[[#This Row],[Unit price in quote year]]),"Check calcs",RawMaterials[[#This Row],[Unit price in quote year]]/VLOOKUP(RawMaterials[[#This Row],[Quote Year]],ChemPPI[],14,FALSE)*VLOOKUP(BasisYear,ChemPPI[],14,FALSE))</f>
        <v>81.432926829268311</v>
      </c>
      <c r="AM606" s="397" t="str">
        <f t="shared" si="9"/>
        <v>$/kg (2016)</v>
      </c>
    </row>
    <row r="607" spans="1:39">
      <c r="A607" s="259" t="s">
        <v>1690</v>
      </c>
      <c r="B607" s="260"/>
      <c r="C607" s="351"/>
      <c r="D607" s="351"/>
      <c r="E607" s="260">
        <v>100</v>
      </c>
      <c r="F607" s="260"/>
      <c r="G607" s="351"/>
      <c r="H607" s="351"/>
      <c r="I607" s="262"/>
      <c r="J607" s="351"/>
      <c r="K607" s="351"/>
      <c r="L607" s="351"/>
      <c r="M607" s="351"/>
      <c r="N607" s="351"/>
      <c r="O607" s="351"/>
      <c r="P607" s="261">
        <v>60</v>
      </c>
      <c r="Q607" s="260">
        <v>1</v>
      </c>
      <c r="R607" s="260" t="s">
        <v>71</v>
      </c>
      <c r="S607" s="260">
        <v>2006</v>
      </c>
      <c r="T607" s="260" t="s">
        <v>161</v>
      </c>
      <c r="U607" s="386">
        <v>42653</v>
      </c>
      <c r="V607" s="387"/>
      <c r="W607" s="354">
        <f>COUNT(RawMaterials[[#This Row],[Lab Quantity 1]:[Lab Quantity 4]])</f>
        <v>0</v>
      </c>
      <c r="X60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7" s="392" t="e">
        <f>RawMaterials[[#This Row],[Lab Price 1]]/RawMaterials[[#This Row],[Lab Q Model Units 1]]</f>
        <v>#N/A</v>
      </c>
      <c r="AC607" s="392" t="e">
        <f>RawMaterials[[#This Row],[Lab Price 2]]/RawMaterials[[#This Row],[Lab Q Model Units 2]]</f>
        <v>#N/A</v>
      </c>
      <c r="AD607" s="392" t="e">
        <f>RawMaterials[[#This Row],[Lab Price 3]]/RawMaterials[[#This Row],[Lab Q Model Units 3]]</f>
        <v>#N/A</v>
      </c>
      <c r="AE607" s="392" t="e">
        <f>RawMaterials[[#This Row],[Lab Price 4]]/RawMaterials[[#This Row],[Lab Q Model Units 4]]</f>
        <v>#N/A</v>
      </c>
      <c r="AF607" s="392" t="str">
        <f ca="1">IF(RawMaterials[[#This Row],[Lab Quote Count]]&gt;1,SLOPE(LOG(INDIRECT("RawMaterials[@[Lab Unit P 1]:[Lab Unit P "&amp;RawMaterials[[#This Row],[Lab Quote Count]]&amp;"]]")),LOG(INDIRECT("RawMaterials[@[Lab Q Model Units 1]:[Lab Q Model Units "&amp;RawMaterials[[#This Row],[Lab Quote Count]]&amp;"]]"))),"")</f>
        <v/>
      </c>
      <c r="AG607" s="392" t="str">
        <f ca="1">IF(RawMaterials[[#This Row],[Lab Quote Count]]&gt;1,INTERCEPT(LOG(INDIRECT("RawMaterials[@[Lab Unit P 1]:[Lab Unit P "&amp;RawMaterials[[#This Row],[Lab Quote Count]]&amp;"]]")),LOG(INDIRECT("RawMaterials[@[Lab Q Model Units 1]:[Lab Q Model Units "&amp;RawMaterials[[#This Row],[Lab Quote Count]]&amp;"]]"))),"")</f>
        <v/>
      </c>
      <c r="AH607" s="393" t="str">
        <f>IF(RawMaterials[[#This Row],[Material Type]]="Metal Precursor","D13",IF(RawMaterials[[#This Row],[Material Type]]="Ligand","D13","D12"))</f>
        <v>D12</v>
      </c>
      <c r="AI607" s="394" t="str">
        <f ca="1">IF(RawMaterials[[#This Row],[Lab Quote Count]]&gt;1,10^RawMaterials[[#This Row],[Lab Log-Log Intercept]]*INDIRECT(RawMaterials[[#This Row],[Basis Cell]])^RawMaterials[[#This Row],[Lab Log-Log Slope]],"&gt;&gt;&gt; Enter 2 or more lab quotes &lt;&lt;&lt;")</f>
        <v>&gt;&gt;&gt; Enter 2 or more lab quotes &lt;&lt;&lt;</v>
      </c>
      <c r="AJ60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60</v>
      </c>
      <c r="AL607" s="396">
        <f>IF(ISTEXT(RawMaterials[[#This Row],[Unit price in quote year]]),"Check calcs",RawMaterials[[#This Row],[Unit price in quote year]]/VLOOKUP(RawMaterials[[#This Row],[Quote Year]],ChemPPI[],14,FALSE)*VLOOKUP(BasisYear,ChemPPI[],14,FALSE))</f>
        <v>81.432926829268311</v>
      </c>
      <c r="AM607" s="397" t="str">
        <f t="shared" si="9"/>
        <v>$/kg (2016)</v>
      </c>
    </row>
    <row r="608" spans="1:39">
      <c r="A608" s="259" t="s">
        <v>1691</v>
      </c>
      <c r="B608" s="260"/>
      <c r="C608" s="260"/>
      <c r="D608" s="260"/>
      <c r="E608" s="260">
        <v>100</v>
      </c>
      <c r="F608" s="260"/>
      <c r="G608" s="260"/>
      <c r="H608" s="260"/>
      <c r="I608" s="262"/>
      <c r="J608" s="260"/>
      <c r="K608" s="260"/>
      <c r="L608" s="260"/>
      <c r="M608" s="260"/>
      <c r="N608" s="260"/>
      <c r="O608" s="260"/>
      <c r="P608" s="261">
        <v>0.67500000000000004</v>
      </c>
      <c r="Q608" s="260">
        <v>1</v>
      </c>
      <c r="R608" s="260" t="s">
        <v>20</v>
      </c>
      <c r="S608" s="260">
        <v>2008</v>
      </c>
      <c r="T608" s="260" t="s">
        <v>161</v>
      </c>
      <c r="U608" s="386">
        <v>42653</v>
      </c>
      <c r="V608" s="387"/>
      <c r="W608" s="354">
        <f>COUNT(RawMaterials[[#This Row],[Lab Quantity 1]:[Lab Quantity 4]])</f>
        <v>0</v>
      </c>
      <c r="X60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8" s="392" t="e">
        <f>RawMaterials[[#This Row],[Lab Price 1]]/RawMaterials[[#This Row],[Lab Q Model Units 1]]</f>
        <v>#N/A</v>
      </c>
      <c r="AC608" s="392" t="e">
        <f>RawMaterials[[#This Row],[Lab Price 2]]/RawMaterials[[#This Row],[Lab Q Model Units 2]]</f>
        <v>#N/A</v>
      </c>
      <c r="AD608" s="392" t="e">
        <f>RawMaterials[[#This Row],[Lab Price 3]]/RawMaterials[[#This Row],[Lab Q Model Units 3]]</f>
        <v>#N/A</v>
      </c>
      <c r="AE608" s="392" t="e">
        <f>RawMaterials[[#This Row],[Lab Price 4]]/RawMaterials[[#This Row],[Lab Q Model Units 4]]</f>
        <v>#N/A</v>
      </c>
      <c r="AF608" s="392" t="str">
        <f ca="1">IF(RawMaterials[[#This Row],[Lab Quote Count]]&gt;1,SLOPE(LOG(INDIRECT("RawMaterials[@[Lab Unit P 1]:[Lab Unit P "&amp;RawMaterials[[#This Row],[Lab Quote Count]]&amp;"]]")),LOG(INDIRECT("RawMaterials[@[Lab Q Model Units 1]:[Lab Q Model Units "&amp;RawMaterials[[#This Row],[Lab Quote Count]]&amp;"]]"))),"")</f>
        <v/>
      </c>
      <c r="AG608" s="392" t="str">
        <f ca="1">IF(RawMaterials[[#This Row],[Lab Quote Count]]&gt;1,INTERCEPT(LOG(INDIRECT("RawMaterials[@[Lab Unit P 1]:[Lab Unit P "&amp;RawMaterials[[#This Row],[Lab Quote Count]]&amp;"]]")),LOG(INDIRECT("RawMaterials[@[Lab Q Model Units 1]:[Lab Q Model Units "&amp;RawMaterials[[#This Row],[Lab Quote Count]]&amp;"]]"))),"")</f>
        <v/>
      </c>
      <c r="AH608" s="393" t="str">
        <f>IF(RawMaterials[[#This Row],[Material Type]]="Metal Precursor","D13",IF(RawMaterials[[#This Row],[Material Type]]="Ligand","D13","D12"))</f>
        <v>D12</v>
      </c>
      <c r="AI608" s="394" t="str">
        <f ca="1">IF(RawMaterials[[#This Row],[Lab Quote Count]]&gt;1,10^RawMaterials[[#This Row],[Lab Log-Log Intercept]]*INDIRECT(RawMaterials[[#This Row],[Basis Cell]])^RawMaterials[[#This Row],[Lab Log-Log Slope]],"&gt;&gt;&gt; Enter 2 or more lab quotes &lt;&lt;&lt;")</f>
        <v>&gt;&gt;&gt; Enter 2 or more lab quotes &lt;&lt;&lt;</v>
      </c>
      <c r="AJ608" s="39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8" s="35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1.4881202697479237</v>
      </c>
      <c r="AL608" s="356">
        <f>IF(ISTEXT(RawMaterials[[#This Row],[Unit price in quote year]]),"Check calcs",RawMaterials[[#This Row],[Unit price in quote year]]/VLOOKUP(RawMaterials[[#This Row],[Quote Year]],ChemPPI[],14,FALSE)*VLOOKUP(BasisYear,ChemPPI[],14,FALSE))</f>
        <v>1.741728350774528</v>
      </c>
      <c r="AM608" s="393" t="str">
        <f t="shared" si="9"/>
        <v>$/kg (2016)</v>
      </c>
    </row>
    <row r="609" spans="1:39">
      <c r="A609" s="263" t="s">
        <v>1692</v>
      </c>
      <c r="B609" s="264"/>
      <c r="C609" s="264"/>
      <c r="D609" s="264"/>
      <c r="E609" s="264">
        <v>100</v>
      </c>
      <c r="F609" s="264"/>
      <c r="G609" s="264"/>
      <c r="H609" s="264"/>
      <c r="I609" s="357"/>
      <c r="J609" s="264"/>
      <c r="K609" s="264"/>
      <c r="L609" s="264"/>
      <c r="M609" s="264"/>
      <c r="N609" s="264"/>
      <c r="O609" s="264"/>
      <c r="P609" s="350">
        <v>0.57499999999999996</v>
      </c>
      <c r="Q609" s="260">
        <v>1</v>
      </c>
      <c r="R609" s="264" t="s">
        <v>20</v>
      </c>
      <c r="S609" s="264">
        <v>2008</v>
      </c>
      <c r="T609" s="264" t="s">
        <v>161</v>
      </c>
      <c r="U609" s="386">
        <v>42653</v>
      </c>
      <c r="V609" s="387"/>
      <c r="W609" s="354">
        <f>COUNT(RawMaterials[[#This Row],[Lab Quantity 1]:[Lab Quantity 4]])</f>
        <v>0</v>
      </c>
      <c r="X60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9" s="392" t="e">
        <f>RawMaterials[[#This Row],[Lab Price 1]]/RawMaterials[[#This Row],[Lab Q Model Units 1]]</f>
        <v>#N/A</v>
      </c>
      <c r="AC609" s="392" t="e">
        <f>RawMaterials[[#This Row],[Lab Price 2]]/RawMaterials[[#This Row],[Lab Q Model Units 2]]</f>
        <v>#N/A</v>
      </c>
      <c r="AD609" s="392" t="e">
        <f>RawMaterials[[#This Row],[Lab Price 3]]/RawMaterials[[#This Row],[Lab Q Model Units 3]]</f>
        <v>#N/A</v>
      </c>
      <c r="AE609" s="392" t="e">
        <f>RawMaterials[[#This Row],[Lab Price 4]]/RawMaterials[[#This Row],[Lab Q Model Units 4]]</f>
        <v>#N/A</v>
      </c>
      <c r="AF609" s="392" t="str">
        <f ca="1">IF(RawMaterials[[#This Row],[Lab Quote Count]]&gt;1,SLOPE(LOG(INDIRECT("RawMaterials[@[Lab Unit P 1]:[Lab Unit P "&amp;RawMaterials[[#This Row],[Lab Quote Count]]&amp;"]]")),LOG(INDIRECT("RawMaterials[@[Lab Q Model Units 1]:[Lab Q Model Units "&amp;RawMaterials[[#This Row],[Lab Quote Count]]&amp;"]]"))),"")</f>
        <v/>
      </c>
      <c r="AG609" s="392" t="str">
        <f ca="1">IF(RawMaterials[[#This Row],[Lab Quote Count]]&gt;1,INTERCEPT(LOG(INDIRECT("RawMaterials[@[Lab Unit P 1]:[Lab Unit P "&amp;RawMaterials[[#This Row],[Lab Quote Count]]&amp;"]]")),LOG(INDIRECT("RawMaterials[@[Lab Q Model Units 1]:[Lab Q Model Units "&amp;RawMaterials[[#This Row],[Lab Quote Count]]&amp;"]]"))),"")</f>
        <v/>
      </c>
      <c r="AH609" s="393" t="str">
        <f>IF(RawMaterials[[#This Row],[Material Type]]="Metal Precursor","D13",IF(RawMaterials[[#This Row],[Material Type]]="Ligand","D13","D12"))</f>
        <v>D12</v>
      </c>
      <c r="AI609" s="394" t="str">
        <f ca="1">IF(RawMaterials[[#This Row],[Lab Quote Count]]&gt;1,10^RawMaterials[[#This Row],[Lab Log-Log Intercept]]*INDIRECT(RawMaterials[[#This Row],[Basis Cell]])^RawMaterials[[#This Row],[Lab Log-Log Slope]],"&gt;&gt;&gt; Enter 2 or more lab quotes &lt;&lt;&lt;")</f>
        <v>&gt;&gt;&gt; Enter 2 or more lab quotes &lt;&lt;&lt;</v>
      </c>
      <c r="AJ60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1.2676580075630459</v>
      </c>
      <c r="AL609" s="396">
        <f>IF(ISTEXT(RawMaterials[[#This Row],[Unit price in quote year]]),"Check calcs",RawMaterials[[#This Row],[Unit price in quote year]]/VLOOKUP(RawMaterials[[#This Row],[Quote Year]],ChemPPI[],14,FALSE)*VLOOKUP(BasisYear,ChemPPI[],14,FALSE))</f>
        <v>1.4836945210301533</v>
      </c>
      <c r="AM609" s="397" t="str">
        <f t="shared" si="9"/>
        <v>$/kg (2016)</v>
      </c>
    </row>
    <row r="610" spans="1:39">
      <c r="A610" s="263" t="s">
        <v>1693</v>
      </c>
      <c r="B610" s="264"/>
      <c r="C610" s="264"/>
      <c r="D610" s="264"/>
      <c r="E610" s="264">
        <v>100</v>
      </c>
      <c r="F610" s="264"/>
      <c r="G610" s="264"/>
      <c r="H610" s="264"/>
      <c r="I610" s="357"/>
      <c r="J610" s="264"/>
      <c r="K610" s="264"/>
      <c r="L610" s="264"/>
      <c r="M610" s="264"/>
      <c r="N610" s="264"/>
      <c r="O610" s="264"/>
      <c r="P610" s="350">
        <v>0.33999999999999903</v>
      </c>
      <c r="Q610" s="260">
        <v>1</v>
      </c>
      <c r="R610" s="264" t="s">
        <v>20</v>
      </c>
      <c r="S610" s="264">
        <v>2008</v>
      </c>
      <c r="T610" s="264" t="s">
        <v>161</v>
      </c>
      <c r="U610" s="386">
        <v>42653</v>
      </c>
      <c r="V610" s="387"/>
      <c r="W610" s="354">
        <f>COUNT(RawMaterials[[#This Row],[Lab Quantity 1]:[Lab Quantity 4]])</f>
        <v>0</v>
      </c>
      <c r="X61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0" s="392" t="e">
        <f>RawMaterials[[#This Row],[Lab Price 1]]/RawMaterials[[#This Row],[Lab Q Model Units 1]]</f>
        <v>#N/A</v>
      </c>
      <c r="AC610" s="392" t="e">
        <f>RawMaterials[[#This Row],[Lab Price 2]]/RawMaterials[[#This Row],[Lab Q Model Units 2]]</f>
        <v>#N/A</v>
      </c>
      <c r="AD610" s="392" t="e">
        <f>RawMaterials[[#This Row],[Lab Price 3]]/RawMaterials[[#This Row],[Lab Q Model Units 3]]</f>
        <v>#N/A</v>
      </c>
      <c r="AE610" s="392" t="e">
        <f>RawMaterials[[#This Row],[Lab Price 4]]/RawMaterials[[#This Row],[Lab Q Model Units 4]]</f>
        <v>#N/A</v>
      </c>
      <c r="AF610" s="392" t="str">
        <f ca="1">IF(RawMaterials[[#This Row],[Lab Quote Count]]&gt;1,SLOPE(LOG(INDIRECT("RawMaterials[@[Lab Unit P 1]:[Lab Unit P "&amp;RawMaterials[[#This Row],[Lab Quote Count]]&amp;"]]")),LOG(INDIRECT("RawMaterials[@[Lab Q Model Units 1]:[Lab Q Model Units "&amp;RawMaterials[[#This Row],[Lab Quote Count]]&amp;"]]"))),"")</f>
        <v/>
      </c>
      <c r="AG610" s="392" t="str">
        <f ca="1">IF(RawMaterials[[#This Row],[Lab Quote Count]]&gt;1,INTERCEPT(LOG(INDIRECT("RawMaterials[@[Lab Unit P 1]:[Lab Unit P "&amp;RawMaterials[[#This Row],[Lab Quote Count]]&amp;"]]")),LOG(INDIRECT("RawMaterials[@[Lab Q Model Units 1]:[Lab Q Model Units "&amp;RawMaterials[[#This Row],[Lab Quote Count]]&amp;"]]"))),"")</f>
        <v/>
      </c>
      <c r="AH610" s="393" t="str">
        <f>IF(RawMaterials[[#This Row],[Material Type]]="Metal Precursor","D13",IF(RawMaterials[[#This Row],[Material Type]]="Ligand","D13","D12"))</f>
        <v>D12</v>
      </c>
      <c r="AI610" s="394" t="str">
        <f ca="1">IF(RawMaterials[[#This Row],[Lab Quote Count]]&gt;1,10^RawMaterials[[#This Row],[Lab Log-Log Intercept]]*INDIRECT(RawMaterials[[#This Row],[Basis Cell]])^RawMaterials[[#This Row],[Lab Log-Log Slope]],"&gt;&gt;&gt; Enter 2 or more lab quotes &lt;&lt;&lt;")</f>
        <v>&gt;&gt;&gt; Enter 2 or more lab quotes &lt;&lt;&lt;</v>
      </c>
      <c r="AJ61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0.7495716914285816</v>
      </c>
      <c r="AL610" s="396">
        <f>IF(ISTEXT(RawMaterials[[#This Row],[Unit price in quote year]]),"Check calcs",RawMaterials[[#This Row],[Unit price in quote year]]/VLOOKUP(RawMaterials[[#This Row],[Quote Year]],ChemPPI[],14,FALSE)*VLOOKUP(BasisYear,ChemPPI[],14,FALSE))</f>
        <v>0.87731502113087079</v>
      </c>
      <c r="AM610" s="397" t="str">
        <f t="shared" si="9"/>
        <v>$/kg (2016)</v>
      </c>
    </row>
    <row r="611" spans="1:39">
      <c r="A611" s="263" t="s">
        <v>1694</v>
      </c>
      <c r="B611" s="264"/>
      <c r="C611" s="264"/>
      <c r="D611" s="264">
        <v>0.93</v>
      </c>
      <c r="E611" s="264">
        <v>100</v>
      </c>
      <c r="F611" s="264"/>
      <c r="G611" s="264"/>
      <c r="H611" s="264"/>
      <c r="I611" s="357"/>
      <c r="J611" s="264"/>
      <c r="K611" s="264"/>
      <c r="L611" s="264"/>
      <c r="M611" s="264"/>
      <c r="N611" s="264"/>
      <c r="O611" s="264"/>
      <c r="P611" s="350">
        <v>26</v>
      </c>
      <c r="Q611" s="260">
        <v>1</v>
      </c>
      <c r="R611" s="264" t="s">
        <v>85</v>
      </c>
      <c r="S611" s="264">
        <v>2006</v>
      </c>
      <c r="T611" s="264" t="s">
        <v>161</v>
      </c>
      <c r="U611" s="386">
        <v>42653</v>
      </c>
      <c r="V611" s="387"/>
      <c r="W611" s="354">
        <f>COUNT(RawMaterials[[#This Row],[Lab Quantity 1]:[Lab Quantity 4]])</f>
        <v>0</v>
      </c>
      <c r="X61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1" s="392" t="e">
        <f>RawMaterials[[#This Row],[Lab Price 1]]/RawMaterials[[#This Row],[Lab Q Model Units 1]]</f>
        <v>#N/A</v>
      </c>
      <c r="AC611" s="392" t="e">
        <f>RawMaterials[[#This Row],[Lab Price 2]]/RawMaterials[[#This Row],[Lab Q Model Units 2]]</f>
        <v>#N/A</v>
      </c>
      <c r="AD611" s="392" t="e">
        <f>RawMaterials[[#This Row],[Lab Price 3]]/RawMaterials[[#This Row],[Lab Q Model Units 3]]</f>
        <v>#N/A</v>
      </c>
      <c r="AE611" s="392" t="e">
        <f>RawMaterials[[#This Row],[Lab Price 4]]/RawMaterials[[#This Row],[Lab Q Model Units 4]]</f>
        <v>#N/A</v>
      </c>
      <c r="AF611" s="392" t="str">
        <f ca="1">IF(RawMaterials[[#This Row],[Lab Quote Count]]&gt;1,SLOPE(LOG(INDIRECT("RawMaterials[@[Lab Unit P 1]:[Lab Unit P "&amp;RawMaterials[[#This Row],[Lab Quote Count]]&amp;"]]")),LOG(INDIRECT("RawMaterials[@[Lab Q Model Units 1]:[Lab Q Model Units "&amp;RawMaterials[[#This Row],[Lab Quote Count]]&amp;"]]"))),"")</f>
        <v/>
      </c>
      <c r="AG611" s="392" t="str">
        <f ca="1">IF(RawMaterials[[#This Row],[Lab Quote Count]]&gt;1,INTERCEPT(LOG(INDIRECT("RawMaterials[@[Lab Unit P 1]:[Lab Unit P "&amp;RawMaterials[[#This Row],[Lab Quote Count]]&amp;"]]")),LOG(INDIRECT("RawMaterials[@[Lab Q Model Units 1]:[Lab Q Model Units "&amp;RawMaterials[[#This Row],[Lab Quote Count]]&amp;"]]"))),"")</f>
        <v/>
      </c>
      <c r="AH611" s="393" t="str">
        <f>IF(RawMaterials[[#This Row],[Material Type]]="Metal Precursor","D13",IF(RawMaterials[[#This Row],[Material Type]]="Ligand","D13","D12"))</f>
        <v>D12</v>
      </c>
      <c r="AI611" s="394" t="str">
        <f ca="1">IF(RawMaterials[[#This Row],[Lab Quote Count]]&gt;1,10^RawMaterials[[#This Row],[Lab Log-Log Intercept]]*INDIRECT(RawMaterials[[#This Row],[Basis Cell]])^RawMaterials[[#This Row],[Lab Log-Log Slope]],"&gt;&gt;&gt; Enter 2 or more lab quotes &lt;&lt;&lt;")</f>
        <v>&gt;&gt;&gt; Enter 2 or more lab quotes &lt;&lt;&lt;</v>
      </c>
      <c r="AJ61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3.5204329591199999</v>
      </c>
      <c r="AK61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7.3854552272170526</v>
      </c>
      <c r="AL611" s="396">
        <f>IF(ISTEXT(RawMaterials[[#This Row],[Unit price in quote year]]),"Check calcs",RawMaterials[[#This Row],[Unit price in quote year]]/VLOOKUP(RawMaterials[[#This Row],[Quote Year]],ChemPPI[],14,FALSE)*VLOOKUP(BasisYear,ChemPPI[],14,FALSE))</f>
        <v>10.023653918646723</v>
      </c>
      <c r="AM611" s="397" t="str">
        <f t="shared" si="9"/>
        <v>$/kg (2016)</v>
      </c>
    </row>
    <row r="612" spans="1:39">
      <c r="A612" s="263" t="s">
        <v>1695</v>
      </c>
      <c r="B612" s="264"/>
      <c r="C612" s="264"/>
      <c r="D612" s="264"/>
      <c r="E612" s="264">
        <v>100</v>
      </c>
      <c r="F612" s="264"/>
      <c r="G612" s="264"/>
      <c r="H612" s="264"/>
      <c r="I612" s="357"/>
      <c r="J612" s="264"/>
      <c r="K612" s="264"/>
      <c r="L612" s="264"/>
      <c r="M612" s="264"/>
      <c r="N612" s="264"/>
      <c r="O612" s="264"/>
      <c r="P612" s="350">
        <v>5</v>
      </c>
      <c r="Q612" s="260">
        <v>1</v>
      </c>
      <c r="R612" s="264" t="s">
        <v>20</v>
      </c>
      <c r="S612" s="264">
        <v>2006</v>
      </c>
      <c r="T612" s="264" t="s">
        <v>161</v>
      </c>
      <c r="U612" s="386">
        <v>42653</v>
      </c>
      <c r="V612" s="387"/>
      <c r="W612" s="354">
        <f>COUNT(RawMaterials[[#This Row],[Lab Quantity 1]:[Lab Quantity 4]])</f>
        <v>0</v>
      </c>
      <c r="X612"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2"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2"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2"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2" s="392" t="e">
        <f>RawMaterials[[#This Row],[Lab Price 1]]/RawMaterials[[#This Row],[Lab Q Model Units 1]]</f>
        <v>#N/A</v>
      </c>
      <c r="AC612" s="392" t="e">
        <f>RawMaterials[[#This Row],[Lab Price 2]]/RawMaterials[[#This Row],[Lab Q Model Units 2]]</f>
        <v>#N/A</v>
      </c>
      <c r="AD612" s="392" t="e">
        <f>RawMaterials[[#This Row],[Lab Price 3]]/RawMaterials[[#This Row],[Lab Q Model Units 3]]</f>
        <v>#N/A</v>
      </c>
      <c r="AE612" s="392" t="e">
        <f>RawMaterials[[#This Row],[Lab Price 4]]/RawMaterials[[#This Row],[Lab Q Model Units 4]]</f>
        <v>#N/A</v>
      </c>
      <c r="AF612" s="392" t="str">
        <f ca="1">IF(RawMaterials[[#This Row],[Lab Quote Count]]&gt;1,SLOPE(LOG(INDIRECT("RawMaterials[@[Lab Unit P 1]:[Lab Unit P "&amp;RawMaterials[[#This Row],[Lab Quote Count]]&amp;"]]")),LOG(INDIRECT("RawMaterials[@[Lab Q Model Units 1]:[Lab Q Model Units "&amp;RawMaterials[[#This Row],[Lab Quote Count]]&amp;"]]"))),"")</f>
        <v/>
      </c>
      <c r="AG612" s="392" t="str">
        <f ca="1">IF(RawMaterials[[#This Row],[Lab Quote Count]]&gt;1,INTERCEPT(LOG(INDIRECT("RawMaterials[@[Lab Unit P 1]:[Lab Unit P "&amp;RawMaterials[[#This Row],[Lab Quote Count]]&amp;"]]")),LOG(INDIRECT("RawMaterials[@[Lab Q Model Units 1]:[Lab Q Model Units "&amp;RawMaterials[[#This Row],[Lab Quote Count]]&amp;"]]"))),"")</f>
        <v/>
      </c>
      <c r="AH612" s="393" t="str">
        <f>IF(RawMaterials[[#This Row],[Material Type]]="Metal Precursor","D13",IF(RawMaterials[[#This Row],[Material Type]]="Ligand","D13","D12"))</f>
        <v>D12</v>
      </c>
      <c r="AI612" s="394" t="str">
        <f ca="1">IF(RawMaterials[[#This Row],[Lab Quote Count]]&gt;1,10^RawMaterials[[#This Row],[Lab Log-Log Intercept]]*INDIRECT(RawMaterials[[#This Row],[Basis Cell]])^RawMaterials[[#This Row],[Lab Log-Log Slope]],"&gt;&gt;&gt; Enter 2 or more lab quotes &lt;&lt;&lt;")</f>
        <v>&gt;&gt;&gt; Enter 2 or more lab quotes &lt;&lt;&lt;</v>
      </c>
      <c r="AJ612"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2"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11.023113109243878</v>
      </c>
      <c r="AL612" s="396">
        <f>IF(ISTEXT(RawMaterials[[#This Row],[Unit price in quote year]]),"Check calcs",RawMaterials[[#This Row],[Unit price in quote year]]/VLOOKUP(RawMaterials[[#This Row],[Quote Year]],ChemPPI[],14,FALSE)*VLOOKUP(BasisYear,ChemPPI[],14,FALSE))</f>
        <v>14.96073938759675</v>
      </c>
      <c r="AM612" s="397" t="str">
        <f t="shared" si="9"/>
        <v>$/kg (2016)</v>
      </c>
    </row>
    <row r="613" spans="1:39">
      <c r="A613" s="263" t="s">
        <v>1696</v>
      </c>
      <c r="B613" s="264"/>
      <c r="C613" s="264"/>
      <c r="D613" s="264"/>
      <c r="E613" s="264">
        <v>100</v>
      </c>
      <c r="F613" s="264"/>
      <c r="G613" s="264"/>
      <c r="H613" s="264"/>
      <c r="I613" s="357"/>
      <c r="J613" s="264"/>
      <c r="K613" s="264"/>
      <c r="L613" s="264"/>
      <c r="M613" s="264"/>
      <c r="N613" s="264"/>
      <c r="O613" s="264"/>
      <c r="P613" s="350">
        <v>5</v>
      </c>
      <c r="Q613" s="260">
        <v>1</v>
      </c>
      <c r="R613" s="264" t="s">
        <v>20</v>
      </c>
      <c r="S613" s="264">
        <v>2006</v>
      </c>
      <c r="T613" s="264" t="s">
        <v>161</v>
      </c>
      <c r="U613" s="398">
        <v>42653</v>
      </c>
      <c r="V613" s="387"/>
      <c r="W613" s="354">
        <f>COUNT(RawMaterials[[#This Row],[Lab Quantity 1]:[Lab Quantity 4]])</f>
        <v>0</v>
      </c>
      <c r="X613"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3"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3"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3"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3" s="392" t="e">
        <f>RawMaterials[[#This Row],[Lab Price 1]]/RawMaterials[[#This Row],[Lab Q Model Units 1]]</f>
        <v>#N/A</v>
      </c>
      <c r="AC613" s="392" t="e">
        <f>RawMaterials[[#This Row],[Lab Price 2]]/RawMaterials[[#This Row],[Lab Q Model Units 2]]</f>
        <v>#N/A</v>
      </c>
      <c r="AD613" s="392" t="e">
        <f>RawMaterials[[#This Row],[Lab Price 3]]/RawMaterials[[#This Row],[Lab Q Model Units 3]]</f>
        <v>#N/A</v>
      </c>
      <c r="AE613" s="392" t="e">
        <f>RawMaterials[[#This Row],[Lab Price 4]]/RawMaterials[[#This Row],[Lab Q Model Units 4]]</f>
        <v>#N/A</v>
      </c>
      <c r="AF613" s="392" t="str">
        <f ca="1">IF(RawMaterials[[#This Row],[Lab Quote Count]]&gt;1,SLOPE(LOG(INDIRECT("RawMaterials[@[Lab Unit P 1]:[Lab Unit P "&amp;RawMaterials[[#This Row],[Lab Quote Count]]&amp;"]]")),LOG(INDIRECT("RawMaterials[@[Lab Q Model Units 1]:[Lab Q Model Units "&amp;RawMaterials[[#This Row],[Lab Quote Count]]&amp;"]]"))),"")</f>
        <v/>
      </c>
      <c r="AG613" s="392" t="str">
        <f ca="1">IF(RawMaterials[[#This Row],[Lab Quote Count]]&gt;1,INTERCEPT(LOG(INDIRECT("RawMaterials[@[Lab Unit P 1]:[Lab Unit P "&amp;RawMaterials[[#This Row],[Lab Quote Count]]&amp;"]]")),LOG(INDIRECT("RawMaterials[@[Lab Q Model Units 1]:[Lab Q Model Units "&amp;RawMaterials[[#This Row],[Lab Quote Count]]&amp;"]]"))),"")</f>
        <v/>
      </c>
      <c r="AH613" s="393" t="str">
        <f>IF(RawMaterials[[#This Row],[Material Type]]="Metal Precursor","D13",IF(RawMaterials[[#This Row],[Material Type]]="Ligand","D13","D12"))</f>
        <v>D12</v>
      </c>
      <c r="AI613" s="394" t="str">
        <f ca="1">IF(RawMaterials[[#This Row],[Lab Quote Count]]&gt;1,10^RawMaterials[[#This Row],[Lab Log-Log Intercept]]*INDIRECT(RawMaterials[[#This Row],[Basis Cell]])^RawMaterials[[#This Row],[Lab Log-Log Slope]],"&gt;&gt;&gt; Enter 2 or more lab quotes &lt;&lt;&lt;")</f>
        <v>&gt;&gt;&gt; Enter 2 or more lab quotes &lt;&lt;&lt;</v>
      </c>
      <c r="AJ613"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3"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11.023113109243878</v>
      </c>
      <c r="AL613" s="396">
        <f>IF(ISTEXT(RawMaterials[[#This Row],[Unit price in quote year]]),"Check calcs",RawMaterials[[#This Row],[Unit price in quote year]]/VLOOKUP(RawMaterials[[#This Row],[Quote Year]],ChemPPI[],14,FALSE)*VLOOKUP(BasisYear,ChemPPI[],14,FALSE))</f>
        <v>14.96073938759675</v>
      </c>
      <c r="AM613" s="397" t="str">
        <f t="shared" si="9"/>
        <v>$/kg (2016)</v>
      </c>
    </row>
    <row r="614" spans="1:39">
      <c r="A614" s="263" t="s">
        <v>1697</v>
      </c>
      <c r="B614" s="264"/>
      <c r="C614" s="264"/>
      <c r="D614" s="264">
        <v>0.86399999999999999</v>
      </c>
      <c r="E614" s="264">
        <v>100</v>
      </c>
      <c r="F614" s="264"/>
      <c r="G614" s="264"/>
      <c r="H614" s="264"/>
      <c r="I614" s="357"/>
      <c r="J614" s="264"/>
      <c r="K614" s="264"/>
      <c r="L614" s="264"/>
      <c r="M614" s="264"/>
      <c r="N614" s="264"/>
      <c r="O614" s="264"/>
      <c r="P614" s="350">
        <v>3.51</v>
      </c>
      <c r="Q614" s="260">
        <v>1</v>
      </c>
      <c r="R614" s="264" t="s">
        <v>85</v>
      </c>
      <c r="S614" s="264">
        <v>2008</v>
      </c>
      <c r="T614" s="264" t="s">
        <v>161</v>
      </c>
      <c r="U614" s="386">
        <v>42653</v>
      </c>
      <c r="V614" s="387"/>
      <c r="W614" s="354">
        <f>COUNT(RawMaterials[[#This Row],[Lab Quantity 1]:[Lab Quantity 4]])</f>
        <v>0</v>
      </c>
      <c r="X614"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4"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4"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4"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4" s="392" t="e">
        <f>RawMaterials[[#This Row],[Lab Price 1]]/RawMaterials[[#This Row],[Lab Q Model Units 1]]</f>
        <v>#N/A</v>
      </c>
      <c r="AC614" s="392" t="e">
        <f>RawMaterials[[#This Row],[Lab Price 2]]/RawMaterials[[#This Row],[Lab Q Model Units 2]]</f>
        <v>#N/A</v>
      </c>
      <c r="AD614" s="392" t="e">
        <f>RawMaterials[[#This Row],[Lab Price 3]]/RawMaterials[[#This Row],[Lab Q Model Units 3]]</f>
        <v>#N/A</v>
      </c>
      <c r="AE614" s="392" t="e">
        <f>RawMaterials[[#This Row],[Lab Price 4]]/RawMaterials[[#This Row],[Lab Q Model Units 4]]</f>
        <v>#N/A</v>
      </c>
      <c r="AF614" s="392" t="str">
        <f ca="1">IF(RawMaterials[[#This Row],[Lab Quote Count]]&gt;1,SLOPE(LOG(INDIRECT("RawMaterials[@[Lab Unit P 1]:[Lab Unit P "&amp;RawMaterials[[#This Row],[Lab Quote Count]]&amp;"]]")),LOG(INDIRECT("RawMaterials[@[Lab Q Model Units 1]:[Lab Q Model Units "&amp;RawMaterials[[#This Row],[Lab Quote Count]]&amp;"]]"))),"")</f>
        <v/>
      </c>
      <c r="AG614" s="392" t="str">
        <f ca="1">IF(RawMaterials[[#This Row],[Lab Quote Count]]&gt;1,INTERCEPT(LOG(INDIRECT("RawMaterials[@[Lab Unit P 1]:[Lab Unit P "&amp;RawMaterials[[#This Row],[Lab Quote Count]]&amp;"]]")),LOG(INDIRECT("RawMaterials[@[Lab Q Model Units 1]:[Lab Q Model Units "&amp;RawMaterials[[#This Row],[Lab Quote Count]]&amp;"]]"))),"")</f>
        <v/>
      </c>
      <c r="AH614" s="393" t="str">
        <f>IF(RawMaterials[[#This Row],[Material Type]]="Metal Precursor","D13",IF(RawMaterials[[#This Row],[Material Type]]="Ligand","D13","D12"))</f>
        <v>D12</v>
      </c>
      <c r="AI614" s="394" t="str">
        <f ca="1">IF(RawMaterials[[#This Row],[Lab Quote Count]]&gt;1,10^RawMaterials[[#This Row],[Lab Log-Log Intercept]]*INDIRECT(RawMaterials[[#This Row],[Basis Cell]])^RawMaterials[[#This Row],[Lab Log-Log Slope]],"&gt;&gt;&gt; Enter 2 or more lab quotes &lt;&lt;&lt;")</f>
        <v>&gt;&gt;&gt; Enter 2 or more lab quotes &lt;&lt;&lt;</v>
      </c>
      <c r="AJ614"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3.270595781376</v>
      </c>
      <c r="AK614"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1.0731989627049778</v>
      </c>
      <c r="AL614" s="396">
        <f>IF(ISTEXT(RawMaterials[[#This Row],[Unit price in quote year]]),"Check calcs",RawMaterials[[#This Row],[Unit price in quote year]]/VLOOKUP(RawMaterials[[#This Row],[Quote Year]],ChemPPI[],14,FALSE)*VLOOKUP(BasisYear,ChemPPI[],14,FALSE))</f>
        <v>1.2560954227723189</v>
      </c>
      <c r="AM614" s="397" t="str">
        <f t="shared" si="9"/>
        <v>$/kg (2016)</v>
      </c>
    </row>
    <row r="615" spans="1:39">
      <c r="A615" s="263" t="s">
        <v>1698</v>
      </c>
      <c r="B615" s="264"/>
      <c r="C615" s="264"/>
      <c r="D615" s="264">
        <v>0.86399999999999999</v>
      </c>
      <c r="E615" s="264">
        <v>100</v>
      </c>
      <c r="F615" s="264"/>
      <c r="G615" s="264"/>
      <c r="H615" s="264"/>
      <c r="I615" s="357"/>
      <c r="J615" s="264"/>
      <c r="K615" s="264"/>
      <c r="L615" s="264"/>
      <c r="M615" s="264"/>
      <c r="N615" s="264"/>
      <c r="O615" s="264"/>
      <c r="P615" s="350">
        <v>3.44999999999999</v>
      </c>
      <c r="Q615" s="260">
        <v>1</v>
      </c>
      <c r="R615" s="264" t="s">
        <v>85</v>
      </c>
      <c r="S615" s="264">
        <v>2008</v>
      </c>
      <c r="T615" s="264" t="s">
        <v>161</v>
      </c>
      <c r="U615" s="386">
        <v>42653</v>
      </c>
      <c r="V615" s="387"/>
      <c r="W615" s="354">
        <f>COUNT(RawMaterials[[#This Row],[Lab Quantity 1]:[Lab Quantity 4]])</f>
        <v>0</v>
      </c>
      <c r="X615"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5"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5"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5"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5" s="392" t="e">
        <f>RawMaterials[[#This Row],[Lab Price 1]]/RawMaterials[[#This Row],[Lab Q Model Units 1]]</f>
        <v>#N/A</v>
      </c>
      <c r="AC615" s="392" t="e">
        <f>RawMaterials[[#This Row],[Lab Price 2]]/RawMaterials[[#This Row],[Lab Q Model Units 2]]</f>
        <v>#N/A</v>
      </c>
      <c r="AD615" s="392" t="e">
        <f>RawMaterials[[#This Row],[Lab Price 3]]/RawMaterials[[#This Row],[Lab Q Model Units 3]]</f>
        <v>#N/A</v>
      </c>
      <c r="AE615" s="392" t="e">
        <f>RawMaterials[[#This Row],[Lab Price 4]]/RawMaterials[[#This Row],[Lab Q Model Units 4]]</f>
        <v>#N/A</v>
      </c>
      <c r="AF615" s="392" t="str">
        <f ca="1">IF(RawMaterials[[#This Row],[Lab Quote Count]]&gt;1,SLOPE(LOG(INDIRECT("RawMaterials[@[Lab Unit P 1]:[Lab Unit P "&amp;RawMaterials[[#This Row],[Lab Quote Count]]&amp;"]]")),LOG(INDIRECT("RawMaterials[@[Lab Q Model Units 1]:[Lab Q Model Units "&amp;RawMaterials[[#This Row],[Lab Quote Count]]&amp;"]]"))),"")</f>
        <v/>
      </c>
      <c r="AG615" s="392" t="str">
        <f ca="1">IF(RawMaterials[[#This Row],[Lab Quote Count]]&gt;1,INTERCEPT(LOG(INDIRECT("RawMaterials[@[Lab Unit P 1]:[Lab Unit P "&amp;RawMaterials[[#This Row],[Lab Quote Count]]&amp;"]]")),LOG(INDIRECT("RawMaterials[@[Lab Q Model Units 1]:[Lab Q Model Units "&amp;RawMaterials[[#This Row],[Lab Quote Count]]&amp;"]]"))),"")</f>
        <v/>
      </c>
      <c r="AH615" s="393" t="str">
        <f>IF(RawMaterials[[#This Row],[Material Type]]="Metal Precursor","D13",IF(RawMaterials[[#This Row],[Material Type]]="Ligand","D13","D12"))</f>
        <v>D12</v>
      </c>
      <c r="AI615" s="394" t="str">
        <f ca="1">IF(RawMaterials[[#This Row],[Lab Quote Count]]&gt;1,10^RawMaterials[[#This Row],[Lab Log-Log Intercept]]*INDIRECT(RawMaterials[[#This Row],[Basis Cell]])^RawMaterials[[#This Row],[Lab Log-Log Slope]],"&gt;&gt;&gt; Enter 2 or more lab quotes &lt;&lt;&lt;")</f>
        <v>&gt;&gt;&gt; Enter 2 or more lab quotes &lt;&lt;&lt;</v>
      </c>
      <c r="AJ615"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3.270595781376</v>
      </c>
      <c r="AK615"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1.0548536812912146</v>
      </c>
      <c r="AL615" s="396">
        <f>IF(ISTEXT(RawMaterials[[#This Row],[Unit price in quote year]]),"Check calcs",RawMaterials[[#This Row],[Unit price in quote year]]/VLOOKUP(RawMaterials[[#This Row],[Quote Year]],ChemPPI[],14,FALSE)*VLOOKUP(BasisYear,ChemPPI[],14,FALSE))</f>
        <v>1.2346237061437288</v>
      </c>
      <c r="AM615" s="397" t="str">
        <f t="shared" si="9"/>
        <v>$/kg (2016)</v>
      </c>
    </row>
    <row r="616" spans="1:39">
      <c r="A616" s="263" t="s">
        <v>1699</v>
      </c>
      <c r="B616" s="264"/>
      <c r="C616" s="264"/>
      <c r="D616" s="264"/>
      <c r="E616" s="264">
        <v>100</v>
      </c>
      <c r="F616" s="264"/>
      <c r="G616" s="264"/>
      <c r="H616" s="264"/>
      <c r="I616" s="357"/>
      <c r="J616" s="264"/>
      <c r="K616" s="264"/>
      <c r="L616" s="264"/>
      <c r="M616" s="264"/>
      <c r="N616" s="264"/>
      <c r="O616" s="264"/>
      <c r="P616" s="350">
        <v>1.7</v>
      </c>
      <c r="Q616" s="260">
        <v>1</v>
      </c>
      <c r="R616" s="264" t="s">
        <v>20</v>
      </c>
      <c r="S616" s="264">
        <v>2006</v>
      </c>
      <c r="T616" s="264" t="s">
        <v>161</v>
      </c>
      <c r="U616" s="386">
        <v>42653</v>
      </c>
      <c r="V616" s="387"/>
      <c r="W616" s="354">
        <f>COUNT(RawMaterials[[#This Row],[Lab Quantity 1]:[Lab Quantity 4]])</f>
        <v>0</v>
      </c>
      <c r="X616"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6"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6"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6"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6" s="392" t="e">
        <f>RawMaterials[[#This Row],[Lab Price 1]]/RawMaterials[[#This Row],[Lab Q Model Units 1]]</f>
        <v>#N/A</v>
      </c>
      <c r="AC616" s="392" t="e">
        <f>RawMaterials[[#This Row],[Lab Price 2]]/RawMaterials[[#This Row],[Lab Q Model Units 2]]</f>
        <v>#N/A</v>
      </c>
      <c r="AD616" s="392" t="e">
        <f>RawMaterials[[#This Row],[Lab Price 3]]/RawMaterials[[#This Row],[Lab Q Model Units 3]]</f>
        <v>#N/A</v>
      </c>
      <c r="AE616" s="392" t="e">
        <f>RawMaterials[[#This Row],[Lab Price 4]]/RawMaterials[[#This Row],[Lab Q Model Units 4]]</f>
        <v>#N/A</v>
      </c>
      <c r="AF616" s="392" t="str">
        <f ca="1">IF(RawMaterials[[#This Row],[Lab Quote Count]]&gt;1,SLOPE(LOG(INDIRECT("RawMaterials[@[Lab Unit P 1]:[Lab Unit P "&amp;RawMaterials[[#This Row],[Lab Quote Count]]&amp;"]]")),LOG(INDIRECT("RawMaterials[@[Lab Q Model Units 1]:[Lab Q Model Units "&amp;RawMaterials[[#This Row],[Lab Quote Count]]&amp;"]]"))),"")</f>
        <v/>
      </c>
      <c r="AG616" s="392" t="str">
        <f ca="1">IF(RawMaterials[[#This Row],[Lab Quote Count]]&gt;1,INTERCEPT(LOG(INDIRECT("RawMaterials[@[Lab Unit P 1]:[Lab Unit P "&amp;RawMaterials[[#This Row],[Lab Quote Count]]&amp;"]]")),LOG(INDIRECT("RawMaterials[@[Lab Q Model Units 1]:[Lab Q Model Units "&amp;RawMaterials[[#This Row],[Lab Quote Count]]&amp;"]]"))),"")</f>
        <v/>
      </c>
      <c r="AH616" s="393" t="str">
        <f>IF(RawMaterials[[#This Row],[Material Type]]="Metal Precursor","D13",IF(RawMaterials[[#This Row],[Material Type]]="Ligand","D13","D12"))</f>
        <v>D12</v>
      </c>
      <c r="AI616" s="394" t="str">
        <f ca="1">IF(RawMaterials[[#This Row],[Lab Quote Count]]&gt;1,10^RawMaterials[[#This Row],[Lab Log-Log Intercept]]*INDIRECT(RawMaterials[[#This Row],[Basis Cell]])^RawMaterials[[#This Row],[Lab Log-Log Slope]],"&gt;&gt;&gt; Enter 2 or more lab quotes &lt;&lt;&lt;")</f>
        <v>&gt;&gt;&gt; Enter 2 or more lab quotes &lt;&lt;&lt;</v>
      </c>
      <c r="AJ616"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6"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3.7478584571429185</v>
      </c>
      <c r="AL616" s="396">
        <f>IF(ISTEXT(RawMaterials[[#This Row],[Unit price in quote year]]),"Check calcs",RawMaterials[[#This Row],[Unit price in quote year]]/VLOOKUP(RawMaterials[[#This Row],[Quote Year]],ChemPPI[],14,FALSE)*VLOOKUP(BasisYear,ChemPPI[],14,FALSE))</f>
        <v>5.0866513917828957</v>
      </c>
      <c r="AM616" s="397" t="str">
        <f t="shared" si="9"/>
        <v>$/kg (2016)</v>
      </c>
    </row>
    <row r="617" spans="1:39">
      <c r="A617" s="263" t="s">
        <v>1700</v>
      </c>
      <c r="B617" s="264"/>
      <c r="C617" s="264"/>
      <c r="D617" s="264"/>
      <c r="E617" s="264">
        <v>100</v>
      </c>
      <c r="F617" s="264"/>
      <c r="G617" s="264"/>
      <c r="H617" s="264"/>
      <c r="I617" s="357"/>
      <c r="J617" s="264"/>
      <c r="K617" s="264"/>
      <c r="L617" s="264"/>
      <c r="M617" s="264"/>
      <c r="N617" s="264"/>
      <c r="O617" s="264"/>
      <c r="P617" s="350">
        <v>29.35</v>
      </c>
      <c r="Q617" s="260">
        <v>1</v>
      </c>
      <c r="R617" s="264" t="s">
        <v>20</v>
      </c>
      <c r="S617" s="264">
        <v>2006</v>
      </c>
      <c r="T617" s="264" t="s">
        <v>161</v>
      </c>
      <c r="U617" s="386">
        <v>42653</v>
      </c>
      <c r="V617" s="387"/>
      <c r="W617" s="354">
        <f>COUNT(RawMaterials[[#This Row],[Lab Quantity 1]:[Lab Quantity 4]])</f>
        <v>0</v>
      </c>
      <c r="X617"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7"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7"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7"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7" s="392" t="e">
        <f>RawMaterials[[#This Row],[Lab Price 1]]/RawMaterials[[#This Row],[Lab Q Model Units 1]]</f>
        <v>#N/A</v>
      </c>
      <c r="AC617" s="392" t="e">
        <f>RawMaterials[[#This Row],[Lab Price 2]]/RawMaterials[[#This Row],[Lab Q Model Units 2]]</f>
        <v>#N/A</v>
      </c>
      <c r="AD617" s="392" t="e">
        <f>RawMaterials[[#This Row],[Lab Price 3]]/RawMaterials[[#This Row],[Lab Q Model Units 3]]</f>
        <v>#N/A</v>
      </c>
      <c r="AE617" s="392" t="e">
        <f>RawMaterials[[#This Row],[Lab Price 4]]/RawMaterials[[#This Row],[Lab Q Model Units 4]]</f>
        <v>#N/A</v>
      </c>
      <c r="AF617" s="392" t="str">
        <f ca="1">IF(RawMaterials[[#This Row],[Lab Quote Count]]&gt;1,SLOPE(LOG(INDIRECT("RawMaterials[@[Lab Unit P 1]:[Lab Unit P "&amp;RawMaterials[[#This Row],[Lab Quote Count]]&amp;"]]")),LOG(INDIRECT("RawMaterials[@[Lab Q Model Units 1]:[Lab Q Model Units "&amp;RawMaterials[[#This Row],[Lab Quote Count]]&amp;"]]"))),"")</f>
        <v/>
      </c>
      <c r="AG617" s="392" t="str">
        <f ca="1">IF(RawMaterials[[#This Row],[Lab Quote Count]]&gt;1,INTERCEPT(LOG(INDIRECT("RawMaterials[@[Lab Unit P 1]:[Lab Unit P "&amp;RawMaterials[[#This Row],[Lab Quote Count]]&amp;"]]")),LOG(INDIRECT("RawMaterials[@[Lab Q Model Units 1]:[Lab Q Model Units "&amp;RawMaterials[[#This Row],[Lab Quote Count]]&amp;"]]"))),"")</f>
        <v/>
      </c>
      <c r="AH617" s="393" t="str">
        <f>IF(RawMaterials[[#This Row],[Material Type]]="Metal Precursor","D13",IF(RawMaterials[[#This Row],[Material Type]]="Ligand","D13","D12"))</f>
        <v>D12</v>
      </c>
      <c r="AI617" s="394" t="str">
        <f ca="1">IF(RawMaterials[[#This Row],[Lab Quote Count]]&gt;1,10^RawMaterials[[#This Row],[Lab Log-Log Intercept]]*INDIRECT(RawMaterials[[#This Row],[Basis Cell]])^RawMaterials[[#This Row],[Lab Log-Log Slope]],"&gt;&gt;&gt; Enter 2 or more lab quotes &lt;&lt;&lt;")</f>
        <v>&gt;&gt;&gt; Enter 2 or more lab quotes &lt;&lt;&lt;</v>
      </c>
      <c r="AJ617"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7"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64.705673951261574</v>
      </c>
      <c r="AL617" s="396">
        <f>IF(ISTEXT(RawMaterials[[#This Row],[Unit price in quote year]]),"Check calcs",RawMaterials[[#This Row],[Unit price in quote year]]/VLOOKUP(RawMaterials[[#This Row],[Quote Year]],ChemPPI[],14,FALSE)*VLOOKUP(BasisYear,ChemPPI[],14,FALSE))</f>
        <v>87.819540205192922</v>
      </c>
      <c r="AM617" s="397" t="str">
        <f t="shared" si="9"/>
        <v>$/kg (2016)</v>
      </c>
    </row>
    <row r="618" spans="1:39">
      <c r="A618" s="263" t="s">
        <v>1701</v>
      </c>
      <c r="B618" s="264"/>
      <c r="C618" s="264"/>
      <c r="D618" s="264"/>
      <c r="E618" s="264">
        <v>100</v>
      </c>
      <c r="F618" s="264"/>
      <c r="G618" s="264"/>
      <c r="H618" s="264"/>
      <c r="I618" s="357"/>
      <c r="J618" s="264"/>
      <c r="K618" s="264"/>
      <c r="L618" s="264"/>
      <c r="M618" s="264"/>
      <c r="N618" s="264"/>
      <c r="O618" s="264"/>
      <c r="P618" s="350">
        <v>0.38500000000000001</v>
      </c>
      <c r="Q618" s="260">
        <v>1</v>
      </c>
      <c r="R618" s="264" t="s">
        <v>20</v>
      </c>
      <c r="S618" s="264">
        <v>2006</v>
      </c>
      <c r="T618" s="264" t="s">
        <v>161</v>
      </c>
      <c r="U618" s="386">
        <v>42653</v>
      </c>
      <c r="V618" s="387"/>
      <c r="W618" s="354">
        <f>COUNT(RawMaterials[[#This Row],[Lab Quantity 1]:[Lab Quantity 4]])</f>
        <v>0</v>
      </c>
      <c r="X618"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8"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8"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8"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8" s="392" t="e">
        <f>RawMaterials[[#This Row],[Lab Price 1]]/RawMaterials[[#This Row],[Lab Q Model Units 1]]</f>
        <v>#N/A</v>
      </c>
      <c r="AC618" s="392" t="e">
        <f>RawMaterials[[#This Row],[Lab Price 2]]/RawMaterials[[#This Row],[Lab Q Model Units 2]]</f>
        <v>#N/A</v>
      </c>
      <c r="AD618" s="392" t="e">
        <f>RawMaterials[[#This Row],[Lab Price 3]]/RawMaterials[[#This Row],[Lab Q Model Units 3]]</f>
        <v>#N/A</v>
      </c>
      <c r="AE618" s="392" t="e">
        <f>RawMaterials[[#This Row],[Lab Price 4]]/RawMaterials[[#This Row],[Lab Q Model Units 4]]</f>
        <v>#N/A</v>
      </c>
      <c r="AF618" s="392" t="str">
        <f ca="1">IF(RawMaterials[[#This Row],[Lab Quote Count]]&gt;1,SLOPE(LOG(INDIRECT("RawMaterials[@[Lab Unit P 1]:[Lab Unit P "&amp;RawMaterials[[#This Row],[Lab Quote Count]]&amp;"]]")),LOG(INDIRECT("RawMaterials[@[Lab Q Model Units 1]:[Lab Q Model Units "&amp;RawMaterials[[#This Row],[Lab Quote Count]]&amp;"]]"))),"")</f>
        <v/>
      </c>
      <c r="AG618" s="392" t="str">
        <f ca="1">IF(RawMaterials[[#This Row],[Lab Quote Count]]&gt;1,INTERCEPT(LOG(INDIRECT("RawMaterials[@[Lab Unit P 1]:[Lab Unit P "&amp;RawMaterials[[#This Row],[Lab Quote Count]]&amp;"]]")),LOG(INDIRECT("RawMaterials[@[Lab Q Model Units 1]:[Lab Q Model Units "&amp;RawMaterials[[#This Row],[Lab Quote Count]]&amp;"]]"))),"")</f>
        <v/>
      </c>
      <c r="AH618" s="393" t="str">
        <f>IF(RawMaterials[[#This Row],[Material Type]]="Metal Precursor","D13",IF(RawMaterials[[#This Row],[Material Type]]="Ligand","D13","D12"))</f>
        <v>D12</v>
      </c>
      <c r="AI618" s="394" t="str">
        <f ca="1">IF(RawMaterials[[#This Row],[Lab Quote Count]]&gt;1,10^RawMaterials[[#This Row],[Lab Log-Log Intercept]]*INDIRECT(RawMaterials[[#This Row],[Basis Cell]])^RawMaterials[[#This Row],[Lab Log-Log Slope]],"&gt;&gt;&gt; Enter 2 or more lab quotes &lt;&lt;&lt;")</f>
        <v>&gt;&gt;&gt; Enter 2 or more lab quotes &lt;&lt;&lt;</v>
      </c>
      <c r="AJ618"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8"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0.84877970941177872</v>
      </c>
      <c r="AL618" s="396">
        <f>IF(ISTEXT(RawMaterials[[#This Row],[Unit price in quote year]]),"Check calcs",RawMaterials[[#This Row],[Unit price in quote year]]/VLOOKUP(RawMaterials[[#This Row],[Quote Year]],ChemPPI[],14,FALSE)*VLOOKUP(BasisYear,ChemPPI[],14,FALSE))</f>
        <v>1.1519769328449498</v>
      </c>
      <c r="AM618" s="397" t="str">
        <f t="shared" si="9"/>
        <v>$/kg (2016)</v>
      </c>
    </row>
    <row r="619" spans="1:39">
      <c r="A619" s="263" t="s">
        <v>1702</v>
      </c>
      <c r="B619" s="264"/>
      <c r="C619" s="264"/>
      <c r="D619" s="264"/>
      <c r="E619" s="264">
        <v>100</v>
      </c>
      <c r="F619" s="264"/>
      <c r="G619" s="264"/>
      <c r="H619" s="264"/>
      <c r="I619" s="357"/>
      <c r="J619" s="264"/>
      <c r="K619" s="264"/>
      <c r="L619" s="264"/>
      <c r="M619" s="264"/>
      <c r="N619" s="264"/>
      <c r="O619" s="264"/>
      <c r="P619" s="350">
        <v>2.27</v>
      </c>
      <c r="Q619" s="260">
        <v>1</v>
      </c>
      <c r="R619" s="264" t="s">
        <v>20</v>
      </c>
      <c r="S619" s="264">
        <v>2006</v>
      </c>
      <c r="T619" s="264" t="s">
        <v>161</v>
      </c>
      <c r="U619" s="386">
        <v>42653</v>
      </c>
      <c r="V619" s="387"/>
      <c r="W619" s="354">
        <f>COUNT(RawMaterials[[#This Row],[Lab Quantity 1]:[Lab Quantity 4]])</f>
        <v>0</v>
      </c>
      <c r="X619"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9"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9"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9"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9" s="392" t="e">
        <f>RawMaterials[[#This Row],[Lab Price 1]]/RawMaterials[[#This Row],[Lab Q Model Units 1]]</f>
        <v>#N/A</v>
      </c>
      <c r="AC619" s="392" t="e">
        <f>RawMaterials[[#This Row],[Lab Price 2]]/RawMaterials[[#This Row],[Lab Q Model Units 2]]</f>
        <v>#N/A</v>
      </c>
      <c r="AD619" s="392" t="e">
        <f>RawMaterials[[#This Row],[Lab Price 3]]/RawMaterials[[#This Row],[Lab Q Model Units 3]]</f>
        <v>#N/A</v>
      </c>
      <c r="AE619" s="392" t="e">
        <f>RawMaterials[[#This Row],[Lab Price 4]]/RawMaterials[[#This Row],[Lab Q Model Units 4]]</f>
        <v>#N/A</v>
      </c>
      <c r="AF619" s="392" t="str">
        <f ca="1">IF(RawMaterials[[#This Row],[Lab Quote Count]]&gt;1,SLOPE(LOG(INDIRECT("RawMaterials[@[Lab Unit P 1]:[Lab Unit P "&amp;RawMaterials[[#This Row],[Lab Quote Count]]&amp;"]]")),LOG(INDIRECT("RawMaterials[@[Lab Q Model Units 1]:[Lab Q Model Units "&amp;RawMaterials[[#This Row],[Lab Quote Count]]&amp;"]]"))),"")</f>
        <v/>
      </c>
      <c r="AG619" s="392" t="str">
        <f ca="1">IF(RawMaterials[[#This Row],[Lab Quote Count]]&gt;1,INTERCEPT(LOG(INDIRECT("RawMaterials[@[Lab Unit P 1]:[Lab Unit P "&amp;RawMaterials[[#This Row],[Lab Quote Count]]&amp;"]]")),LOG(INDIRECT("RawMaterials[@[Lab Q Model Units 1]:[Lab Q Model Units "&amp;RawMaterials[[#This Row],[Lab Quote Count]]&amp;"]]"))),"")</f>
        <v/>
      </c>
      <c r="AH619" s="393" t="str">
        <f>IF(RawMaterials[[#This Row],[Material Type]]="Metal Precursor","D13",IF(RawMaterials[[#This Row],[Material Type]]="Ligand","D13","D12"))</f>
        <v>D12</v>
      </c>
      <c r="AI619" s="394" t="str">
        <f ca="1">IF(RawMaterials[[#This Row],[Lab Quote Count]]&gt;1,10^RawMaterials[[#This Row],[Lab Log-Log Intercept]]*INDIRECT(RawMaterials[[#This Row],[Basis Cell]])^RawMaterials[[#This Row],[Lab Log-Log Slope]],"&gt;&gt;&gt; Enter 2 or more lab quotes &lt;&lt;&lt;")</f>
        <v>&gt;&gt;&gt; Enter 2 or more lab quotes &lt;&lt;&lt;</v>
      </c>
      <c r="AJ619"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9"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5.0044933515967207</v>
      </c>
      <c r="AL619" s="396">
        <f>IF(ISTEXT(RawMaterials[[#This Row],[Unit price in quote year]]),"Check calcs",RawMaterials[[#This Row],[Unit price in quote year]]/VLOOKUP(RawMaterials[[#This Row],[Quote Year]],ChemPPI[],14,FALSE)*VLOOKUP(BasisYear,ChemPPI[],14,FALSE))</f>
        <v>6.7921756819689243</v>
      </c>
      <c r="AM619" s="397" t="str">
        <f t="shared" si="9"/>
        <v>$/kg (2016)</v>
      </c>
    </row>
    <row r="620" spans="1:39">
      <c r="A620" s="263" t="s">
        <v>1703</v>
      </c>
      <c r="B620" s="264"/>
      <c r="C620" s="264"/>
      <c r="D620" s="264"/>
      <c r="E620" s="264">
        <v>100</v>
      </c>
      <c r="F620" s="264"/>
      <c r="G620" s="264"/>
      <c r="H620" s="264"/>
      <c r="I620" s="357"/>
      <c r="J620" s="264"/>
      <c r="K620" s="264"/>
      <c r="L620" s="264"/>
      <c r="M620" s="264"/>
      <c r="N620" s="264"/>
      <c r="O620" s="264"/>
      <c r="P620" s="350">
        <v>501</v>
      </c>
      <c r="Q620" s="260">
        <v>1</v>
      </c>
      <c r="R620" s="264" t="s">
        <v>401</v>
      </c>
      <c r="S620" s="264">
        <v>2006</v>
      </c>
      <c r="T620" s="264" t="s">
        <v>161</v>
      </c>
      <c r="U620" s="386">
        <v>42653</v>
      </c>
      <c r="V620" s="387"/>
      <c r="W620" s="354">
        <f>COUNT(RawMaterials[[#This Row],[Lab Quantity 1]:[Lab Quantity 4]])</f>
        <v>0</v>
      </c>
      <c r="X620"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0"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0"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0"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0" s="392" t="e">
        <f>RawMaterials[[#This Row],[Lab Price 1]]/RawMaterials[[#This Row],[Lab Q Model Units 1]]</f>
        <v>#N/A</v>
      </c>
      <c r="AC620" s="392" t="e">
        <f>RawMaterials[[#This Row],[Lab Price 2]]/RawMaterials[[#This Row],[Lab Q Model Units 2]]</f>
        <v>#N/A</v>
      </c>
      <c r="AD620" s="392" t="e">
        <f>RawMaterials[[#This Row],[Lab Price 3]]/RawMaterials[[#This Row],[Lab Q Model Units 3]]</f>
        <v>#N/A</v>
      </c>
      <c r="AE620" s="392" t="e">
        <f>RawMaterials[[#This Row],[Lab Price 4]]/RawMaterials[[#This Row],[Lab Q Model Units 4]]</f>
        <v>#N/A</v>
      </c>
      <c r="AF620" s="392" t="str">
        <f ca="1">IF(RawMaterials[[#This Row],[Lab Quote Count]]&gt;1,SLOPE(LOG(INDIRECT("RawMaterials[@[Lab Unit P 1]:[Lab Unit P "&amp;RawMaterials[[#This Row],[Lab Quote Count]]&amp;"]]")),LOG(INDIRECT("RawMaterials[@[Lab Q Model Units 1]:[Lab Q Model Units "&amp;RawMaterials[[#This Row],[Lab Quote Count]]&amp;"]]"))),"")</f>
        <v/>
      </c>
      <c r="AG620" s="392" t="str">
        <f ca="1">IF(RawMaterials[[#This Row],[Lab Quote Count]]&gt;1,INTERCEPT(LOG(INDIRECT("RawMaterials[@[Lab Unit P 1]:[Lab Unit P "&amp;RawMaterials[[#This Row],[Lab Quote Count]]&amp;"]]")),LOG(INDIRECT("RawMaterials[@[Lab Q Model Units 1]:[Lab Q Model Units "&amp;RawMaterials[[#This Row],[Lab Quote Count]]&amp;"]]"))),"")</f>
        <v/>
      </c>
      <c r="AH620" s="393" t="str">
        <f>IF(RawMaterials[[#This Row],[Material Type]]="Metal Precursor","D13",IF(RawMaterials[[#This Row],[Material Type]]="Ligand","D13","D12"))</f>
        <v>D12</v>
      </c>
      <c r="AI620" s="394" t="str">
        <f ca="1">IF(RawMaterials[[#This Row],[Lab Quote Count]]&gt;1,10^RawMaterials[[#This Row],[Lab Log-Log Intercept]]*INDIRECT(RawMaterials[[#This Row],[Basis Cell]])^RawMaterials[[#This Row],[Lab Log-Log Slope]],"&gt;&gt;&gt; Enter 2 or more lab quotes &lt;&lt;&lt;")</f>
        <v>&gt;&gt;&gt; Enter 2 or more lab quotes &lt;&lt;&lt;</v>
      </c>
      <c r="AJ620"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20"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0.55225796677311834</v>
      </c>
      <c r="AL620" s="396">
        <f>IF(ISTEXT(RawMaterials[[#This Row],[Unit price in quote year]]),"Check calcs",RawMaterials[[#This Row],[Unit price in quote year]]/VLOOKUP(RawMaterials[[#This Row],[Quote Year]],ChemPPI[],14,FALSE)*VLOOKUP(BasisYear,ChemPPI[],14,FALSE))</f>
        <v>0.74953304331859727</v>
      </c>
      <c r="AM620" s="397" t="str">
        <f t="shared" si="9"/>
        <v>$/kg (2016)</v>
      </c>
    </row>
    <row r="621" spans="1:39">
      <c r="A621" s="263" t="s">
        <v>1704</v>
      </c>
      <c r="B621" s="264"/>
      <c r="C621" s="264"/>
      <c r="D621" s="264"/>
      <c r="E621" s="264">
        <v>100</v>
      </c>
      <c r="F621" s="264"/>
      <c r="G621" s="264"/>
      <c r="H621" s="264"/>
      <c r="I621" s="357"/>
      <c r="J621" s="264"/>
      <c r="K621" s="264"/>
      <c r="L621" s="264"/>
      <c r="M621" s="264"/>
      <c r="N621" s="264"/>
      <c r="O621" s="264"/>
      <c r="P621" s="350">
        <v>680.75</v>
      </c>
      <c r="Q621" s="260">
        <v>1</v>
      </c>
      <c r="R621" s="264" t="s">
        <v>401</v>
      </c>
      <c r="S621" s="264">
        <v>2006</v>
      </c>
      <c r="T621" s="264" t="s">
        <v>161</v>
      </c>
      <c r="U621" s="386">
        <v>42653</v>
      </c>
      <c r="V621" s="387"/>
      <c r="W621" s="354">
        <f>COUNT(RawMaterials[[#This Row],[Lab Quantity 1]:[Lab Quantity 4]])</f>
        <v>0</v>
      </c>
      <c r="X621" s="39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1" s="39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1" s="39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1" s="39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1" s="392" t="e">
        <f>RawMaterials[[#This Row],[Lab Price 1]]/RawMaterials[[#This Row],[Lab Q Model Units 1]]</f>
        <v>#N/A</v>
      </c>
      <c r="AC621" s="392" t="e">
        <f>RawMaterials[[#This Row],[Lab Price 2]]/RawMaterials[[#This Row],[Lab Q Model Units 2]]</f>
        <v>#N/A</v>
      </c>
      <c r="AD621" s="392" t="e">
        <f>RawMaterials[[#This Row],[Lab Price 3]]/RawMaterials[[#This Row],[Lab Q Model Units 3]]</f>
        <v>#N/A</v>
      </c>
      <c r="AE621" s="392" t="e">
        <f>RawMaterials[[#This Row],[Lab Price 4]]/RawMaterials[[#This Row],[Lab Q Model Units 4]]</f>
        <v>#N/A</v>
      </c>
      <c r="AF621" s="392" t="str">
        <f ca="1">IF(RawMaterials[[#This Row],[Lab Quote Count]]&gt;1,SLOPE(LOG(INDIRECT("RawMaterials[@[Lab Unit P 1]:[Lab Unit P "&amp;RawMaterials[[#This Row],[Lab Quote Count]]&amp;"]]")),LOG(INDIRECT("RawMaterials[@[Lab Q Model Units 1]:[Lab Q Model Units "&amp;RawMaterials[[#This Row],[Lab Quote Count]]&amp;"]]"))),"")</f>
        <v/>
      </c>
      <c r="AG621" s="392" t="str">
        <f ca="1">IF(RawMaterials[[#This Row],[Lab Quote Count]]&gt;1,INTERCEPT(LOG(INDIRECT("RawMaterials[@[Lab Unit P 1]:[Lab Unit P "&amp;RawMaterials[[#This Row],[Lab Quote Count]]&amp;"]]")),LOG(INDIRECT("RawMaterials[@[Lab Q Model Units 1]:[Lab Q Model Units "&amp;RawMaterials[[#This Row],[Lab Quote Count]]&amp;"]]"))),"")</f>
        <v/>
      </c>
      <c r="AH621" s="393" t="str">
        <f>IF(RawMaterials[[#This Row],[Material Type]]="Metal Precursor","D13",IF(RawMaterials[[#This Row],[Material Type]]="Ligand","D13","D12"))</f>
        <v>D12</v>
      </c>
      <c r="AI621" s="394" t="str">
        <f ca="1">IF(RawMaterials[[#This Row],[Lab Quote Count]]&gt;1,10^RawMaterials[[#This Row],[Lab Log-Log Intercept]]*INDIRECT(RawMaterials[[#This Row],[Basis Cell]])^RawMaterials[[#This Row],[Lab Log-Log Slope]],"&gt;&gt;&gt; Enter 2 or more lab quotes &lt;&lt;&lt;")</f>
        <v>&gt;&gt;&gt; Enter 2 or more lab quotes &lt;&lt;&lt;</v>
      </c>
      <c r="AJ621" s="395">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21" s="396">
        <f>IFERROR(IF(RawMaterials[[#This Row],[Lab-Scale Log Fit?]]="Lab",RawMaterials[[#This Row],[Lab Forecast Unit Price (Output Mass Units)]],RawMaterials[[#This Row],[Bulk Quote Price ($)]]/RawMaterials[[#This Row],[Bulk Quote Quantity in Output Mass Units]]),IF(RawMaterials[[#This Row],[Lab-Scale Log Fit?]]="Lab",RawMaterials[[#This Row],[Lab Forecast Unit Price (Output Mass Units)]],RawMaterials[[#This Row],[Bulk Quote Quantity in Output Mass Units]]))</f>
        <v>0.750398424911777</v>
      </c>
      <c r="AL621" s="396">
        <f>IF(ISTEXT(RawMaterials[[#This Row],[Unit price in quote year]]),"Check calcs",RawMaterials[[#This Row],[Unit price in quote year]]/VLOOKUP(RawMaterials[[#This Row],[Quote Year]],ChemPPI[],14,FALSE)*VLOOKUP(BasisYear,ChemPPI[],14,FALSE))</f>
        <v>1.0184523338106488</v>
      </c>
      <c r="AM621" s="397" t="str">
        <f t="shared" si="9"/>
        <v>$/kg (2016)</v>
      </c>
    </row>
  </sheetData>
  <conditionalFormatting sqref="B3">
    <cfRule type="containsBlanks" dxfId="112" priority="5">
      <formula>LEN(TRIM(B3))=0</formula>
    </cfRule>
  </conditionalFormatting>
  <conditionalFormatting sqref="B8">
    <cfRule type="containsBlanks" dxfId="111" priority="4">
      <formula>LEN(TRIM(B8))=0</formula>
    </cfRule>
  </conditionalFormatting>
  <conditionalFormatting sqref="B6">
    <cfRule type="containsBlanks" dxfId="110" priority="3">
      <formula>LEN(TRIM(B6))=0</formula>
    </cfRule>
  </conditionalFormatting>
  <conditionalFormatting sqref="B12">
    <cfRule type="containsBlanks" dxfId="109" priority="2">
      <formula>LEN(TRIM(B12))=0</formula>
    </cfRule>
  </conditionalFormatting>
  <conditionalFormatting sqref="B13">
    <cfRule type="containsBlanks" dxfId="108" priority="1">
      <formula>LEN(TRIM(B13))=0</formula>
    </cfRule>
  </conditionalFormatting>
  <dataValidations count="3">
    <dataValidation type="list" allowBlank="1" showInputMessage="1" showErrorMessage="1" sqref="C12:C13" xr:uid="{00000000-0002-0000-0D00-000000000000}">
      <formula1>MassUnits</formula1>
    </dataValidation>
    <dataValidation type="list" allowBlank="1" showInputMessage="1" showErrorMessage="1" sqref="K16:K621 R16:R621" xr:uid="{229B424A-9EAD-9140-ABA0-B581106C136A}">
      <formula1>Units</formula1>
    </dataValidation>
    <dataValidation type="list" allowBlank="1" showInputMessage="1" showErrorMessage="1" sqref="F16:F621" xr:uid="{692CE238-9FC9-BC49-855B-722C9C07C250}">
      <formula1>"Lab,Bulk"</formula1>
    </dataValidation>
  </dataValidations>
  <pageMargins left="0.75" right="0.75" top="1" bottom="1" header="0.5" footer="0.5"/>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B79C-09CA-1B44-A391-6C22CEF32A51}">
  <dimension ref="A2:E25"/>
  <sheetViews>
    <sheetView workbookViewId="0"/>
  </sheetViews>
  <sheetFormatPr defaultColWidth="11" defaultRowHeight="15.75"/>
  <cols>
    <col min="1" max="1" width="32.625" customWidth="1"/>
    <col min="2" max="2" width="17.875" customWidth="1"/>
    <col min="3" max="3" width="21" customWidth="1"/>
    <col min="4" max="4" width="19.625" customWidth="1"/>
    <col min="5" max="5" width="45" bestFit="1" customWidth="1"/>
  </cols>
  <sheetData>
    <row r="2" spans="1:5" s="239" customFormat="1">
      <c r="A2" s="180" t="s">
        <v>1844</v>
      </c>
    </row>
    <row r="3" spans="1:5" s="240" customFormat="1">
      <c r="A3" s="180"/>
    </row>
    <row r="4" spans="1:5">
      <c r="A4" t="s">
        <v>930</v>
      </c>
      <c r="B4" t="s">
        <v>927</v>
      </c>
      <c r="C4" t="s">
        <v>928</v>
      </c>
      <c r="D4" t="s">
        <v>929</v>
      </c>
      <c r="E4" t="s">
        <v>205</v>
      </c>
    </row>
    <row r="5" spans="1:5">
      <c r="A5" t="s">
        <v>933</v>
      </c>
      <c r="B5">
        <v>100</v>
      </c>
      <c r="C5">
        <v>150</v>
      </c>
      <c r="E5" t="s">
        <v>1067</v>
      </c>
    </row>
    <row r="6" spans="1:5">
      <c r="A6" t="s">
        <v>917</v>
      </c>
      <c r="B6">
        <v>100</v>
      </c>
      <c r="C6">
        <v>200</v>
      </c>
      <c r="D6">
        <v>300</v>
      </c>
      <c r="E6" t="s">
        <v>58</v>
      </c>
    </row>
    <row r="7" spans="1:5">
      <c r="A7" t="s">
        <v>923</v>
      </c>
      <c r="B7">
        <v>50</v>
      </c>
      <c r="E7" t="s">
        <v>1068</v>
      </c>
    </row>
    <row r="8" spans="1:5">
      <c r="A8" t="s">
        <v>1066</v>
      </c>
      <c r="B8">
        <v>75</v>
      </c>
      <c r="C8">
        <v>100</v>
      </c>
      <c r="D8">
        <v>200</v>
      </c>
      <c r="E8" t="s">
        <v>58</v>
      </c>
    </row>
    <row r="9" spans="1:5">
      <c r="A9" t="s">
        <v>1065</v>
      </c>
      <c r="B9">
        <v>100</v>
      </c>
      <c r="C9">
        <v>150</v>
      </c>
      <c r="D9">
        <v>300</v>
      </c>
      <c r="E9" t="s">
        <v>941</v>
      </c>
    </row>
    <row r="10" spans="1:5">
      <c r="A10" t="s">
        <v>926</v>
      </c>
      <c r="C10">
        <v>300</v>
      </c>
      <c r="D10">
        <v>550</v>
      </c>
      <c r="E10" t="s">
        <v>944</v>
      </c>
    </row>
    <row r="11" spans="1:5">
      <c r="A11" t="s">
        <v>936</v>
      </c>
      <c r="B11">
        <v>100</v>
      </c>
      <c r="C11">
        <v>200</v>
      </c>
      <c r="D11">
        <v>425</v>
      </c>
      <c r="E11" t="s">
        <v>937</v>
      </c>
    </row>
    <row r="12" spans="1:5">
      <c r="A12" t="s">
        <v>920</v>
      </c>
      <c r="B12">
        <v>125</v>
      </c>
      <c r="C12">
        <v>175</v>
      </c>
      <c r="D12">
        <v>400</v>
      </c>
      <c r="E12" t="s">
        <v>58</v>
      </c>
    </row>
    <row r="13" spans="1:5">
      <c r="A13" t="s">
        <v>921</v>
      </c>
      <c r="B13">
        <v>75</v>
      </c>
      <c r="E13" t="s">
        <v>943</v>
      </c>
    </row>
    <row r="14" spans="1:5">
      <c r="A14" t="s">
        <v>919</v>
      </c>
      <c r="C14">
        <v>100</v>
      </c>
      <c r="D14">
        <v>300</v>
      </c>
      <c r="E14" t="s">
        <v>942</v>
      </c>
    </row>
    <row r="15" spans="1:5">
      <c r="A15" t="s">
        <v>918</v>
      </c>
      <c r="B15">
        <v>50</v>
      </c>
      <c r="C15">
        <v>75</v>
      </c>
      <c r="D15">
        <v>150</v>
      </c>
      <c r="E15" t="s">
        <v>58</v>
      </c>
    </row>
    <row r="16" spans="1:5">
      <c r="A16" t="s">
        <v>916</v>
      </c>
      <c r="B16">
        <v>75</v>
      </c>
      <c r="C16">
        <v>100</v>
      </c>
      <c r="D16">
        <v>200</v>
      </c>
      <c r="E16" t="s">
        <v>58</v>
      </c>
    </row>
    <row r="17" spans="1:5">
      <c r="A17" t="s">
        <v>940</v>
      </c>
      <c r="B17">
        <v>75</v>
      </c>
      <c r="E17" t="s">
        <v>951</v>
      </c>
    </row>
    <row r="18" spans="1:5">
      <c r="A18" t="s">
        <v>939</v>
      </c>
      <c r="C18">
        <v>225</v>
      </c>
      <c r="D18">
        <v>400</v>
      </c>
      <c r="E18" s="240" t="s">
        <v>952</v>
      </c>
    </row>
    <row r="19" spans="1:5">
      <c r="A19" t="s">
        <v>938</v>
      </c>
      <c r="C19">
        <v>175</v>
      </c>
      <c r="D19">
        <v>325</v>
      </c>
      <c r="E19" s="241" t="s">
        <v>952</v>
      </c>
    </row>
    <row r="20" spans="1:5">
      <c r="A20" t="s">
        <v>922</v>
      </c>
      <c r="B20">
        <v>50</v>
      </c>
      <c r="C20">
        <v>100</v>
      </c>
      <c r="D20">
        <v>200</v>
      </c>
      <c r="E20" t="s">
        <v>58</v>
      </c>
    </row>
    <row r="21" spans="1:5">
      <c r="A21" t="s">
        <v>932</v>
      </c>
      <c r="B21">
        <v>50</v>
      </c>
      <c r="C21">
        <v>100</v>
      </c>
      <c r="D21">
        <v>200</v>
      </c>
      <c r="E21" t="s">
        <v>58</v>
      </c>
    </row>
    <row r="22" spans="1:5">
      <c r="A22" t="s">
        <v>935</v>
      </c>
      <c r="B22">
        <v>75</v>
      </c>
      <c r="C22">
        <v>100</v>
      </c>
      <c r="D22">
        <v>200</v>
      </c>
      <c r="E22" t="s">
        <v>934</v>
      </c>
    </row>
    <row r="23" spans="1:5">
      <c r="A23" t="s">
        <v>924</v>
      </c>
      <c r="B23">
        <v>30</v>
      </c>
      <c r="C23">
        <v>60</v>
      </c>
      <c r="D23">
        <v>200</v>
      </c>
      <c r="E23" t="s">
        <v>58</v>
      </c>
    </row>
    <row r="24" spans="1:5">
      <c r="A24" t="s">
        <v>925</v>
      </c>
      <c r="B24">
        <v>100</v>
      </c>
      <c r="C24">
        <v>175</v>
      </c>
      <c r="D24">
        <v>600</v>
      </c>
      <c r="E24" t="s">
        <v>58</v>
      </c>
    </row>
    <row r="25" spans="1:5">
      <c r="A25" t="s">
        <v>931</v>
      </c>
      <c r="B25">
        <v>35</v>
      </c>
      <c r="C25">
        <v>75</v>
      </c>
      <c r="D25">
        <v>200</v>
      </c>
      <c r="E25" t="s">
        <v>58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623"/>
  <sheetViews>
    <sheetView workbookViewId="0">
      <pane ySplit="1" topLeftCell="A2" activePane="bottomLeft" state="frozenSplit"/>
      <selection pane="bottomLeft" activeCell="A2" sqref="A2"/>
    </sheetView>
  </sheetViews>
  <sheetFormatPr defaultColWidth="11" defaultRowHeight="15.75"/>
  <cols>
    <col min="1" max="1" width="33.5" bestFit="1" customWidth="1"/>
    <col min="2" max="2" width="49.5" bestFit="1" customWidth="1"/>
    <col min="3" max="3" width="41.375" customWidth="1"/>
    <col min="4" max="4" width="11.125" customWidth="1"/>
    <col min="5" max="5" width="11.625" customWidth="1"/>
    <col min="6" max="8" width="11" customWidth="1"/>
    <col min="9" max="10" width="11" style="204" customWidth="1"/>
    <col min="11" max="11" width="12.625" style="26" customWidth="1"/>
    <col min="12" max="12" width="11.625" style="26" customWidth="1"/>
    <col min="13" max="14" width="11" style="26" customWidth="1"/>
    <col min="15" max="15" width="11" customWidth="1"/>
    <col min="16" max="16" width="18.625" customWidth="1"/>
    <col min="17" max="17" width="11" style="29" customWidth="1"/>
    <col min="18" max="25" width="11" style="30" customWidth="1"/>
    <col min="26" max="26" width="11" style="205" customWidth="1"/>
    <col min="27" max="35" width="11" style="30" customWidth="1"/>
    <col min="36" max="36" width="11" style="205" customWidth="1"/>
    <col min="37" max="37" width="19.625" style="29" bestFit="1" customWidth="1"/>
    <col min="38" max="38" width="23.5" style="30" customWidth="1"/>
    <col min="39" max="39" width="11.5" style="30" customWidth="1"/>
    <col min="40" max="42" width="11" customWidth="1"/>
    <col min="44" max="44" width="11" style="214"/>
  </cols>
  <sheetData>
    <row r="1" spans="1:44" s="179" customFormat="1">
      <c r="A1" s="179" t="s">
        <v>772</v>
      </c>
      <c r="B1" s="179" t="s">
        <v>288</v>
      </c>
      <c r="C1" s="179" t="s">
        <v>217</v>
      </c>
      <c r="D1" s="179" t="s">
        <v>218</v>
      </c>
      <c r="E1" s="179" t="s">
        <v>219</v>
      </c>
      <c r="F1" s="179" t="s">
        <v>220</v>
      </c>
      <c r="G1" s="179" t="s">
        <v>221</v>
      </c>
      <c r="H1" s="179" t="s">
        <v>438</v>
      </c>
      <c r="I1" s="179" t="s">
        <v>600</v>
      </c>
      <c r="J1" s="179" t="s">
        <v>601</v>
      </c>
      <c r="K1" s="179" t="s">
        <v>294</v>
      </c>
      <c r="L1" s="179" t="s">
        <v>171</v>
      </c>
      <c r="M1" s="179" t="s">
        <v>292</v>
      </c>
      <c r="N1" s="179" t="s">
        <v>293</v>
      </c>
      <c r="O1" s="179" t="s">
        <v>108</v>
      </c>
      <c r="P1" s="179" t="s">
        <v>347</v>
      </c>
      <c r="Q1" s="179" t="s">
        <v>319</v>
      </c>
      <c r="R1" s="179" t="s">
        <v>320</v>
      </c>
      <c r="S1" s="179" t="s">
        <v>321</v>
      </c>
      <c r="T1" s="179" t="s">
        <v>322</v>
      </c>
      <c r="U1" s="179" t="s">
        <v>323</v>
      </c>
      <c r="V1" s="179" t="s">
        <v>324</v>
      </c>
      <c r="W1" s="179" t="s">
        <v>325</v>
      </c>
      <c r="X1" s="179" t="s">
        <v>342</v>
      </c>
      <c r="Y1" s="179" t="s">
        <v>343</v>
      </c>
      <c r="Z1" s="179" t="s">
        <v>705</v>
      </c>
      <c r="AA1" s="179" t="s">
        <v>326</v>
      </c>
      <c r="AB1" s="179" t="s">
        <v>327</v>
      </c>
      <c r="AC1" s="179" t="s">
        <v>328</v>
      </c>
      <c r="AD1" s="179" t="s">
        <v>329</v>
      </c>
      <c r="AE1" s="179" t="s">
        <v>330</v>
      </c>
      <c r="AF1" s="179" t="s">
        <v>331</v>
      </c>
      <c r="AG1" s="179" t="s">
        <v>332</v>
      </c>
      <c r="AH1" s="179" t="s">
        <v>344</v>
      </c>
      <c r="AI1" s="179" t="s">
        <v>345</v>
      </c>
      <c r="AJ1" s="179" t="s">
        <v>706</v>
      </c>
      <c r="AK1" s="179" t="s">
        <v>812</v>
      </c>
      <c r="AL1" s="179" t="s">
        <v>353</v>
      </c>
      <c r="AM1" s="179" t="s">
        <v>309</v>
      </c>
      <c r="AN1" s="179" t="s">
        <v>205</v>
      </c>
    </row>
    <row r="3" spans="1:44">
      <c r="B3" t="s">
        <v>439</v>
      </c>
      <c r="G3" s="9"/>
    </row>
    <row r="4" spans="1:44">
      <c r="A4" s="197" t="s">
        <v>439</v>
      </c>
      <c r="B4" t="s">
        <v>745</v>
      </c>
      <c r="C4" t="s">
        <v>440</v>
      </c>
      <c r="D4" s="197">
        <v>1</v>
      </c>
      <c r="E4" s="197">
        <v>8</v>
      </c>
      <c r="F4">
        <v>0</v>
      </c>
      <c r="G4">
        <v>2610</v>
      </c>
      <c r="H4">
        <v>0.34</v>
      </c>
      <c r="K4" s="197" t="s">
        <v>295</v>
      </c>
      <c r="L4" s="197" t="s">
        <v>436</v>
      </c>
      <c r="M4" s="31">
        <v>567</v>
      </c>
      <c r="N4" s="31"/>
      <c r="O4" s="31">
        <v>2013</v>
      </c>
      <c r="Q4" s="205" t="s">
        <v>333</v>
      </c>
      <c r="R4" s="205" t="s">
        <v>178</v>
      </c>
      <c r="S4" s="205" t="s">
        <v>349</v>
      </c>
      <c r="T4" s="205" t="s">
        <v>177</v>
      </c>
      <c r="U4" s="205" t="s">
        <v>340</v>
      </c>
      <c r="V4" s="205" t="s">
        <v>707</v>
      </c>
      <c r="W4" s="205" t="s">
        <v>352</v>
      </c>
      <c r="X4" s="205"/>
      <c r="Y4" s="205"/>
      <c r="AA4" s="205">
        <v>1</v>
      </c>
      <c r="AB4" s="205">
        <v>1.2</v>
      </c>
      <c r="AC4" s="205">
        <v>2</v>
      </c>
      <c r="AD4" s="205">
        <v>2.5</v>
      </c>
      <c r="AE4" s="205">
        <v>2.7</v>
      </c>
      <c r="AF4" s="205">
        <v>3</v>
      </c>
      <c r="AG4" s="205">
        <v>6</v>
      </c>
      <c r="AK4" s="29" t="s">
        <v>160</v>
      </c>
      <c r="AL4" s="30">
        <v>1.22</v>
      </c>
      <c r="AM4" s="30">
        <v>0</v>
      </c>
      <c r="AN4" t="s">
        <v>441</v>
      </c>
    </row>
    <row r="5" spans="1:44">
      <c r="A5" s="197" t="s">
        <v>439</v>
      </c>
      <c r="B5" t="s">
        <v>746</v>
      </c>
      <c r="C5" s="197" t="s">
        <v>440</v>
      </c>
      <c r="D5" s="197">
        <v>1</v>
      </c>
      <c r="E5" s="197">
        <v>8</v>
      </c>
      <c r="F5">
        <v>0</v>
      </c>
      <c r="G5">
        <v>3740</v>
      </c>
      <c r="H5">
        <v>0.17</v>
      </c>
      <c r="K5" s="197" t="s">
        <v>295</v>
      </c>
      <c r="L5" s="197" t="s">
        <v>436</v>
      </c>
      <c r="M5" s="31">
        <v>567</v>
      </c>
      <c r="N5" s="31"/>
      <c r="O5" s="31">
        <v>2013</v>
      </c>
      <c r="Q5" s="205" t="s">
        <v>333</v>
      </c>
      <c r="R5" s="205" t="s">
        <v>178</v>
      </c>
      <c r="S5" s="205" t="s">
        <v>349</v>
      </c>
      <c r="T5" s="205" t="s">
        <v>177</v>
      </c>
      <c r="U5" s="205" t="s">
        <v>340</v>
      </c>
      <c r="V5" s="205" t="s">
        <v>707</v>
      </c>
      <c r="W5" s="205" t="s">
        <v>352</v>
      </c>
      <c r="X5" s="205"/>
      <c r="Y5" s="205"/>
      <c r="AA5" s="205">
        <v>1</v>
      </c>
      <c r="AB5" s="205">
        <v>1.2</v>
      </c>
      <c r="AC5" s="205">
        <v>2</v>
      </c>
      <c r="AD5" s="205">
        <v>2.5</v>
      </c>
      <c r="AE5" s="205">
        <v>2.7</v>
      </c>
      <c r="AF5" s="205">
        <v>3</v>
      </c>
      <c r="AG5" s="205">
        <v>6</v>
      </c>
      <c r="AK5" s="29" t="s">
        <v>160</v>
      </c>
      <c r="AL5" s="30">
        <v>1.22</v>
      </c>
      <c r="AM5" s="30">
        <v>0</v>
      </c>
      <c r="AN5" s="197" t="s">
        <v>442</v>
      </c>
    </row>
    <row r="6" spans="1:44">
      <c r="A6" s="197" t="s">
        <v>439</v>
      </c>
      <c r="B6" t="s">
        <v>747</v>
      </c>
      <c r="C6" s="197" t="s">
        <v>440</v>
      </c>
      <c r="D6" s="197">
        <v>2</v>
      </c>
      <c r="E6" s="197">
        <v>60</v>
      </c>
      <c r="F6">
        <v>0</v>
      </c>
      <c r="G6">
        <v>3730</v>
      </c>
      <c r="H6">
        <v>0.54</v>
      </c>
      <c r="K6" s="197" t="s">
        <v>295</v>
      </c>
      <c r="L6" s="197" t="s">
        <v>436</v>
      </c>
      <c r="M6" s="31">
        <v>567</v>
      </c>
      <c r="N6" s="31"/>
      <c r="O6" s="31">
        <v>2013</v>
      </c>
      <c r="Q6" s="205" t="s">
        <v>333</v>
      </c>
      <c r="R6" s="205" t="s">
        <v>178</v>
      </c>
      <c r="S6" s="205" t="s">
        <v>349</v>
      </c>
      <c r="T6" s="205" t="s">
        <v>177</v>
      </c>
      <c r="U6" s="205" t="s">
        <v>340</v>
      </c>
      <c r="V6" s="205" t="s">
        <v>707</v>
      </c>
      <c r="W6" s="205" t="s">
        <v>352</v>
      </c>
      <c r="X6" s="205"/>
      <c r="Y6" s="205"/>
      <c r="AA6" s="205">
        <v>1</v>
      </c>
      <c r="AB6" s="205">
        <v>1.2</v>
      </c>
      <c r="AC6" s="205">
        <v>2</v>
      </c>
      <c r="AD6" s="205">
        <v>2.5</v>
      </c>
      <c r="AE6" s="205">
        <v>2.7</v>
      </c>
      <c r="AF6" s="205">
        <v>3</v>
      </c>
      <c r="AG6" s="205">
        <v>6</v>
      </c>
      <c r="AK6" s="29" t="s">
        <v>160</v>
      </c>
      <c r="AL6" s="30">
        <v>1.32</v>
      </c>
      <c r="AM6" s="30">
        <v>0</v>
      </c>
      <c r="AN6" t="s">
        <v>443</v>
      </c>
    </row>
    <row r="7" spans="1:44">
      <c r="A7" s="197" t="s">
        <v>439</v>
      </c>
      <c r="B7" t="s">
        <v>748</v>
      </c>
      <c r="C7" s="197" t="s">
        <v>440</v>
      </c>
      <c r="D7" s="197">
        <v>2</v>
      </c>
      <c r="E7" s="197">
        <v>60</v>
      </c>
      <c r="F7">
        <v>0</v>
      </c>
      <c r="G7">
        <v>4105</v>
      </c>
      <c r="H7">
        <v>0.56999999999999995</v>
      </c>
      <c r="K7" s="197" t="s">
        <v>295</v>
      </c>
      <c r="L7" s="197" t="s">
        <v>436</v>
      </c>
      <c r="M7" s="31">
        <v>567</v>
      </c>
      <c r="N7" s="31"/>
      <c r="O7" s="31">
        <v>2013</v>
      </c>
      <c r="Q7" s="205" t="s">
        <v>333</v>
      </c>
      <c r="R7" s="205" t="s">
        <v>178</v>
      </c>
      <c r="S7" s="205" t="s">
        <v>349</v>
      </c>
      <c r="T7" s="205" t="s">
        <v>177</v>
      </c>
      <c r="U7" s="205" t="s">
        <v>340</v>
      </c>
      <c r="V7" s="205" t="s">
        <v>707</v>
      </c>
      <c r="W7" s="205" t="s">
        <v>352</v>
      </c>
      <c r="X7" s="205"/>
      <c r="Y7" s="205"/>
      <c r="AA7" s="205">
        <v>1</v>
      </c>
      <c r="AB7" s="205">
        <v>1.2</v>
      </c>
      <c r="AC7" s="205">
        <v>2</v>
      </c>
      <c r="AD7" s="205">
        <v>2.5</v>
      </c>
      <c r="AE7" s="205">
        <v>2.7</v>
      </c>
      <c r="AF7" s="205">
        <v>3</v>
      </c>
      <c r="AG7" s="205">
        <v>6</v>
      </c>
      <c r="AK7" s="29" t="s">
        <v>160</v>
      </c>
      <c r="AL7" s="30">
        <v>1.32</v>
      </c>
      <c r="AM7" s="30">
        <v>0</v>
      </c>
      <c r="AN7" s="197" t="s">
        <v>444</v>
      </c>
    </row>
    <row r="9" spans="1:44">
      <c r="B9" t="s">
        <v>767</v>
      </c>
    </row>
    <row r="10" spans="1:44">
      <c r="A10" s="281" t="s">
        <v>767</v>
      </c>
      <c r="B10" t="s">
        <v>445</v>
      </c>
      <c r="C10" t="s">
        <v>448</v>
      </c>
      <c r="D10">
        <v>30</v>
      </c>
      <c r="E10">
        <v>8000</v>
      </c>
      <c r="F10">
        <v>0</v>
      </c>
      <c r="G10">
        <v>1185</v>
      </c>
      <c r="H10">
        <v>0.52</v>
      </c>
      <c r="K10" s="197" t="s">
        <v>295</v>
      </c>
      <c r="L10" s="197" t="s">
        <v>436</v>
      </c>
      <c r="M10" s="31">
        <v>567</v>
      </c>
      <c r="N10" s="31"/>
      <c r="O10" s="31">
        <v>2013</v>
      </c>
      <c r="Q10" s="205" t="s">
        <v>333</v>
      </c>
      <c r="R10" s="205"/>
      <c r="S10" s="205"/>
      <c r="T10" s="205"/>
      <c r="U10" s="205"/>
      <c r="V10" s="205"/>
      <c r="W10" s="205"/>
      <c r="X10" s="205"/>
      <c r="Y10" s="205"/>
      <c r="AA10" s="205">
        <v>1</v>
      </c>
      <c r="AB10" s="205"/>
      <c r="AC10" s="205"/>
      <c r="AD10" s="205"/>
      <c r="AE10" s="205"/>
      <c r="AF10" s="205"/>
      <c r="AG10" s="205"/>
      <c r="AK10" s="29" t="s">
        <v>160</v>
      </c>
      <c r="AL10" s="30">
        <v>1.7</v>
      </c>
      <c r="AM10" s="30">
        <v>0.3</v>
      </c>
      <c r="AN10" t="s">
        <v>449</v>
      </c>
    </row>
    <row r="11" spans="1:44">
      <c r="A11" s="281" t="s">
        <v>767</v>
      </c>
      <c r="B11" t="s">
        <v>446</v>
      </c>
      <c r="C11" t="s">
        <v>448</v>
      </c>
      <c r="D11">
        <v>30</v>
      </c>
      <c r="E11">
        <v>2000</v>
      </c>
      <c r="F11">
        <v>0</v>
      </c>
      <c r="G11">
        <v>2245</v>
      </c>
      <c r="H11">
        <v>0.57999999999999996</v>
      </c>
      <c r="K11" s="197" t="s">
        <v>295</v>
      </c>
      <c r="L11" s="197" t="s">
        <v>436</v>
      </c>
      <c r="M11" s="31">
        <v>567</v>
      </c>
      <c r="N11" s="31"/>
      <c r="O11" s="31">
        <v>2013</v>
      </c>
      <c r="Q11" s="205" t="s">
        <v>349</v>
      </c>
      <c r="R11" s="205"/>
      <c r="S11" s="205"/>
      <c r="T11" s="205"/>
      <c r="U11" s="205"/>
      <c r="V11" s="205"/>
      <c r="W11" s="205"/>
      <c r="X11" s="205"/>
      <c r="Y11" s="205"/>
      <c r="AA11" s="205">
        <v>1</v>
      </c>
      <c r="AB11" s="205"/>
      <c r="AC11" s="205"/>
      <c r="AD11" s="205"/>
      <c r="AE11" s="205"/>
      <c r="AF11" s="205"/>
      <c r="AG11" s="205"/>
      <c r="AK11" s="29" t="s">
        <v>160</v>
      </c>
      <c r="AL11" s="212">
        <v>1.7</v>
      </c>
      <c r="AM11" s="30">
        <v>0.3</v>
      </c>
      <c r="AN11" s="197" t="s">
        <v>449</v>
      </c>
    </row>
    <row r="12" spans="1:44">
      <c r="A12" s="281" t="s">
        <v>767</v>
      </c>
      <c r="B12" t="s">
        <v>447</v>
      </c>
      <c r="C12" s="197" t="s">
        <v>448</v>
      </c>
      <c r="D12">
        <v>30</v>
      </c>
      <c r="E12">
        <v>4000</v>
      </c>
      <c r="F12">
        <v>0</v>
      </c>
      <c r="G12">
        <v>2085</v>
      </c>
      <c r="H12">
        <v>0.54</v>
      </c>
      <c r="K12" s="197" t="s">
        <v>295</v>
      </c>
      <c r="L12" s="197" t="s">
        <v>436</v>
      </c>
      <c r="M12" s="31">
        <v>567</v>
      </c>
      <c r="N12" s="31"/>
      <c r="O12" s="31">
        <v>2013</v>
      </c>
      <c r="Q12" s="205" t="s">
        <v>749</v>
      </c>
      <c r="R12" s="205"/>
      <c r="S12" s="205"/>
      <c r="T12" s="205"/>
      <c r="U12" s="205"/>
      <c r="V12" s="205"/>
      <c r="W12" s="205"/>
      <c r="X12" s="205"/>
      <c r="Y12" s="205"/>
      <c r="AA12" s="205">
        <v>1</v>
      </c>
      <c r="AB12" s="205"/>
      <c r="AC12" s="205"/>
      <c r="AD12" s="205"/>
      <c r="AE12" s="205"/>
      <c r="AF12" s="205"/>
      <c r="AG12" s="205"/>
      <c r="AK12" s="29" t="s">
        <v>160</v>
      </c>
      <c r="AL12" s="212">
        <v>1.7</v>
      </c>
      <c r="AM12" s="30">
        <v>0.3</v>
      </c>
      <c r="AN12" s="197" t="s">
        <v>449</v>
      </c>
    </row>
    <row r="13" spans="1:44" s="206" customFormat="1">
      <c r="M13" s="31"/>
      <c r="N13" s="31"/>
      <c r="O13" s="31"/>
      <c r="AR13" s="214"/>
    </row>
    <row r="14" spans="1:44" s="29" customFormat="1">
      <c r="B14" s="29" t="s">
        <v>313</v>
      </c>
      <c r="I14" s="204"/>
      <c r="J14" s="204"/>
      <c r="R14" s="30"/>
      <c r="S14" s="30"/>
      <c r="T14" s="30"/>
      <c r="U14" s="30"/>
      <c r="V14" s="30"/>
      <c r="W14" s="30"/>
      <c r="X14" s="30"/>
      <c r="Y14" s="30"/>
      <c r="Z14" s="205"/>
      <c r="AA14" s="30"/>
      <c r="AB14" s="30"/>
      <c r="AC14" s="30"/>
      <c r="AD14" s="30"/>
      <c r="AE14" s="30"/>
      <c r="AF14" s="30"/>
      <c r="AG14" s="30"/>
      <c r="AH14" s="30"/>
      <c r="AI14" s="30"/>
      <c r="AJ14" s="205"/>
      <c r="AL14" s="30"/>
      <c r="AM14" s="30"/>
      <c r="AR14" s="214"/>
    </row>
    <row r="15" spans="1:44">
      <c r="A15" s="200" t="s">
        <v>313</v>
      </c>
      <c r="B15" t="s">
        <v>788</v>
      </c>
      <c r="C15" s="200" t="s">
        <v>482</v>
      </c>
      <c r="D15" s="202">
        <v>500000</v>
      </c>
      <c r="E15" s="202">
        <v>70000000</v>
      </c>
      <c r="F15">
        <v>0</v>
      </c>
      <c r="G15">
        <v>0.41599999999999998</v>
      </c>
      <c r="H15">
        <v>0.77</v>
      </c>
      <c r="K15" s="200" t="s">
        <v>295</v>
      </c>
      <c r="L15" s="200" t="s">
        <v>436</v>
      </c>
      <c r="M15" s="31">
        <v>567</v>
      </c>
      <c r="N15" s="31"/>
      <c r="O15" s="31">
        <v>2013</v>
      </c>
      <c r="P15" s="200"/>
      <c r="Q15" s="205" t="s">
        <v>333</v>
      </c>
      <c r="R15" s="205" t="s">
        <v>178</v>
      </c>
      <c r="S15" s="205" t="s">
        <v>349</v>
      </c>
      <c r="T15" s="205" t="s">
        <v>177</v>
      </c>
      <c r="U15" s="205" t="s">
        <v>340</v>
      </c>
      <c r="V15" s="205" t="s">
        <v>707</v>
      </c>
      <c r="W15" s="205" t="s">
        <v>352</v>
      </c>
      <c r="X15" s="205"/>
      <c r="Y15" s="205"/>
      <c r="AA15" s="205">
        <v>1</v>
      </c>
      <c r="AB15" s="205">
        <v>1.2</v>
      </c>
      <c r="AC15" s="205">
        <v>2</v>
      </c>
      <c r="AD15" s="205">
        <v>2.5</v>
      </c>
      <c r="AE15" s="205">
        <v>2.7</v>
      </c>
      <c r="AF15" s="205">
        <v>3</v>
      </c>
      <c r="AG15" s="205">
        <v>6</v>
      </c>
      <c r="AH15" s="200"/>
      <c r="AI15" s="200"/>
      <c r="AK15" s="205">
        <v>2.19</v>
      </c>
      <c r="AL15" s="212">
        <v>1.53</v>
      </c>
      <c r="AM15" s="211">
        <v>0.3</v>
      </c>
      <c r="AN15" s="200" t="s">
        <v>484</v>
      </c>
    </row>
    <row r="16" spans="1:44" s="29" customFormat="1">
      <c r="A16" s="29" t="s">
        <v>313</v>
      </c>
      <c r="B16" s="29" t="s">
        <v>789</v>
      </c>
      <c r="C16" s="29" t="s">
        <v>227</v>
      </c>
      <c r="D16" s="29">
        <v>5000</v>
      </c>
      <c r="E16" s="29">
        <v>200000</v>
      </c>
      <c r="F16" s="29">
        <v>124000</v>
      </c>
      <c r="G16" s="29">
        <v>10</v>
      </c>
      <c r="H16" s="29">
        <v>1</v>
      </c>
      <c r="I16" s="204"/>
      <c r="J16" s="204"/>
      <c r="K16" s="29" t="s">
        <v>295</v>
      </c>
      <c r="L16" s="29" t="s">
        <v>437</v>
      </c>
      <c r="M16" s="29">
        <v>532.9</v>
      </c>
      <c r="N16" s="29">
        <v>2281.6</v>
      </c>
      <c r="O16" s="29">
        <v>2010</v>
      </c>
      <c r="Q16" s="30" t="s">
        <v>333</v>
      </c>
      <c r="R16" s="30" t="s">
        <v>334</v>
      </c>
      <c r="S16" s="30" t="s">
        <v>335</v>
      </c>
      <c r="T16" s="30" t="s">
        <v>336</v>
      </c>
      <c r="U16" s="30" t="s">
        <v>337</v>
      </c>
      <c r="V16" s="30" t="s">
        <v>338</v>
      </c>
      <c r="W16" s="30" t="s">
        <v>339</v>
      </c>
      <c r="X16" s="30" t="s">
        <v>340</v>
      </c>
      <c r="Y16" s="30" t="s">
        <v>341</v>
      </c>
      <c r="Z16" s="205"/>
      <c r="AA16" s="30">
        <v>1</v>
      </c>
      <c r="AB16" s="30">
        <v>1.07</v>
      </c>
      <c r="AC16" s="30">
        <v>1.1000000000000001</v>
      </c>
      <c r="AD16" s="30">
        <v>1.3</v>
      </c>
      <c r="AE16" s="30">
        <v>1.3</v>
      </c>
      <c r="AF16" s="30">
        <v>1.5</v>
      </c>
      <c r="AG16" s="30">
        <v>1.55</v>
      </c>
      <c r="AH16" s="30">
        <v>1.65</v>
      </c>
      <c r="AI16" s="30">
        <v>1.7</v>
      </c>
      <c r="AJ16" s="205"/>
      <c r="AK16" s="29" t="s">
        <v>160</v>
      </c>
      <c r="AL16" s="30">
        <v>1.53</v>
      </c>
      <c r="AM16" s="30">
        <v>0.6</v>
      </c>
      <c r="AR16" s="214"/>
    </row>
    <row r="17" spans="1:44" s="29" customFormat="1">
      <c r="A17" s="29" t="s">
        <v>313</v>
      </c>
      <c r="B17" s="29" t="s">
        <v>790</v>
      </c>
      <c r="C17" s="29" t="s">
        <v>227</v>
      </c>
      <c r="D17" s="29">
        <v>20000</v>
      </c>
      <c r="E17" s="29">
        <v>800000</v>
      </c>
      <c r="F17" s="29">
        <v>130000</v>
      </c>
      <c r="G17" s="29">
        <v>53</v>
      </c>
      <c r="H17" s="29">
        <v>0.9</v>
      </c>
      <c r="I17" s="204"/>
      <c r="J17" s="204"/>
      <c r="K17" s="29" t="s">
        <v>295</v>
      </c>
      <c r="L17" s="197" t="s">
        <v>437</v>
      </c>
      <c r="M17" s="29">
        <v>532.9</v>
      </c>
      <c r="N17" s="29">
        <v>2281.6</v>
      </c>
      <c r="O17" s="29">
        <v>2010</v>
      </c>
      <c r="Q17" s="30" t="s">
        <v>333</v>
      </c>
      <c r="R17" s="30" t="s">
        <v>334</v>
      </c>
      <c r="S17" s="30" t="s">
        <v>335</v>
      </c>
      <c r="T17" s="30" t="s">
        <v>336</v>
      </c>
      <c r="U17" s="30" t="s">
        <v>337</v>
      </c>
      <c r="V17" s="30" t="s">
        <v>338</v>
      </c>
      <c r="W17" s="30" t="s">
        <v>339</v>
      </c>
      <c r="X17" s="30" t="s">
        <v>340</v>
      </c>
      <c r="Y17" s="30" t="s">
        <v>341</v>
      </c>
      <c r="Z17" s="205"/>
      <c r="AA17" s="30">
        <v>1</v>
      </c>
      <c r="AB17" s="30">
        <v>1.07</v>
      </c>
      <c r="AC17" s="30">
        <v>1.1000000000000001</v>
      </c>
      <c r="AD17" s="30">
        <v>1.3</v>
      </c>
      <c r="AE17" s="30">
        <v>1.3</v>
      </c>
      <c r="AF17" s="30">
        <v>1.5</v>
      </c>
      <c r="AG17" s="30">
        <v>1.55</v>
      </c>
      <c r="AH17" s="30">
        <v>1.65</v>
      </c>
      <c r="AI17" s="30">
        <v>1.7</v>
      </c>
      <c r="AJ17" s="205"/>
      <c r="AK17" s="29" t="s">
        <v>160</v>
      </c>
      <c r="AL17" s="30">
        <v>1.53</v>
      </c>
      <c r="AM17" s="30">
        <v>0.6</v>
      </c>
      <c r="AR17" s="214"/>
    </row>
    <row r="18" spans="1:44" s="29" customFormat="1">
      <c r="I18" s="204"/>
      <c r="J18" s="204"/>
      <c r="R18" s="30"/>
      <c r="S18" s="30"/>
      <c r="T18" s="30"/>
      <c r="U18" s="30"/>
      <c r="V18" s="30"/>
      <c r="W18" s="30"/>
      <c r="X18" s="30"/>
      <c r="Y18" s="30"/>
      <c r="Z18" s="205"/>
      <c r="AA18" s="30"/>
      <c r="AB18" s="30"/>
      <c r="AC18" s="30"/>
      <c r="AD18" s="30"/>
      <c r="AE18" s="30"/>
      <c r="AF18" s="30"/>
      <c r="AG18" s="30"/>
      <c r="AH18" s="30"/>
      <c r="AI18" s="30"/>
      <c r="AJ18" s="205"/>
      <c r="AL18" s="30"/>
      <c r="AM18" s="30"/>
      <c r="AR18" s="214"/>
    </row>
    <row r="19" spans="1:44" s="29" customFormat="1">
      <c r="B19" s="29" t="s">
        <v>290</v>
      </c>
      <c r="I19" s="204"/>
      <c r="J19" s="204"/>
      <c r="R19" s="30"/>
      <c r="S19" s="30"/>
      <c r="T19" s="30"/>
      <c r="U19" s="30"/>
      <c r="V19" s="30"/>
      <c r="W19" s="30"/>
      <c r="X19" s="30"/>
      <c r="Y19" s="30"/>
      <c r="Z19" s="205"/>
      <c r="AA19" s="30"/>
      <c r="AB19" s="30"/>
      <c r="AC19" s="30"/>
      <c r="AD19" s="30"/>
      <c r="AE19" s="30"/>
      <c r="AF19" s="30"/>
      <c r="AG19" s="30"/>
      <c r="AH19" s="30"/>
      <c r="AI19" s="30"/>
      <c r="AJ19" s="205"/>
      <c r="AL19" s="30"/>
      <c r="AM19" s="30"/>
      <c r="AR19" s="214"/>
    </row>
    <row r="20" spans="1:44" s="29" customFormat="1">
      <c r="A20" s="29" t="s">
        <v>290</v>
      </c>
      <c r="B20" s="29" t="s">
        <v>258</v>
      </c>
      <c r="C20" s="29" t="s">
        <v>259</v>
      </c>
      <c r="D20" s="27">
        <v>0</v>
      </c>
      <c r="E20" s="28">
        <v>1000000000</v>
      </c>
      <c r="F20" s="29">
        <v>0</v>
      </c>
      <c r="G20" s="29">
        <v>8000</v>
      </c>
      <c r="H20" s="29">
        <v>1</v>
      </c>
      <c r="I20" s="204"/>
      <c r="J20" s="204"/>
      <c r="K20" s="29" t="s">
        <v>295</v>
      </c>
      <c r="L20" s="197" t="s">
        <v>437</v>
      </c>
      <c r="M20" s="29">
        <v>532.9</v>
      </c>
      <c r="N20" s="29">
        <v>2281.6</v>
      </c>
      <c r="O20" s="29">
        <v>2010</v>
      </c>
      <c r="P20" s="29" t="s">
        <v>253</v>
      </c>
      <c r="Q20" s="30" t="s">
        <v>336</v>
      </c>
      <c r="R20" s="30"/>
      <c r="S20" s="30"/>
      <c r="T20" s="30"/>
      <c r="U20" s="30"/>
      <c r="V20" s="30"/>
      <c r="W20" s="30"/>
      <c r="X20" s="30"/>
      <c r="Y20" s="30"/>
      <c r="Z20" s="205"/>
      <c r="AA20" s="30">
        <v>1</v>
      </c>
      <c r="AB20" s="30"/>
      <c r="AC20" s="30"/>
      <c r="AD20" s="30"/>
      <c r="AE20" s="30"/>
      <c r="AF20" s="30"/>
      <c r="AG20" s="30"/>
      <c r="AH20" s="30"/>
      <c r="AI20" s="30"/>
      <c r="AJ20" s="205"/>
      <c r="AK20" s="29">
        <v>1</v>
      </c>
      <c r="AL20" s="30">
        <v>1.2</v>
      </c>
      <c r="AM20" s="30">
        <v>0</v>
      </c>
      <c r="AR20" s="214"/>
    </row>
    <row r="21" spans="1:44" s="29" customFormat="1">
      <c r="A21" s="29" t="s">
        <v>290</v>
      </c>
      <c r="B21" s="29" t="s">
        <v>260</v>
      </c>
      <c r="C21" s="29" t="s">
        <v>259</v>
      </c>
      <c r="D21" s="27">
        <v>0</v>
      </c>
      <c r="E21" s="28">
        <v>1000000000</v>
      </c>
      <c r="F21" s="29">
        <v>0</v>
      </c>
      <c r="G21" s="29">
        <v>2000</v>
      </c>
      <c r="H21" s="29">
        <v>1</v>
      </c>
      <c r="I21" s="204"/>
      <c r="J21" s="204"/>
      <c r="K21" s="29" t="s">
        <v>295</v>
      </c>
      <c r="L21" s="197" t="s">
        <v>437</v>
      </c>
      <c r="M21" s="29">
        <v>532.9</v>
      </c>
      <c r="N21" s="29">
        <v>2281.6</v>
      </c>
      <c r="O21" s="29">
        <v>2010</v>
      </c>
      <c r="P21" s="29" t="s">
        <v>261</v>
      </c>
      <c r="Q21" s="30" t="s">
        <v>346</v>
      </c>
      <c r="R21" s="30"/>
      <c r="S21" s="30"/>
      <c r="T21" s="30"/>
      <c r="U21" s="30"/>
      <c r="V21" s="30"/>
      <c r="W21" s="30"/>
      <c r="X21" s="30"/>
      <c r="Y21" s="30"/>
      <c r="Z21" s="205"/>
      <c r="AA21" s="30">
        <v>1</v>
      </c>
      <c r="AB21" s="30"/>
      <c r="AC21" s="30"/>
      <c r="AD21" s="30"/>
      <c r="AE21" s="30"/>
      <c r="AF21" s="30"/>
      <c r="AG21" s="30"/>
      <c r="AH21" s="30"/>
      <c r="AI21" s="30"/>
      <c r="AJ21" s="205"/>
      <c r="AK21" s="29">
        <v>1</v>
      </c>
      <c r="AL21" s="30">
        <v>1.2</v>
      </c>
      <c r="AM21" s="30">
        <v>0</v>
      </c>
      <c r="AR21" s="214"/>
    </row>
    <row r="22" spans="1:44" s="29" customFormat="1">
      <c r="A22" s="29" t="s">
        <v>290</v>
      </c>
      <c r="B22" s="29" t="s">
        <v>262</v>
      </c>
      <c r="C22" s="29" t="s">
        <v>259</v>
      </c>
      <c r="D22" s="27">
        <v>0</v>
      </c>
      <c r="E22" s="28">
        <v>1000000000</v>
      </c>
      <c r="F22" s="29">
        <v>0</v>
      </c>
      <c r="G22" s="29">
        <v>8500</v>
      </c>
      <c r="H22" s="29">
        <v>1</v>
      </c>
      <c r="I22" s="204"/>
      <c r="J22" s="204"/>
      <c r="K22" s="29" t="s">
        <v>295</v>
      </c>
      <c r="L22" s="197" t="s">
        <v>437</v>
      </c>
      <c r="M22" s="29">
        <v>532.9</v>
      </c>
      <c r="N22" s="29">
        <v>2281.6</v>
      </c>
      <c r="O22" s="29">
        <v>2010</v>
      </c>
      <c r="P22" s="29" t="s">
        <v>253</v>
      </c>
      <c r="Q22" s="30" t="s">
        <v>336</v>
      </c>
      <c r="R22" s="30"/>
      <c r="S22" s="30"/>
      <c r="T22" s="30"/>
      <c r="U22" s="30"/>
      <c r="V22" s="30"/>
      <c r="W22" s="30"/>
      <c r="X22" s="30"/>
      <c r="Y22" s="30"/>
      <c r="Z22" s="205"/>
      <c r="AA22" s="30">
        <v>1</v>
      </c>
      <c r="AB22" s="30"/>
      <c r="AC22" s="30"/>
      <c r="AD22" s="30"/>
      <c r="AE22" s="30"/>
      <c r="AF22" s="30"/>
      <c r="AG22" s="30"/>
      <c r="AH22" s="30"/>
      <c r="AI22" s="30"/>
      <c r="AJ22" s="205"/>
      <c r="AK22" s="29">
        <v>1</v>
      </c>
      <c r="AL22" s="212">
        <v>1.2</v>
      </c>
      <c r="AM22" s="211">
        <v>0</v>
      </c>
      <c r="AR22" s="214"/>
    </row>
    <row r="23" spans="1:44" s="29" customFormat="1">
      <c r="A23" s="29" t="s">
        <v>290</v>
      </c>
      <c r="B23" s="29" t="s">
        <v>263</v>
      </c>
      <c r="C23" s="29" t="s">
        <v>259</v>
      </c>
      <c r="D23" s="27">
        <v>0</v>
      </c>
      <c r="E23" s="28">
        <v>1000000000</v>
      </c>
      <c r="F23" s="29">
        <v>0</v>
      </c>
      <c r="G23" s="29">
        <v>5500</v>
      </c>
      <c r="H23" s="29">
        <v>1</v>
      </c>
      <c r="I23" s="204"/>
      <c r="J23" s="204"/>
      <c r="K23" s="29" t="s">
        <v>295</v>
      </c>
      <c r="L23" s="197" t="s">
        <v>437</v>
      </c>
      <c r="M23" s="29">
        <v>532.9</v>
      </c>
      <c r="N23" s="29">
        <v>2281.6</v>
      </c>
      <c r="O23" s="29">
        <v>2010</v>
      </c>
      <c r="P23" s="29" t="s">
        <v>264</v>
      </c>
      <c r="Q23" s="30" t="s">
        <v>264</v>
      </c>
      <c r="R23" s="30"/>
      <c r="S23" s="30"/>
      <c r="T23" s="30"/>
      <c r="U23" s="30"/>
      <c r="V23" s="30"/>
      <c r="W23" s="30"/>
      <c r="X23" s="30"/>
      <c r="Y23" s="30"/>
      <c r="Z23" s="205"/>
      <c r="AA23" s="30">
        <v>1</v>
      </c>
      <c r="AB23" s="30"/>
      <c r="AC23" s="30"/>
      <c r="AD23" s="30"/>
      <c r="AE23" s="30"/>
      <c r="AF23" s="30"/>
      <c r="AG23" s="30"/>
      <c r="AH23" s="30"/>
      <c r="AI23" s="30"/>
      <c r="AJ23" s="205"/>
      <c r="AK23" s="29">
        <v>1</v>
      </c>
      <c r="AL23" s="212">
        <v>1.2</v>
      </c>
      <c r="AM23" s="211">
        <v>0</v>
      </c>
      <c r="AR23" s="214"/>
    </row>
    <row r="24" spans="1:44" s="29" customFormat="1">
      <c r="A24" s="29" t="s">
        <v>290</v>
      </c>
      <c r="B24" s="29" t="s">
        <v>265</v>
      </c>
      <c r="C24" s="29" t="s">
        <v>259</v>
      </c>
      <c r="D24" s="27">
        <v>0</v>
      </c>
      <c r="E24" s="28">
        <v>1000000000</v>
      </c>
      <c r="F24" s="29">
        <v>0</v>
      </c>
      <c r="G24" s="29">
        <v>7600</v>
      </c>
      <c r="H24" s="29">
        <v>1</v>
      </c>
      <c r="I24" s="204"/>
      <c r="J24" s="204"/>
      <c r="K24" s="29" t="s">
        <v>295</v>
      </c>
      <c r="L24" s="197" t="s">
        <v>437</v>
      </c>
      <c r="M24" s="29">
        <v>532.9</v>
      </c>
      <c r="N24" s="29">
        <v>2281.6</v>
      </c>
      <c r="O24" s="29">
        <v>2010</v>
      </c>
      <c r="P24" s="29" t="s">
        <v>253</v>
      </c>
      <c r="Q24" s="30" t="s">
        <v>336</v>
      </c>
      <c r="R24" s="30"/>
      <c r="S24" s="30"/>
      <c r="T24" s="30"/>
      <c r="U24" s="30"/>
      <c r="V24" s="30"/>
      <c r="W24" s="30"/>
      <c r="X24" s="30"/>
      <c r="Y24" s="30"/>
      <c r="Z24" s="205"/>
      <c r="AA24" s="30">
        <v>1</v>
      </c>
      <c r="AB24" s="30"/>
      <c r="AC24" s="30"/>
      <c r="AD24" s="30"/>
      <c r="AE24" s="30"/>
      <c r="AF24" s="30"/>
      <c r="AG24" s="30"/>
      <c r="AH24" s="30"/>
      <c r="AI24" s="30"/>
      <c r="AJ24" s="205"/>
      <c r="AK24" s="29">
        <v>1</v>
      </c>
      <c r="AL24" s="212">
        <v>1.2</v>
      </c>
      <c r="AM24" s="211">
        <v>0</v>
      </c>
      <c r="AR24" s="214"/>
    </row>
    <row r="25" spans="1:44" s="29" customFormat="1">
      <c r="A25" s="29" t="s">
        <v>290</v>
      </c>
      <c r="B25" s="29" t="s">
        <v>279</v>
      </c>
      <c r="C25" s="29" t="s">
        <v>229</v>
      </c>
      <c r="D25" s="29">
        <v>0.5</v>
      </c>
      <c r="E25" s="29">
        <v>5</v>
      </c>
      <c r="F25" s="29">
        <v>130</v>
      </c>
      <c r="G25" s="29">
        <v>440</v>
      </c>
      <c r="H25" s="29">
        <v>1.8</v>
      </c>
      <c r="I25" s="204"/>
      <c r="J25" s="204"/>
      <c r="K25" s="29" t="s">
        <v>295</v>
      </c>
      <c r="L25" s="197" t="s">
        <v>437</v>
      </c>
      <c r="M25" s="29">
        <v>532.9</v>
      </c>
      <c r="N25" s="29">
        <v>2281.6</v>
      </c>
      <c r="O25" s="29">
        <v>2010</v>
      </c>
      <c r="Q25" s="30" t="s">
        <v>333</v>
      </c>
      <c r="R25" s="30" t="s">
        <v>334</v>
      </c>
      <c r="S25" s="30" t="s">
        <v>335</v>
      </c>
      <c r="T25" s="30" t="s">
        <v>336</v>
      </c>
      <c r="U25" s="30" t="s">
        <v>337</v>
      </c>
      <c r="V25" s="30" t="s">
        <v>338</v>
      </c>
      <c r="W25" s="30" t="s">
        <v>339</v>
      </c>
      <c r="X25" s="30" t="s">
        <v>340</v>
      </c>
      <c r="Y25" s="30" t="s">
        <v>341</v>
      </c>
      <c r="Z25" s="205"/>
      <c r="AA25" s="30">
        <v>1</v>
      </c>
      <c r="AB25" s="30">
        <v>1.07</v>
      </c>
      <c r="AC25" s="30">
        <v>1.1000000000000001</v>
      </c>
      <c r="AD25" s="30">
        <v>1.3</v>
      </c>
      <c r="AE25" s="30">
        <v>1.3</v>
      </c>
      <c r="AF25" s="30">
        <v>1.5</v>
      </c>
      <c r="AG25" s="30">
        <v>1.55</v>
      </c>
      <c r="AH25" s="30">
        <v>1.65</v>
      </c>
      <c r="AI25" s="30">
        <v>1.7</v>
      </c>
      <c r="AJ25" s="205"/>
      <c r="AK25" s="29">
        <v>1</v>
      </c>
      <c r="AL25" s="212">
        <v>1.2</v>
      </c>
      <c r="AM25" s="211">
        <v>0</v>
      </c>
      <c r="AN25" s="29" t="s">
        <v>280</v>
      </c>
      <c r="AR25" s="214"/>
    </row>
    <row r="26" spans="1:44" s="29" customFormat="1">
      <c r="A26" s="29" t="s">
        <v>290</v>
      </c>
      <c r="B26" s="29" t="s">
        <v>281</v>
      </c>
      <c r="C26" s="29" t="s">
        <v>229</v>
      </c>
      <c r="D26" s="29">
        <v>0.5</v>
      </c>
      <c r="E26" s="29">
        <v>5</v>
      </c>
      <c r="F26" s="29">
        <v>210</v>
      </c>
      <c r="G26" s="29">
        <v>400</v>
      </c>
      <c r="H26" s="29">
        <v>1.9</v>
      </c>
      <c r="I26" s="204"/>
      <c r="J26" s="204"/>
      <c r="K26" s="29" t="s">
        <v>295</v>
      </c>
      <c r="L26" s="197" t="s">
        <v>437</v>
      </c>
      <c r="M26" s="29">
        <v>532.9</v>
      </c>
      <c r="N26" s="29">
        <v>2281.6</v>
      </c>
      <c r="O26" s="29">
        <v>2010</v>
      </c>
      <c r="Q26" s="30" t="s">
        <v>333</v>
      </c>
      <c r="R26" s="30" t="s">
        <v>334</v>
      </c>
      <c r="S26" s="30" t="s">
        <v>335</v>
      </c>
      <c r="T26" s="30" t="s">
        <v>336</v>
      </c>
      <c r="U26" s="30" t="s">
        <v>337</v>
      </c>
      <c r="V26" s="30" t="s">
        <v>338</v>
      </c>
      <c r="W26" s="30" t="s">
        <v>339</v>
      </c>
      <c r="X26" s="30" t="s">
        <v>340</v>
      </c>
      <c r="Y26" s="30" t="s">
        <v>341</v>
      </c>
      <c r="Z26" s="205"/>
      <c r="AA26" s="30">
        <v>1</v>
      </c>
      <c r="AB26" s="30">
        <v>1.07</v>
      </c>
      <c r="AC26" s="30">
        <v>1.1000000000000001</v>
      </c>
      <c r="AD26" s="30">
        <v>1.3</v>
      </c>
      <c r="AE26" s="30">
        <v>1.3</v>
      </c>
      <c r="AF26" s="30">
        <v>1.5</v>
      </c>
      <c r="AG26" s="30">
        <v>1.55</v>
      </c>
      <c r="AH26" s="30">
        <v>1.65</v>
      </c>
      <c r="AI26" s="30">
        <v>1.7</v>
      </c>
      <c r="AJ26" s="205"/>
      <c r="AK26" s="29">
        <v>1</v>
      </c>
      <c r="AL26" s="212">
        <v>1.2</v>
      </c>
      <c r="AM26" s="211">
        <v>0</v>
      </c>
      <c r="AR26" s="214"/>
    </row>
    <row r="27" spans="1:44" s="29" customFormat="1">
      <c r="A27" s="29" t="s">
        <v>290</v>
      </c>
      <c r="B27" s="29" t="s">
        <v>282</v>
      </c>
      <c r="C27" s="29" t="s">
        <v>229</v>
      </c>
      <c r="D27" s="29">
        <v>0.5</v>
      </c>
      <c r="E27" s="29">
        <v>5</v>
      </c>
      <c r="F27" s="29">
        <v>340</v>
      </c>
      <c r="G27" s="29">
        <v>640</v>
      </c>
      <c r="H27" s="29">
        <v>1.9</v>
      </c>
      <c r="I27" s="204"/>
      <c r="J27" s="204"/>
      <c r="K27" s="29" t="s">
        <v>295</v>
      </c>
      <c r="L27" s="197" t="s">
        <v>437</v>
      </c>
      <c r="M27" s="29">
        <v>532.9</v>
      </c>
      <c r="N27" s="29">
        <v>2281.6</v>
      </c>
      <c r="O27" s="29">
        <v>2010</v>
      </c>
      <c r="Q27" s="30" t="s">
        <v>333</v>
      </c>
      <c r="R27" s="30" t="s">
        <v>334</v>
      </c>
      <c r="S27" s="30" t="s">
        <v>335</v>
      </c>
      <c r="T27" s="30" t="s">
        <v>336</v>
      </c>
      <c r="U27" s="30" t="s">
        <v>337</v>
      </c>
      <c r="V27" s="30" t="s">
        <v>338</v>
      </c>
      <c r="W27" s="30" t="s">
        <v>339</v>
      </c>
      <c r="X27" s="30" t="s">
        <v>340</v>
      </c>
      <c r="Y27" s="30" t="s">
        <v>341</v>
      </c>
      <c r="Z27" s="205"/>
      <c r="AA27" s="30">
        <v>1</v>
      </c>
      <c r="AB27" s="30">
        <v>1.07</v>
      </c>
      <c r="AC27" s="30">
        <v>1.1000000000000001</v>
      </c>
      <c r="AD27" s="30">
        <v>1.3</v>
      </c>
      <c r="AE27" s="30">
        <v>1.3</v>
      </c>
      <c r="AF27" s="30">
        <v>1.5</v>
      </c>
      <c r="AG27" s="30">
        <v>1.55</v>
      </c>
      <c r="AH27" s="30">
        <v>1.65</v>
      </c>
      <c r="AI27" s="30">
        <v>1.7</v>
      </c>
      <c r="AJ27" s="205"/>
      <c r="AK27" s="29">
        <v>1</v>
      </c>
      <c r="AL27" s="212">
        <v>1.2</v>
      </c>
      <c r="AM27" s="211">
        <v>0</v>
      </c>
      <c r="AR27" s="214"/>
    </row>
    <row r="28" spans="1:44" s="29" customFormat="1">
      <c r="I28" s="204"/>
      <c r="J28" s="204"/>
      <c r="R28" s="30"/>
      <c r="S28" s="30"/>
      <c r="T28" s="30"/>
      <c r="U28" s="30"/>
      <c r="V28" s="30"/>
      <c r="W28" s="30"/>
      <c r="X28" s="30"/>
      <c r="Y28" s="30"/>
      <c r="Z28" s="205"/>
      <c r="AA28" s="30"/>
      <c r="AB28" s="30"/>
      <c r="AC28" s="30"/>
      <c r="AD28" s="30"/>
      <c r="AE28" s="30"/>
      <c r="AF28" s="30"/>
      <c r="AG28" s="30"/>
      <c r="AH28" s="30"/>
      <c r="AI28" s="30"/>
      <c r="AJ28" s="205"/>
      <c r="AL28" s="30"/>
      <c r="AM28" s="30"/>
      <c r="AR28" s="214"/>
    </row>
    <row r="29" spans="1:44">
      <c r="B29" t="s">
        <v>725</v>
      </c>
      <c r="AB29" s="205"/>
      <c r="AC29" s="205"/>
      <c r="AD29" s="205"/>
      <c r="AE29" s="205"/>
      <c r="AF29" s="205"/>
      <c r="AG29" s="205"/>
    </row>
    <row r="30" spans="1:44">
      <c r="A30" s="281" t="s">
        <v>725</v>
      </c>
      <c r="B30" t="s">
        <v>450</v>
      </c>
      <c r="C30" t="s">
        <v>451</v>
      </c>
      <c r="D30">
        <v>15</v>
      </c>
      <c r="E30">
        <v>200</v>
      </c>
      <c r="F30">
        <v>0</v>
      </c>
      <c r="G30">
        <v>16440</v>
      </c>
      <c r="H30">
        <v>0.67</v>
      </c>
      <c r="K30" s="197" t="s">
        <v>295</v>
      </c>
      <c r="L30" s="197" t="s">
        <v>436</v>
      </c>
      <c r="M30" s="31">
        <v>567</v>
      </c>
      <c r="N30" s="31"/>
      <c r="O30" s="31">
        <v>2013</v>
      </c>
      <c r="P30" s="205" t="s">
        <v>349</v>
      </c>
      <c r="Q30" s="205" t="s">
        <v>333</v>
      </c>
      <c r="R30" s="205" t="s">
        <v>178</v>
      </c>
      <c r="S30" s="205" t="s">
        <v>349</v>
      </c>
      <c r="T30" s="205" t="s">
        <v>177</v>
      </c>
      <c r="U30" s="205" t="s">
        <v>340</v>
      </c>
      <c r="V30" s="205" t="s">
        <v>707</v>
      </c>
      <c r="W30" s="205" t="s">
        <v>352</v>
      </c>
      <c r="X30" s="205"/>
      <c r="Y30" s="205"/>
      <c r="AA30" s="205">
        <v>0.5</v>
      </c>
      <c r="AB30" s="205">
        <v>0.6</v>
      </c>
      <c r="AC30" s="205">
        <v>1</v>
      </c>
      <c r="AD30" s="205">
        <v>1.25</v>
      </c>
      <c r="AE30" s="205">
        <v>1.35</v>
      </c>
      <c r="AF30" s="205">
        <v>1.5</v>
      </c>
      <c r="AG30" s="205">
        <v>3</v>
      </c>
      <c r="AK30" s="205">
        <v>2.06</v>
      </c>
      <c r="AL30" s="30">
        <v>1.8</v>
      </c>
      <c r="AM30" s="211">
        <v>0.16</v>
      </c>
      <c r="AN30" s="205" t="s">
        <v>349</v>
      </c>
    </row>
    <row r="31" spans="1:44">
      <c r="A31" s="281" t="s">
        <v>725</v>
      </c>
      <c r="B31" t="s">
        <v>452</v>
      </c>
      <c r="C31" t="s">
        <v>455</v>
      </c>
      <c r="D31">
        <v>10</v>
      </c>
      <c r="E31">
        <v>1000</v>
      </c>
      <c r="F31">
        <v>0</v>
      </c>
      <c r="G31">
        <v>39575</v>
      </c>
      <c r="H31">
        <v>0.56000000000000005</v>
      </c>
      <c r="K31" s="200" t="s">
        <v>295</v>
      </c>
      <c r="L31" s="200" t="s">
        <v>436</v>
      </c>
      <c r="M31" s="31">
        <v>567</v>
      </c>
      <c r="N31" s="31"/>
      <c r="O31" s="31">
        <v>2013</v>
      </c>
      <c r="P31" s="205" t="s">
        <v>333</v>
      </c>
      <c r="Q31" s="205" t="s">
        <v>333</v>
      </c>
      <c r="R31" s="205" t="s">
        <v>178</v>
      </c>
      <c r="S31" s="205" t="s">
        <v>349</v>
      </c>
      <c r="T31" s="205" t="s">
        <v>177</v>
      </c>
      <c r="U31" s="205" t="s">
        <v>340</v>
      </c>
      <c r="V31" s="205" t="s">
        <v>707</v>
      </c>
      <c r="W31" s="205" t="s">
        <v>352</v>
      </c>
      <c r="X31" s="205"/>
      <c r="Y31" s="205"/>
      <c r="AA31" s="205">
        <v>1</v>
      </c>
      <c r="AB31" s="205">
        <v>1.2</v>
      </c>
      <c r="AC31" s="205">
        <v>2</v>
      </c>
      <c r="AD31" s="205">
        <v>2.5</v>
      </c>
      <c r="AE31" s="205">
        <v>2.7</v>
      </c>
      <c r="AF31" s="205">
        <v>3</v>
      </c>
      <c r="AG31" s="205">
        <v>6</v>
      </c>
      <c r="AK31" s="205">
        <v>2.06</v>
      </c>
      <c r="AL31" s="212">
        <v>1.8</v>
      </c>
      <c r="AM31" s="211">
        <v>0.16</v>
      </c>
      <c r="AN31" s="205"/>
    </row>
    <row r="32" spans="1:44">
      <c r="A32" s="281" t="s">
        <v>725</v>
      </c>
      <c r="B32" t="s">
        <v>453</v>
      </c>
      <c r="C32" s="197" t="s">
        <v>455</v>
      </c>
      <c r="D32">
        <v>10</v>
      </c>
      <c r="E32">
        <v>250</v>
      </c>
      <c r="F32">
        <v>0</v>
      </c>
      <c r="G32">
        <v>31980</v>
      </c>
      <c r="H32">
        <v>0.63</v>
      </c>
      <c r="K32" s="200" t="s">
        <v>295</v>
      </c>
      <c r="L32" s="200" t="s">
        <v>436</v>
      </c>
      <c r="M32" s="31">
        <v>567</v>
      </c>
      <c r="N32" s="31"/>
      <c r="O32" s="31">
        <v>2013</v>
      </c>
      <c r="P32" s="205" t="s">
        <v>333</v>
      </c>
      <c r="Q32" s="205" t="s">
        <v>333</v>
      </c>
      <c r="R32" s="205" t="s">
        <v>178</v>
      </c>
      <c r="S32" s="205" t="s">
        <v>349</v>
      </c>
      <c r="T32" s="205" t="s">
        <v>177</v>
      </c>
      <c r="U32" s="205" t="s">
        <v>340</v>
      </c>
      <c r="V32" s="205" t="s">
        <v>707</v>
      </c>
      <c r="W32" s="205" t="s">
        <v>352</v>
      </c>
      <c r="X32" s="205"/>
      <c r="Y32" s="205"/>
      <c r="AA32" s="205">
        <v>1</v>
      </c>
      <c r="AB32" s="205">
        <v>1.2</v>
      </c>
      <c r="AC32" s="205">
        <v>2</v>
      </c>
      <c r="AD32" s="205">
        <v>2.5</v>
      </c>
      <c r="AE32" s="205">
        <v>2.7</v>
      </c>
      <c r="AF32" s="205">
        <v>3</v>
      </c>
      <c r="AG32" s="205">
        <v>6</v>
      </c>
      <c r="AK32" s="205">
        <v>2.06</v>
      </c>
      <c r="AL32" s="212">
        <v>1.8</v>
      </c>
      <c r="AM32" s="211">
        <v>0.16</v>
      </c>
      <c r="AN32" s="205"/>
    </row>
    <row r="33" spans="1:44">
      <c r="A33" s="281" t="s">
        <v>725</v>
      </c>
      <c r="B33" t="s">
        <v>454</v>
      </c>
      <c r="C33" t="s">
        <v>456</v>
      </c>
      <c r="D33">
        <v>50</v>
      </c>
      <c r="E33">
        <v>1000</v>
      </c>
      <c r="F33">
        <v>0</v>
      </c>
      <c r="G33">
        <v>46380</v>
      </c>
      <c r="H33">
        <v>0.41</v>
      </c>
      <c r="K33" s="200" t="s">
        <v>295</v>
      </c>
      <c r="L33" s="200" t="s">
        <v>436</v>
      </c>
      <c r="M33" s="31">
        <v>567</v>
      </c>
      <c r="N33" s="31"/>
      <c r="O33" s="31">
        <v>2013</v>
      </c>
      <c r="P33" s="205" t="s">
        <v>349</v>
      </c>
      <c r="Q33" s="205" t="s">
        <v>333</v>
      </c>
      <c r="R33" s="205" t="s">
        <v>178</v>
      </c>
      <c r="S33" s="205" t="s">
        <v>349</v>
      </c>
      <c r="T33" s="205" t="s">
        <v>177</v>
      </c>
      <c r="U33" s="205" t="s">
        <v>340</v>
      </c>
      <c r="V33" s="205" t="s">
        <v>707</v>
      </c>
      <c r="W33" s="205" t="s">
        <v>352</v>
      </c>
      <c r="X33" s="205"/>
      <c r="Y33" s="205"/>
      <c r="AA33" s="205">
        <v>0.5</v>
      </c>
      <c r="AB33" s="205">
        <v>0.6</v>
      </c>
      <c r="AC33" s="205">
        <v>1</v>
      </c>
      <c r="AD33" s="205">
        <v>1.25</v>
      </c>
      <c r="AE33" s="205">
        <v>1.35</v>
      </c>
      <c r="AF33" s="205">
        <v>1.5</v>
      </c>
      <c r="AG33" s="205">
        <v>3</v>
      </c>
      <c r="AK33" s="205">
        <v>2.06</v>
      </c>
      <c r="AL33" s="212">
        <v>1.8</v>
      </c>
      <c r="AM33" s="211">
        <v>0.16</v>
      </c>
      <c r="AN33" s="205" t="s">
        <v>349</v>
      </c>
    </row>
    <row r="34" spans="1:44" s="206" customFormat="1">
      <c r="M34" s="31"/>
      <c r="N34" s="31"/>
      <c r="O34" s="31"/>
      <c r="AM34" s="211"/>
      <c r="AR34" s="214"/>
    </row>
    <row r="35" spans="1:44" s="29" customFormat="1">
      <c r="B35" s="29" t="s">
        <v>724</v>
      </c>
      <c r="I35" s="204"/>
      <c r="J35" s="204"/>
      <c r="R35" s="30"/>
      <c r="S35" s="30"/>
      <c r="T35" s="30"/>
      <c r="U35" s="30"/>
      <c r="V35" s="30"/>
      <c r="W35" s="30"/>
      <c r="X35" s="30"/>
      <c r="Y35" s="30"/>
      <c r="Z35" s="205"/>
      <c r="AA35" s="30"/>
      <c r="AB35" s="30"/>
      <c r="AC35" s="30"/>
      <c r="AD35" s="30"/>
      <c r="AE35" s="30"/>
      <c r="AF35" s="30"/>
      <c r="AG35" s="30"/>
      <c r="AH35" s="30"/>
      <c r="AI35" s="30"/>
      <c r="AJ35" s="205"/>
      <c r="AL35" s="30"/>
      <c r="AM35" s="211"/>
      <c r="AR35" s="214"/>
    </row>
    <row r="36" spans="1:44" s="29" customFormat="1">
      <c r="A36" s="281" t="s">
        <v>724</v>
      </c>
      <c r="B36" s="29" t="s">
        <v>247</v>
      </c>
      <c r="C36" s="29" t="s">
        <v>237</v>
      </c>
      <c r="D36" s="29">
        <v>7</v>
      </c>
      <c r="E36" s="29">
        <v>280</v>
      </c>
      <c r="F36" s="29">
        <v>10000</v>
      </c>
      <c r="G36" s="29">
        <v>13200</v>
      </c>
      <c r="H36" s="29">
        <v>0.8</v>
      </c>
      <c r="I36" s="204"/>
      <c r="J36" s="204"/>
      <c r="K36" s="29" t="s">
        <v>295</v>
      </c>
      <c r="L36" s="197" t="s">
        <v>437</v>
      </c>
      <c r="M36" s="29">
        <v>532.9</v>
      </c>
      <c r="N36" s="29">
        <v>2281.6</v>
      </c>
      <c r="O36" s="29">
        <v>2010</v>
      </c>
      <c r="Q36" s="31" t="s">
        <v>333</v>
      </c>
      <c r="R36" s="31" t="s">
        <v>334</v>
      </c>
      <c r="S36" s="31" t="s">
        <v>335</v>
      </c>
      <c r="T36" s="31" t="s">
        <v>336</v>
      </c>
      <c r="U36" s="31" t="s">
        <v>337</v>
      </c>
      <c r="V36" s="31" t="s">
        <v>338</v>
      </c>
      <c r="W36" s="31" t="s">
        <v>339</v>
      </c>
      <c r="X36" s="31" t="s">
        <v>340</v>
      </c>
      <c r="Y36" s="31" t="s">
        <v>341</v>
      </c>
      <c r="Z36" s="31"/>
      <c r="AA36" s="31">
        <v>1</v>
      </c>
      <c r="AB36" s="31">
        <v>1.07</v>
      </c>
      <c r="AC36" s="31">
        <v>1.1000000000000001</v>
      </c>
      <c r="AD36" s="31">
        <v>1.3</v>
      </c>
      <c r="AE36" s="31">
        <v>1.3</v>
      </c>
      <c r="AF36" s="31">
        <v>1.5</v>
      </c>
      <c r="AG36" s="31">
        <v>1.55</v>
      </c>
      <c r="AH36" s="31">
        <v>1.65</v>
      </c>
      <c r="AI36" s="31">
        <v>1.7</v>
      </c>
      <c r="AJ36" s="31"/>
      <c r="AK36" s="31">
        <v>2.06</v>
      </c>
      <c r="AL36" s="212">
        <v>1.8</v>
      </c>
      <c r="AM36" s="31">
        <v>0.16</v>
      </c>
      <c r="AR36" s="214"/>
    </row>
    <row r="37" spans="1:44" s="206" customFormat="1">
      <c r="A37" s="27"/>
      <c r="Q37" s="31"/>
      <c r="R37" s="31"/>
      <c r="S37" s="31"/>
      <c r="T37" s="31"/>
      <c r="U37" s="31"/>
      <c r="V37" s="31"/>
      <c r="W37" s="31"/>
      <c r="X37" s="31"/>
      <c r="Y37" s="31"/>
      <c r="Z37" s="31"/>
      <c r="AA37" s="31"/>
      <c r="AB37" s="31"/>
      <c r="AC37" s="31"/>
      <c r="AD37" s="31"/>
      <c r="AE37" s="31"/>
      <c r="AF37" s="31"/>
      <c r="AG37" s="31"/>
      <c r="AH37" s="31"/>
      <c r="AI37" s="31"/>
      <c r="AJ37" s="31"/>
      <c r="AK37" s="31"/>
      <c r="AL37" s="31"/>
      <c r="AM37" s="211"/>
      <c r="AR37" s="214"/>
    </row>
    <row r="38" spans="1:44">
      <c r="B38" t="s">
        <v>768</v>
      </c>
      <c r="P38" s="205"/>
    </row>
    <row r="39" spans="1:44">
      <c r="A39" t="s">
        <v>498</v>
      </c>
      <c r="B39" t="s">
        <v>457</v>
      </c>
      <c r="C39" t="s">
        <v>461</v>
      </c>
      <c r="D39">
        <v>250</v>
      </c>
      <c r="E39">
        <v>10000</v>
      </c>
      <c r="F39">
        <v>0</v>
      </c>
      <c r="G39">
        <v>10660</v>
      </c>
      <c r="H39">
        <v>0.41</v>
      </c>
      <c r="K39" s="200" t="s">
        <v>295</v>
      </c>
      <c r="L39" s="200" t="s">
        <v>436</v>
      </c>
      <c r="M39" s="31">
        <v>567</v>
      </c>
      <c r="N39" s="31"/>
      <c r="O39" s="31">
        <v>2013</v>
      </c>
      <c r="P39" s="205" t="s">
        <v>333</v>
      </c>
      <c r="Q39" s="205" t="s">
        <v>333</v>
      </c>
      <c r="R39" s="205" t="s">
        <v>178</v>
      </c>
      <c r="S39" s="205" t="s">
        <v>349</v>
      </c>
      <c r="T39" s="205" t="s">
        <v>177</v>
      </c>
      <c r="U39" s="205" t="s">
        <v>340</v>
      </c>
      <c r="V39" s="205" t="s">
        <v>707</v>
      </c>
      <c r="W39" s="205" t="s">
        <v>352</v>
      </c>
      <c r="X39" s="205"/>
      <c r="Y39" s="205"/>
      <c r="AA39" s="205">
        <v>1</v>
      </c>
      <c r="AB39" s="205">
        <v>1.2</v>
      </c>
      <c r="AC39" s="205">
        <v>2</v>
      </c>
      <c r="AD39" s="205">
        <v>2.5</v>
      </c>
      <c r="AE39" s="205">
        <v>2.7</v>
      </c>
      <c r="AF39" s="205">
        <v>3</v>
      </c>
      <c r="AG39" s="205">
        <v>6</v>
      </c>
      <c r="AH39" s="200"/>
      <c r="AI39" s="200"/>
      <c r="AK39" s="205">
        <v>3.3</v>
      </c>
      <c r="AL39" s="27">
        <v>1.75</v>
      </c>
      <c r="AM39" s="200">
        <v>0</v>
      </c>
      <c r="AN39" s="200"/>
    </row>
    <row r="40" spans="1:44">
      <c r="A40" s="200" t="s">
        <v>498</v>
      </c>
      <c r="B40" t="s">
        <v>458</v>
      </c>
      <c r="C40" s="200" t="s">
        <v>461</v>
      </c>
      <c r="D40">
        <v>250</v>
      </c>
      <c r="E40">
        <v>10000</v>
      </c>
      <c r="F40">
        <v>0</v>
      </c>
      <c r="G40">
        <v>28350</v>
      </c>
      <c r="H40">
        <v>0.40500000000000003</v>
      </c>
      <c r="K40" s="200" t="s">
        <v>295</v>
      </c>
      <c r="L40" s="200" t="s">
        <v>436</v>
      </c>
      <c r="M40" s="31">
        <v>567</v>
      </c>
      <c r="N40" s="31"/>
      <c r="O40" s="31">
        <v>2013</v>
      </c>
      <c r="P40" s="205" t="s">
        <v>333</v>
      </c>
      <c r="Q40" s="205" t="s">
        <v>333</v>
      </c>
      <c r="R40" s="205" t="s">
        <v>178</v>
      </c>
      <c r="S40" s="205" t="s">
        <v>349</v>
      </c>
      <c r="T40" s="205" t="s">
        <v>177</v>
      </c>
      <c r="U40" s="205" t="s">
        <v>340</v>
      </c>
      <c r="V40" s="205" t="s">
        <v>707</v>
      </c>
      <c r="W40" s="205" t="s">
        <v>352</v>
      </c>
      <c r="X40" s="205"/>
      <c r="Y40" s="205"/>
      <c r="AA40" s="205">
        <v>1</v>
      </c>
      <c r="AB40" s="205">
        <v>1.2</v>
      </c>
      <c r="AC40" s="205">
        <v>2</v>
      </c>
      <c r="AD40" s="205">
        <v>2.5</v>
      </c>
      <c r="AE40" s="205">
        <v>2.7</v>
      </c>
      <c r="AF40" s="205">
        <v>3</v>
      </c>
      <c r="AG40" s="205">
        <v>6</v>
      </c>
      <c r="AH40" s="200"/>
      <c r="AI40" s="200"/>
      <c r="AK40" s="205">
        <v>3.3</v>
      </c>
      <c r="AL40" s="27">
        <v>1.75</v>
      </c>
      <c r="AM40" s="200">
        <v>0</v>
      </c>
      <c r="AN40" s="200"/>
    </row>
    <row r="41" spans="1:44">
      <c r="A41" s="200" t="s">
        <v>498</v>
      </c>
      <c r="B41" t="s">
        <v>459</v>
      </c>
      <c r="C41" s="200" t="s">
        <v>461</v>
      </c>
      <c r="D41">
        <v>100</v>
      </c>
      <c r="E41">
        <v>10000</v>
      </c>
      <c r="F41">
        <v>0</v>
      </c>
      <c r="G41">
        <v>2835</v>
      </c>
      <c r="H41">
        <v>0.76</v>
      </c>
      <c r="K41" s="200" t="s">
        <v>295</v>
      </c>
      <c r="L41" s="200" t="s">
        <v>436</v>
      </c>
      <c r="M41" s="31">
        <v>567</v>
      </c>
      <c r="N41" s="31"/>
      <c r="O41" s="31">
        <v>2013</v>
      </c>
      <c r="P41" s="205" t="s">
        <v>333</v>
      </c>
      <c r="Q41" s="205" t="s">
        <v>333</v>
      </c>
      <c r="R41" s="205" t="s">
        <v>178</v>
      </c>
      <c r="S41" s="205" t="s">
        <v>349</v>
      </c>
      <c r="T41" s="205" t="s">
        <v>177</v>
      </c>
      <c r="U41" s="205" t="s">
        <v>340</v>
      </c>
      <c r="V41" s="205" t="s">
        <v>707</v>
      </c>
      <c r="W41" s="205" t="s">
        <v>352</v>
      </c>
      <c r="X41" s="205"/>
      <c r="Y41" s="205"/>
      <c r="AA41" s="205">
        <v>1</v>
      </c>
      <c r="AB41" s="205">
        <v>1.2</v>
      </c>
      <c r="AC41" s="205">
        <v>2</v>
      </c>
      <c r="AD41" s="205">
        <v>2.5</v>
      </c>
      <c r="AE41" s="205">
        <v>2.7</v>
      </c>
      <c r="AF41" s="205">
        <v>3</v>
      </c>
      <c r="AG41" s="205">
        <v>6</v>
      </c>
      <c r="AH41" s="200"/>
      <c r="AI41" s="200"/>
      <c r="AK41" s="205">
        <v>3.3</v>
      </c>
      <c r="AL41" s="27">
        <v>1.75</v>
      </c>
      <c r="AM41" s="200">
        <v>0</v>
      </c>
      <c r="AN41" s="200"/>
    </row>
    <row r="42" spans="1:44">
      <c r="A42" s="200" t="s">
        <v>498</v>
      </c>
      <c r="B42" t="s">
        <v>460</v>
      </c>
      <c r="C42" s="200" t="s">
        <v>461</v>
      </c>
      <c r="D42">
        <v>100</v>
      </c>
      <c r="E42">
        <v>4000</v>
      </c>
      <c r="F42">
        <v>0</v>
      </c>
      <c r="G42">
        <v>1588</v>
      </c>
      <c r="H42">
        <v>0.75</v>
      </c>
      <c r="K42" s="200" t="s">
        <v>295</v>
      </c>
      <c r="L42" s="200" t="s">
        <v>436</v>
      </c>
      <c r="M42" s="31">
        <v>567</v>
      </c>
      <c r="N42" s="31"/>
      <c r="O42" s="31">
        <v>2013</v>
      </c>
      <c r="P42" s="205" t="s">
        <v>333</v>
      </c>
      <c r="Q42" s="205" t="s">
        <v>333</v>
      </c>
      <c r="R42" s="205" t="s">
        <v>178</v>
      </c>
      <c r="S42" s="205" t="s">
        <v>349</v>
      </c>
      <c r="T42" s="205" t="s">
        <v>177</v>
      </c>
      <c r="U42" s="205" t="s">
        <v>340</v>
      </c>
      <c r="V42" s="205" t="s">
        <v>707</v>
      </c>
      <c r="W42" s="205" t="s">
        <v>352</v>
      </c>
      <c r="X42" s="205"/>
      <c r="Y42" s="205"/>
      <c r="AA42" s="205">
        <v>1</v>
      </c>
      <c r="AB42" s="205">
        <v>1.2</v>
      </c>
      <c r="AC42" s="205">
        <v>2</v>
      </c>
      <c r="AD42" s="205">
        <v>2.5</v>
      </c>
      <c r="AE42" s="205">
        <v>2.7</v>
      </c>
      <c r="AF42" s="205">
        <v>3</v>
      </c>
      <c r="AG42" s="205">
        <v>6</v>
      </c>
      <c r="AH42" s="200"/>
      <c r="AI42" s="200"/>
      <c r="AK42" s="205">
        <v>3.3</v>
      </c>
      <c r="AL42" s="27">
        <v>1.75</v>
      </c>
      <c r="AM42" s="200">
        <v>0</v>
      </c>
      <c r="AN42" s="200"/>
    </row>
    <row r="43" spans="1:44" s="29" customFormat="1">
      <c r="A43" s="27"/>
      <c r="I43" s="204"/>
      <c r="J43" s="204"/>
      <c r="Q43" s="31"/>
      <c r="R43" s="31"/>
      <c r="S43" s="31"/>
      <c r="T43" s="31"/>
      <c r="U43" s="31"/>
      <c r="V43" s="31"/>
      <c r="W43" s="31"/>
      <c r="X43" s="31"/>
      <c r="Y43" s="31"/>
      <c r="Z43" s="31"/>
      <c r="AA43" s="31"/>
      <c r="AB43" s="31"/>
      <c r="AC43" s="31"/>
      <c r="AD43" s="31"/>
      <c r="AE43" s="31"/>
      <c r="AF43" s="31"/>
      <c r="AG43" s="31"/>
      <c r="AH43" s="31"/>
      <c r="AI43" s="31"/>
      <c r="AJ43" s="31"/>
      <c r="AL43" s="30"/>
      <c r="AM43" s="30"/>
      <c r="AR43" s="214"/>
    </row>
    <row r="44" spans="1:44">
      <c r="B44" t="s">
        <v>289</v>
      </c>
      <c r="P44" s="205"/>
    </row>
    <row r="45" spans="1:44">
      <c r="A45" t="s">
        <v>289</v>
      </c>
      <c r="B45" t="s">
        <v>750</v>
      </c>
      <c r="C45" t="s">
        <v>463</v>
      </c>
      <c r="D45">
        <v>20</v>
      </c>
      <c r="E45">
        <v>200</v>
      </c>
      <c r="F45">
        <v>0</v>
      </c>
      <c r="G45">
        <v>4400</v>
      </c>
      <c r="H45">
        <v>0.35</v>
      </c>
      <c r="K45" s="200" t="s">
        <v>295</v>
      </c>
      <c r="L45" s="200" t="s">
        <v>436</v>
      </c>
      <c r="M45" s="31">
        <v>567</v>
      </c>
      <c r="N45" s="31"/>
      <c r="O45" s="31">
        <v>2013</v>
      </c>
      <c r="P45" s="205" t="s">
        <v>349</v>
      </c>
      <c r="Q45" s="205" t="s">
        <v>333</v>
      </c>
      <c r="R45" s="205" t="s">
        <v>178</v>
      </c>
      <c r="S45" s="205" t="s">
        <v>349</v>
      </c>
      <c r="T45" s="205" t="s">
        <v>177</v>
      </c>
      <c r="U45" s="205" t="s">
        <v>340</v>
      </c>
      <c r="V45" s="205" t="s">
        <v>707</v>
      </c>
      <c r="W45" s="205" t="s">
        <v>352</v>
      </c>
      <c r="X45" s="205"/>
      <c r="Y45" s="205"/>
      <c r="AA45" s="205">
        <v>0.5</v>
      </c>
      <c r="AB45" s="205">
        <v>0.6</v>
      </c>
      <c r="AC45" s="205">
        <v>1</v>
      </c>
      <c r="AD45" s="205">
        <v>1.25</v>
      </c>
      <c r="AE45" s="205">
        <v>1.35</v>
      </c>
      <c r="AF45" s="205">
        <v>1.5</v>
      </c>
      <c r="AG45" s="205">
        <v>3</v>
      </c>
      <c r="AK45" s="205">
        <v>2.06</v>
      </c>
      <c r="AL45" s="212">
        <v>1.64</v>
      </c>
      <c r="AM45" s="30">
        <v>0.5</v>
      </c>
      <c r="AN45" s="205" t="s">
        <v>349</v>
      </c>
    </row>
    <row r="46" spans="1:44">
      <c r="A46" s="200" t="s">
        <v>289</v>
      </c>
      <c r="B46" t="s">
        <v>751</v>
      </c>
      <c r="C46" t="s">
        <v>464</v>
      </c>
      <c r="D46">
        <v>200</v>
      </c>
      <c r="E46">
        <v>3000</v>
      </c>
      <c r="F46">
        <v>10.522</v>
      </c>
      <c r="G46">
        <v>0.1003</v>
      </c>
      <c r="H46">
        <v>4.3029999999999999E-2</v>
      </c>
      <c r="I46" s="205">
        <v>0</v>
      </c>
      <c r="J46" s="205">
        <v>0</v>
      </c>
      <c r="K46" s="200" t="s">
        <v>551</v>
      </c>
      <c r="L46" s="200" t="s">
        <v>436</v>
      </c>
      <c r="M46" s="31">
        <v>567</v>
      </c>
      <c r="N46" s="31"/>
      <c r="O46" s="31">
        <v>2013</v>
      </c>
      <c r="P46" s="205" t="s">
        <v>349</v>
      </c>
      <c r="Q46" s="205" t="s">
        <v>333</v>
      </c>
      <c r="R46" s="205" t="s">
        <v>178</v>
      </c>
      <c r="S46" s="205" t="s">
        <v>349</v>
      </c>
      <c r="T46" s="205" t="s">
        <v>177</v>
      </c>
      <c r="U46" s="205" t="s">
        <v>340</v>
      </c>
      <c r="V46" s="205" t="s">
        <v>707</v>
      </c>
      <c r="W46" s="205" t="s">
        <v>352</v>
      </c>
      <c r="X46" s="205"/>
      <c r="Y46" s="205"/>
      <c r="AA46" s="205">
        <v>0.5</v>
      </c>
      <c r="AB46" s="205">
        <v>0.6</v>
      </c>
      <c r="AC46" s="205">
        <v>1</v>
      </c>
      <c r="AD46" s="205">
        <v>1.25</v>
      </c>
      <c r="AE46" s="205">
        <v>1.35</v>
      </c>
      <c r="AF46" s="205">
        <v>1.5</v>
      </c>
      <c r="AG46" s="205">
        <v>3</v>
      </c>
      <c r="AK46" s="205">
        <v>2.06</v>
      </c>
      <c r="AL46" s="212">
        <v>1.64</v>
      </c>
      <c r="AM46" s="211">
        <v>0.5</v>
      </c>
      <c r="AN46" s="205" t="s">
        <v>349</v>
      </c>
    </row>
    <row r="47" spans="1:44">
      <c r="A47" s="200" t="s">
        <v>289</v>
      </c>
      <c r="B47" t="s">
        <v>752</v>
      </c>
      <c r="C47" t="s">
        <v>465</v>
      </c>
      <c r="D47">
        <v>100</v>
      </c>
      <c r="E47">
        <v>1400</v>
      </c>
      <c r="F47">
        <v>0</v>
      </c>
      <c r="G47">
        <v>1520</v>
      </c>
      <c r="H47">
        <v>0.8</v>
      </c>
      <c r="K47" s="200" t="s">
        <v>295</v>
      </c>
      <c r="L47" s="200" t="s">
        <v>436</v>
      </c>
      <c r="M47" s="31">
        <v>567</v>
      </c>
      <c r="N47" s="31"/>
      <c r="O47" s="31">
        <v>2013</v>
      </c>
      <c r="P47" s="205" t="s">
        <v>349</v>
      </c>
      <c r="Q47" s="205" t="s">
        <v>333</v>
      </c>
      <c r="R47" s="205" t="s">
        <v>178</v>
      </c>
      <c r="S47" s="205" t="s">
        <v>349</v>
      </c>
      <c r="T47" s="205" t="s">
        <v>177</v>
      </c>
      <c r="U47" s="205" t="s">
        <v>340</v>
      </c>
      <c r="V47" s="205" t="s">
        <v>707</v>
      </c>
      <c r="W47" s="205" t="s">
        <v>352</v>
      </c>
      <c r="X47" s="205"/>
      <c r="Y47" s="205"/>
      <c r="AA47" s="205">
        <v>0.5</v>
      </c>
      <c r="AB47" s="205">
        <v>0.6</v>
      </c>
      <c r="AC47" s="205">
        <v>1</v>
      </c>
      <c r="AD47" s="205">
        <v>1.25</v>
      </c>
      <c r="AE47" s="205">
        <v>1.35</v>
      </c>
      <c r="AF47" s="205">
        <v>1.5</v>
      </c>
      <c r="AG47" s="205">
        <v>3</v>
      </c>
      <c r="AK47" s="205">
        <v>2.06</v>
      </c>
      <c r="AL47" s="212">
        <v>1.64</v>
      </c>
      <c r="AM47" s="211">
        <v>0.5</v>
      </c>
      <c r="AN47" s="205" t="s">
        <v>349</v>
      </c>
    </row>
    <row r="48" spans="1:44">
      <c r="A48" s="200" t="s">
        <v>289</v>
      </c>
      <c r="B48" t="s">
        <v>753</v>
      </c>
      <c r="C48" t="s">
        <v>465</v>
      </c>
      <c r="D48">
        <v>60</v>
      </c>
      <c r="E48">
        <v>480</v>
      </c>
      <c r="F48">
        <v>0</v>
      </c>
      <c r="G48">
        <v>32000</v>
      </c>
      <c r="H48">
        <v>0.49</v>
      </c>
      <c r="K48" s="200" t="s">
        <v>295</v>
      </c>
      <c r="L48" s="200" t="s">
        <v>436</v>
      </c>
      <c r="M48" s="31">
        <v>567</v>
      </c>
      <c r="N48" s="31"/>
      <c r="O48" s="31">
        <v>2013</v>
      </c>
      <c r="P48" s="205" t="s">
        <v>349</v>
      </c>
      <c r="Q48" s="205" t="s">
        <v>333</v>
      </c>
      <c r="R48" s="205" t="s">
        <v>178</v>
      </c>
      <c r="S48" s="205" t="s">
        <v>349</v>
      </c>
      <c r="T48" s="205" t="s">
        <v>177</v>
      </c>
      <c r="U48" s="205" t="s">
        <v>340</v>
      </c>
      <c r="V48" s="205" t="s">
        <v>707</v>
      </c>
      <c r="W48" s="205" t="s">
        <v>352</v>
      </c>
      <c r="X48" s="205"/>
      <c r="Y48" s="205"/>
      <c r="AA48" s="205">
        <v>0.5</v>
      </c>
      <c r="AB48" s="205">
        <v>0.6</v>
      </c>
      <c r="AC48" s="205">
        <v>1</v>
      </c>
      <c r="AD48" s="205">
        <v>1.25</v>
      </c>
      <c r="AE48" s="205">
        <v>1.35</v>
      </c>
      <c r="AF48" s="205">
        <v>1.5</v>
      </c>
      <c r="AG48" s="205">
        <v>3</v>
      </c>
      <c r="AH48" s="200"/>
      <c r="AI48" s="200"/>
      <c r="AK48" s="205">
        <v>2.06</v>
      </c>
      <c r="AL48" s="212">
        <v>1.64</v>
      </c>
      <c r="AM48" s="211">
        <v>0.5</v>
      </c>
      <c r="AN48" s="205" t="s">
        <v>349</v>
      </c>
    </row>
    <row r="49" spans="1:44">
      <c r="A49" s="200" t="s">
        <v>289</v>
      </c>
      <c r="B49" t="s">
        <v>754</v>
      </c>
      <c r="C49" t="s">
        <v>466</v>
      </c>
      <c r="D49">
        <v>30</v>
      </c>
      <c r="E49">
        <v>3000</v>
      </c>
      <c r="F49">
        <v>8.5132999999999992</v>
      </c>
      <c r="G49">
        <v>0.98470000000000002</v>
      </c>
      <c r="H49">
        <v>-5.6099999999999997E-2</v>
      </c>
      <c r="I49" s="205">
        <v>0</v>
      </c>
      <c r="J49" s="205">
        <v>0</v>
      </c>
      <c r="K49" s="201" t="s">
        <v>551</v>
      </c>
      <c r="L49" s="200" t="s">
        <v>436</v>
      </c>
      <c r="M49" s="31">
        <v>567</v>
      </c>
      <c r="N49" s="31"/>
      <c r="O49" s="31">
        <v>2013</v>
      </c>
      <c r="P49" s="205" t="s">
        <v>349</v>
      </c>
      <c r="Q49" s="205" t="s">
        <v>333</v>
      </c>
      <c r="R49" s="205" t="s">
        <v>178</v>
      </c>
      <c r="S49" s="205" t="s">
        <v>349</v>
      </c>
      <c r="T49" s="205" t="s">
        <v>177</v>
      </c>
      <c r="U49" s="205" t="s">
        <v>340</v>
      </c>
      <c r="V49" s="205" t="s">
        <v>707</v>
      </c>
      <c r="W49" s="205" t="s">
        <v>352</v>
      </c>
      <c r="X49" s="205"/>
      <c r="Y49" s="205"/>
      <c r="AA49" s="205">
        <v>0.5</v>
      </c>
      <c r="AB49" s="205">
        <v>0.6</v>
      </c>
      <c r="AC49" s="205">
        <v>1</v>
      </c>
      <c r="AD49" s="205">
        <v>1.25</v>
      </c>
      <c r="AE49" s="205">
        <v>1.35</v>
      </c>
      <c r="AF49" s="205">
        <v>1.5</v>
      </c>
      <c r="AG49" s="205">
        <v>3</v>
      </c>
      <c r="AH49" s="200"/>
      <c r="AI49" s="200"/>
      <c r="AK49" s="205">
        <v>2.06</v>
      </c>
      <c r="AL49" s="212">
        <v>1.64</v>
      </c>
      <c r="AM49" s="211">
        <v>1</v>
      </c>
      <c r="AN49" s="205" t="s">
        <v>349</v>
      </c>
    </row>
    <row r="50" spans="1:44" s="345" customFormat="1">
      <c r="A50" s="345" t="s">
        <v>289</v>
      </c>
      <c r="B50" s="345" t="s">
        <v>1096</v>
      </c>
      <c r="C50" s="345" t="s">
        <v>1097</v>
      </c>
      <c r="D50" s="345">
        <v>21</v>
      </c>
      <c r="E50" s="345">
        <v>58</v>
      </c>
      <c r="F50" s="345">
        <v>0</v>
      </c>
      <c r="G50" s="345">
        <v>64317.32916703284</v>
      </c>
      <c r="H50" s="345">
        <v>0.27979837638876615</v>
      </c>
      <c r="K50" s="345" t="s">
        <v>295</v>
      </c>
      <c r="L50" s="345" t="s">
        <v>1098</v>
      </c>
      <c r="M50" s="31"/>
      <c r="N50" s="31"/>
      <c r="O50" s="31">
        <v>1994</v>
      </c>
      <c r="Q50" s="345" t="s">
        <v>333</v>
      </c>
      <c r="R50" s="31" t="s">
        <v>336</v>
      </c>
      <c r="AA50" s="345">
        <v>1</v>
      </c>
      <c r="AB50" s="345">
        <v>1.75</v>
      </c>
      <c r="AK50" s="345">
        <v>2.06</v>
      </c>
      <c r="AL50" s="345">
        <v>1.64</v>
      </c>
      <c r="AM50" s="345">
        <v>0.5</v>
      </c>
      <c r="AN50" s="345" t="s">
        <v>1099</v>
      </c>
    </row>
    <row r="51" spans="1:44" s="345" customFormat="1">
      <c r="A51" s="345" t="s">
        <v>289</v>
      </c>
      <c r="B51" s="345" t="s">
        <v>1100</v>
      </c>
      <c r="C51" s="345" t="s">
        <v>1097</v>
      </c>
      <c r="D51" s="345">
        <v>58</v>
      </c>
      <c r="E51" s="345">
        <v>135</v>
      </c>
      <c r="F51" s="345">
        <v>0</v>
      </c>
      <c r="G51" s="345">
        <v>47038.99696834122</v>
      </c>
      <c r="H51" s="345">
        <v>0.3563691516583764</v>
      </c>
      <c r="K51" s="345" t="s">
        <v>295</v>
      </c>
      <c r="L51" s="345" t="s">
        <v>1098</v>
      </c>
      <c r="M51" s="31"/>
      <c r="N51" s="31"/>
      <c r="O51" s="31">
        <v>1994</v>
      </c>
      <c r="Q51" s="345" t="s">
        <v>333</v>
      </c>
      <c r="R51" s="31" t="s">
        <v>336</v>
      </c>
      <c r="AA51" s="345">
        <v>1</v>
      </c>
      <c r="AB51" s="345">
        <v>1.75</v>
      </c>
      <c r="AK51" s="345">
        <v>2.06</v>
      </c>
      <c r="AL51" s="345">
        <v>1.64</v>
      </c>
      <c r="AM51" s="345">
        <v>0.5</v>
      </c>
      <c r="AN51" s="345" t="s">
        <v>1101</v>
      </c>
    </row>
    <row r="52" spans="1:44" s="345" customFormat="1">
      <c r="A52" s="345" t="s">
        <v>289</v>
      </c>
      <c r="B52" s="345" t="s">
        <v>1102</v>
      </c>
      <c r="C52" s="345" t="s">
        <v>1097</v>
      </c>
      <c r="D52" s="345">
        <v>118</v>
      </c>
      <c r="E52" s="345">
        <v>350</v>
      </c>
      <c r="F52" s="345">
        <v>0</v>
      </c>
      <c r="G52" s="345">
        <v>45048.151158472952</v>
      </c>
      <c r="H52" s="345">
        <v>0.34885155620092356</v>
      </c>
      <c r="K52" s="345" t="s">
        <v>295</v>
      </c>
      <c r="L52" s="345" t="s">
        <v>1098</v>
      </c>
      <c r="M52" s="31"/>
      <c r="N52" s="31"/>
      <c r="O52" s="31">
        <v>1994</v>
      </c>
      <c r="Q52" s="345" t="s">
        <v>333</v>
      </c>
      <c r="R52" s="31" t="s">
        <v>336</v>
      </c>
      <c r="AA52" s="345">
        <v>1</v>
      </c>
      <c r="AB52" s="345">
        <v>1.75</v>
      </c>
      <c r="AK52" s="31">
        <v>2.06</v>
      </c>
      <c r="AL52" s="345">
        <v>1.64</v>
      </c>
      <c r="AM52" s="345">
        <v>0.5</v>
      </c>
      <c r="AN52" s="345" t="s">
        <v>1103</v>
      </c>
    </row>
    <row r="53" spans="1:44" s="345" customFormat="1">
      <c r="A53" s="345" t="s">
        <v>289</v>
      </c>
      <c r="B53" s="345" t="s">
        <v>1104</v>
      </c>
      <c r="C53" s="345" t="s">
        <v>1097</v>
      </c>
      <c r="D53" s="345">
        <v>350</v>
      </c>
      <c r="E53" s="345">
        <v>1200</v>
      </c>
      <c r="F53" s="345">
        <v>0</v>
      </c>
      <c r="G53" s="345">
        <v>5627.9600808820123</v>
      </c>
      <c r="H53" s="345">
        <v>0.76527199402401247</v>
      </c>
      <c r="K53" s="345" t="s">
        <v>295</v>
      </c>
      <c r="L53" s="345" t="s">
        <v>1098</v>
      </c>
      <c r="M53" s="31"/>
      <c r="N53" s="31"/>
      <c r="O53" s="31">
        <v>1994</v>
      </c>
      <c r="Q53" s="345" t="s">
        <v>333</v>
      </c>
      <c r="R53" s="31" t="s">
        <v>336</v>
      </c>
      <c r="AA53" s="345">
        <v>1</v>
      </c>
      <c r="AB53" s="345">
        <v>1.75</v>
      </c>
      <c r="AK53" s="31">
        <v>2.06</v>
      </c>
      <c r="AL53" s="345">
        <v>1.64</v>
      </c>
      <c r="AM53" s="345">
        <v>0.5</v>
      </c>
      <c r="AN53" s="345" t="s">
        <v>1105</v>
      </c>
    </row>
    <row r="54" spans="1:44" s="29" customFormat="1">
      <c r="A54" s="29" t="s">
        <v>289</v>
      </c>
      <c r="B54" s="29" t="s">
        <v>756</v>
      </c>
      <c r="C54" s="29" t="s">
        <v>248</v>
      </c>
      <c r="D54" s="29">
        <v>11</v>
      </c>
      <c r="E54" s="29">
        <v>180</v>
      </c>
      <c r="F54" s="29">
        <v>15000</v>
      </c>
      <c r="G54" s="29">
        <v>10500</v>
      </c>
      <c r="H54" s="29">
        <v>0.9</v>
      </c>
      <c r="I54" s="204"/>
      <c r="J54" s="204"/>
      <c r="K54" s="29" t="s">
        <v>295</v>
      </c>
      <c r="L54" s="197" t="s">
        <v>437</v>
      </c>
      <c r="M54" s="29">
        <v>532.9</v>
      </c>
      <c r="N54" s="29">
        <v>2281.6</v>
      </c>
      <c r="O54" s="29">
        <v>2010</v>
      </c>
      <c r="Q54" s="31" t="s">
        <v>333</v>
      </c>
      <c r="R54" s="31" t="s">
        <v>334</v>
      </c>
      <c r="S54" s="31" t="s">
        <v>335</v>
      </c>
      <c r="T54" s="31" t="s">
        <v>336</v>
      </c>
      <c r="U54" s="31" t="s">
        <v>337</v>
      </c>
      <c r="V54" s="31" t="s">
        <v>338</v>
      </c>
      <c r="W54" s="31" t="s">
        <v>339</v>
      </c>
      <c r="X54" s="31" t="s">
        <v>340</v>
      </c>
      <c r="Y54" s="31" t="s">
        <v>341</v>
      </c>
      <c r="Z54" s="31"/>
      <c r="AA54" s="31">
        <v>1</v>
      </c>
      <c r="AB54" s="31">
        <v>1.07</v>
      </c>
      <c r="AC54" s="31">
        <v>1.1000000000000001</v>
      </c>
      <c r="AD54" s="31">
        <v>1.3</v>
      </c>
      <c r="AE54" s="31">
        <v>1.3</v>
      </c>
      <c r="AF54" s="31">
        <v>1.5</v>
      </c>
      <c r="AG54" s="31">
        <v>1.55</v>
      </c>
      <c r="AH54" s="31">
        <v>1.65</v>
      </c>
      <c r="AI54" s="31">
        <v>1.7</v>
      </c>
      <c r="AJ54" s="31"/>
      <c r="AK54" s="31">
        <v>2.06</v>
      </c>
      <c r="AL54" s="30">
        <v>1.64</v>
      </c>
      <c r="AM54" s="211">
        <v>0.5</v>
      </c>
      <c r="AR54" s="214"/>
    </row>
    <row r="55" spans="1:44" s="29" customFormat="1">
      <c r="A55" s="29" t="s">
        <v>289</v>
      </c>
      <c r="B55" s="29" t="s">
        <v>757</v>
      </c>
      <c r="C55" s="29" t="s">
        <v>249</v>
      </c>
      <c r="D55" s="29">
        <v>3</v>
      </c>
      <c r="E55" s="29">
        <v>20</v>
      </c>
      <c r="F55" s="29">
        <v>10000</v>
      </c>
      <c r="G55" s="29">
        <v>7900</v>
      </c>
      <c r="H55" s="29">
        <v>0.5</v>
      </c>
      <c r="I55" s="204"/>
      <c r="J55" s="204"/>
      <c r="K55" s="29" t="s">
        <v>295</v>
      </c>
      <c r="L55" s="197" t="s">
        <v>437</v>
      </c>
      <c r="M55" s="29">
        <v>532.9</v>
      </c>
      <c r="N55" s="29">
        <v>2281.6</v>
      </c>
      <c r="O55" s="29">
        <v>2010</v>
      </c>
      <c r="Q55" s="31" t="s">
        <v>333</v>
      </c>
      <c r="R55" s="31" t="s">
        <v>334</v>
      </c>
      <c r="S55" s="31" t="s">
        <v>335</v>
      </c>
      <c r="T55" s="31" t="s">
        <v>336</v>
      </c>
      <c r="U55" s="31" t="s">
        <v>337</v>
      </c>
      <c r="V55" s="31" t="s">
        <v>338</v>
      </c>
      <c r="W55" s="31" t="s">
        <v>339</v>
      </c>
      <c r="X55" s="31" t="s">
        <v>340</v>
      </c>
      <c r="Y55" s="31" t="s">
        <v>341</v>
      </c>
      <c r="Z55" s="31"/>
      <c r="AA55" s="31">
        <v>1</v>
      </c>
      <c r="AB55" s="31">
        <v>1.07</v>
      </c>
      <c r="AC55" s="31">
        <v>1.1000000000000001</v>
      </c>
      <c r="AD55" s="31">
        <v>1.3</v>
      </c>
      <c r="AE55" s="31">
        <v>1.3</v>
      </c>
      <c r="AF55" s="31">
        <v>1.5</v>
      </c>
      <c r="AG55" s="31">
        <v>1.55</v>
      </c>
      <c r="AH55" s="31">
        <v>1.65</v>
      </c>
      <c r="AI55" s="31">
        <v>1.7</v>
      </c>
      <c r="AJ55" s="31"/>
      <c r="AK55" s="31">
        <v>2.06</v>
      </c>
      <c r="AL55" s="30">
        <v>1.64</v>
      </c>
      <c r="AM55" s="211">
        <v>0.5</v>
      </c>
      <c r="AR55" s="214"/>
    </row>
    <row r="56" spans="1:44" s="29" customFormat="1">
      <c r="A56" s="29" t="s">
        <v>289</v>
      </c>
      <c r="B56" s="29" t="s">
        <v>755</v>
      </c>
      <c r="C56" s="29" t="s">
        <v>250</v>
      </c>
      <c r="D56" s="29">
        <v>400</v>
      </c>
      <c r="E56" s="29">
        <v>4000</v>
      </c>
      <c r="F56" s="29">
        <v>410000</v>
      </c>
      <c r="G56" s="29">
        <v>2200</v>
      </c>
      <c r="H56" s="29">
        <v>0.7</v>
      </c>
      <c r="I56" s="204"/>
      <c r="J56" s="204"/>
      <c r="K56" s="29" t="s">
        <v>295</v>
      </c>
      <c r="L56" s="197" t="s">
        <v>437</v>
      </c>
      <c r="M56" s="29">
        <v>532.9</v>
      </c>
      <c r="N56" s="29">
        <v>2281.6</v>
      </c>
      <c r="O56" s="29">
        <v>2010</v>
      </c>
      <c r="Q56" s="31" t="s">
        <v>333</v>
      </c>
      <c r="R56" s="31" t="s">
        <v>334</v>
      </c>
      <c r="S56" s="31" t="s">
        <v>335</v>
      </c>
      <c r="T56" s="31" t="s">
        <v>336</v>
      </c>
      <c r="U56" s="31" t="s">
        <v>337</v>
      </c>
      <c r="V56" s="31" t="s">
        <v>338</v>
      </c>
      <c r="W56" s="31" t="s">
        <v>339</v>
      </c>
      <c r="X56" s="31" t="s">
        <v>340</v>
      </c>
      <c r="Y56" s="31" t="s">
        <v>341</v>
      </c>
      <c r="Z56" s="31"/>
      <c r="AA56" s="31">
        <v>1</v>
      </c>
      <c r="AB56" s="31">
        <v>1.07</v>
      </c>
      <c r="AC56" s="31">
        <v>1.1000000000000001</v>
      </c>
      <c r="AD56" s="31">
        <v>1.3</v>
      </c>
      <c r="AE56" s="31">
        <v>1.3</v>
      </c>
      <c r="AF56" s="31">
        <v>1.5</v>
      </c>
      <c r="AG56" s="31">
        <v>1.55</v>
      </c>
      <c r="AH56" s="31">
        <v>1.65</v>
      </c>
      <c r="AI56" s="31">
        <v>1.7</v>
      </c>
      <c r="AJ56" s="31"/>
      <c r="AK56" s="31">
        <v>2.06</v>
      </c>
      <c r="AL56" s="30">
        <v>1.64</v>
      </c>
      <c r="AM56" s="211">
        <v>1</v>
      </c>
      <c r="AR56" s="214"/>
    </row>
    <row r="57" spans="1:44" s="29" customFormat="1">
      <c r="I57" s="204"/>
      <c r="J57" s="204"/>
      <c r="R57" s="30"/>
      <c r="S57" s="30"/>
      <c r="T57" s="30"/>
      <c r="U57" s="30"/>
      <c r="V57" s="30"/>
      <c r="W57" s="30"/>
      <c r="X57" s="30"/>
      <c r="Y57" s="30"/>
      <c r="Z57" s="205"/>
      <c r="AA57" s="30"/>
      <c r="AB57" s="30"/>
      <c r="AC57" s="30"/>
      <c r="AD57" s="30"/>
      <c r="AE57" s="30"/>
      <c r="AF57" s="30"/>
      <c r="AG57" s="30"/>
      <c r="AH57" s="30"/>
      <c r="AI57" s="30"/>
      <c r="AJ57" s="205"/>
      <c r="AL57" s="30"/>
      <c r="AM57" s="30"/>
      <c r="AR57" s="214"/>
    </row>
    <row r="58" spans="1:44">
      <c r="B58" t="s">
        <v>485</v>
      </c>
      <c r="P58" s="205"/>
    </row>
    <row r="59" spans="1:44">
      <c r="A59" s="200" t="s">
        <v>485</v>
      </c>
      <c r="B59" t="s">
        <v>467</v>
      </c>
      <c r="C59" t="s">
        <v>471</v>
      </c>
      <c r="D59">
        <v>5000</v>
      </c>
      <c r="E59">
        <v>2000000</v>
      </c>
      <c r="F59">
        <v>10.383800000000001</v>
      </c>
      <c r="G59">
        <v>-0.43809999999999999</v>
      </c>
      <c r="H59">
        <v>5.5563000000000001E-2</v>
      </c>
      <c r="I59" s="205">
        <v>0</v>
      </c>
      <c r="J59" s="205">
        <v>0</v>
      </c>
      <c r="K59" s="201" t="s">
        <v>551</v>
      </c>
      <c r="L59" s="200" t="s">
        <v>436</v>
      </c>
      <c r="M59" s="31">
        <v>567</v>
      </c>
      <c r="N59" s="31"/>
      <c r="O59" s="31">
        <v>2013</v>
      </c>
      <c r="P59" s="205" t="s">
        <v>333</v>
      </c>
      <c r="Q59" s="205" t="s">
        <v>333</v>
      </c>
      <c r="R59" s="205" t="s">
        <v>178</v>
      </c>
      <c r="S59" s="205" t="s">
        <v>349</v>
      </c>
      <c r="T59" s="205" t="s">
        <v>177</v>
      </c>
      <c r="U59" s="205" t="s">
        <v>340</v>
      </c>
      <c r="V59" s="205" t="s">
        <v>707</v>
      </c>
      <c r="W59" s="205" t="s">
        <v>352</v>
      </c>
      <c r="X59" s="205"/>
      <c r="Y59" s="205"/>
      <c r="AA59" s="205">
        <v>1</v>
      </c>
      <c r="AB59" s="205">
        <v>1.2</v>
      </c>
      <c r="AC59" s="205">
        <v>2</v>
      </c>
      <c r="AD59" s="205">
        <v>2.5</v>
      </c>
      <c r="AE59" s="205">
        <v>2.7</v>
      </c>
      <c r="AF59" s="205">
        <v>3</v>
      </c>
      <c r="AG59" s="205">
        <v>6</v>
      </c>
      <c r="AH59" s="200"/>
      <c r="AI59" s="200"/>
      <c r="AK59" s="205">
        <v>2.3199999999999998</v>
      </c>
      <c r="AL59" s="200">
        <v>1.9</v>
      </c>
      <c r="AM59" s="200">
        <v>0.1</v>
      </c>
      <c r="AN59" s="200" t="s">
        <v>709</v>
      </c>
    </row>
    <row r="60" spans="1:44">
      <c r="A60" s="200" t="s">
        <v>485</v>
      </c>
      <c r="B60" t="s">
        <v>468</v>
      </c>
      <c r="C60" s="200" t="s">
        <v>471</v>
      </c>
      <c r="D60">
        <v>200</v>
      </c>
      <c r="E60">
        <v>100000</v>
      </c>
      <c r="F60">
        <v>9.3484999999999996</v>
      </c>
      <c r="G60">
        <v>-0.78920000000000001</v>
      </c>
      <c r="H60">
        <v>8.4870000000000001E-2</v>
      </c>
      <c r="I60" s="205">
        <v>0</v>
      </c>
      <c r="J60" s="205">
        <v>0</v>
      </c>
      <c r="K60" s="201" t="s">
        <v>551</v>
      </c>
      <c r="L60" s="200" t="s">
        <v>436</v>
      </c>
      <c r="M60" s="31">
        <v>567</v>
      </c>
      <c r="N60" s="31"/>
      <c r="O60" s="31">
        <v>2013</v>
      </c>
      <c r="P60" s="205" t="s">
        <v>333</v>
      </c>
      <c r="Q60" s="205" t="s">
        <v>333</v>
      </c>
      <c r="R60" s="205" t="s">
        <v>178</v>
      </c>
      <c r="S60" s="205" t="s">
        <v>349</v>
      </c>
      <c r="T60" s="205" t="s">
        <v>177</v>
      </c>
      <c r="U60" s="205" t="s">
        <v>340</v>
      </c>
      <c r="V60" s="205" t="s">
        <v>707</v>
      </c>
      <c r="W60" s="205" t="s">
        <v>352</v>
      </c>
      <c r="X60" s="205"/>
      <c r="Y60" s="205"/>
      <c r="AA60" s="205">
        <v>1</v>
      </c>
      <c r="AB60" s="205">
        <v>1.2</v>
      </c>
      <c r="AC60" s="205">
        <v>2</v>
      </c>
      <c r="AD60" s="205">
        <v>2.5</v>
      </c>
      <c r="AE60" s="205">
        <v>2.7</v>
      </c>
      <c r="AF60" s="205">
        <v>3</v>
      </c>
      <c r="AG60" s="205">
        <v>6</v>
      </c>
      <c r="AH60" s="200"/>
      <c r="AI60" s="200"/>
      <c r="AK60" s="200" t="s">
        <v>160</v>
      </c>
      <c r="AL60" s="200">
        <v>1.9</v>
      </c>
      <c r="AM60" s="200">
        <v>0</v>
      </c>
      <c r="AN60" s="205" t="s">
        <v>710</v>
      </c>
    </row>
    <row r="61" spans="1:44">
      <c r="A61" s="200" t="s">
        <v>485</v>
      </c>
      <c r="B61" t="s">
        <v>469</v>
      </c>
      <c r="C61" s="200" t="s">
        <v>471</v>
      </c>
      <c r="D61">
        <v>10000</v>
      </c>
      <c r="E61">
        <v>2000000</v>
      </c>
      <c r="F61">
        <v>11.8058</v>
      </c>
      <c r="G61">
        <v>-0.53</v>
      </c>
      <c r="H61">
        <v>5.4539999999999998E-2</v>
      </c>
      <c r="I61" s="205">
        <v>0</v>
      </c>
      <c r="J61" s="205">
        <v>0</v>
      </c>
      <c r="K61" s="201" t="s">
        <v>551</v>
      </c>
      <c r="L61" s="200" t="s">
        <v>436</v>
      </c>
      <c r="M61" s="31">
        <v>567</v>
      </c>
      <c r="N61" s="31"/>
      <c r="O61" s="31">
        <v>2013</v>
      </c>
      <c r="P61" s="205" t="s">
        <v>333</v>
      </c>
      <c r="Q61" s="205" t="s">
        <v>333</v>
      </c>
      <c r="R61" s="205" t="s">
        <v>178</v>
      </c>
      <c r="S61" s="205" t="s">
        <v>349</v>
      </c>
      <c r="T61" s="205" t="s">
        <v>177</v>
      </c>
      <c r="U61" s="205" t="s">
        <v>340</v>
      </c>
      <c r="V61" s="205" t="s">
        <v>707</v>
      </c>
      <c r="W61" s="205" t="s">
        <v>352</v>
      </c>
      <c r="X61" s="205"/>
      <c r="Y61" s="205"/>
      <c r="AA61" s="205">
        <v>1</v>
      </c>
      <c r="AB61" s="205">
        <v>1.2</v>
      </c>
      <c r="AC61" s="205">
        <v>2</v>
      </c>
      <c r="AD61" s="205">
        <v>2.5</v>
      </c>
      <c r="AE61" s="205">
        <v>2.7</v>
      </c>
      <c r="AF61" s="205">
        <v>3</v>
      </c>
      <c r="AG61" s="205">
        <v>6</v>
      </c>
      <c r="AH61" s="200"/>
      <c r="AI61" s="200"/>
      <c r="AK61" s="200" t="s">
        <v>160</v>
      </c>
      <c r="AL61" s="200">
        <v>1.9</v>
      </c>
      <c r="AM61" s="200">
        <v>0.1</v>
      </c>
      <c r="AN61" s="205" t="s">
        <v>711</v>
      </c>
    </row>
    <row r="62" spans="1:44">
      <c r="A62" s="200" t="s">
        <v>485</v>
      </c>
      <c r="B62" t="s">
        <v>470</v>
      </c>
      <c r="C62" s="200" t="s">
        <v>471</v>
      </c>
      <c r="D62">
        <v>2000</v>
      </c>
      <c r="E62">
        <v>20000</v>
      </c>
      <c r="F62">
        <v>9.7413000000000007</v>
      </c>
      <c r="G62">
        <v>-0.3281</v>
      </c>
      <c r="H62">
        <v>0.05</v>
      </c>
      <c r="I62" s="205">
        <v>0</v>
      </c>
      <c r="J62" s="205">
        <v>0</v>
      </c>
      <c r="K62" s="201" t="s">
        <v>551</v>
      </c>
      <c r="L62" s="200" t="s">
        <v>436</v>
      </c>
      <c r="M62" s="31">
        <v>567</v>
      </c>
      <c r="N62" s="31"/>
      <c r="O62" s="31">
        <v>2013</v>
      </c>
      <c r="P62" s="205" t="s">
        <v>333</v>
      </c>
      <c r="Q62" s="205" t="s">
        <v>333</v>
      </c>
      <c r="R62" s="205" t="s">
        <v>178</v>
      </c>
      <c r="S62" s="205" t="s">
        <v>349</v>
      </c>
      <c r="T62" s="205" t="s">
        <v>177</v>
      </c>
      <c r="U62" s="205" t="s">
        <v>340</v>
      </c>
      <c r="V62" s="205" t="s">
        <v>707</v>
      </c>
      <c r="W62" s="205" t="s">
        <v>352</v>
      </c>
      <c r="X62" s="205"/>
      <c r="Y62" s="205"/>
      <c r="AA62" s="205">
        <v>1</v>
      </c>
      <c r="AB62" s="205">
        <v>1.2</v>
      </c>
      <c r="AC62" s="205">
        <v>2</v>
      </c>
      <c r="AD62" s="205">
        <v>2.5</v>
      </c>
      <c r="AE62" s="205">
        <v>2.7</v>
      </c>
      <c r="AF62" s="205">
        <v>3</v>
      </c>
      <c r="AG62" s="205">
        <v>6</v>
      </c>
      <c r="AH62" s="200"/>
      <c r="AI62" s="200"/>
      <c r="AK62" s="200" t="s">
        <v>160</v>
      </c>
      <c r="AL62" s="200">
        <v>1.9</v>
      </c>
      <c r="AM62" s="27">
        <v>0.1</v>
      </c>
      <c r="AN62" s="205" t="s">
        <v>712</v>
      </c>
    </row>
    <row r="63" spans="1:44" s="206" customFormat="1">
      <c r="M63" s="31"/>
      <c r="N63" s="31"/>
      <c r="O63" s="31"/>
      <c r="AR63" s="214"/>
    </row>
    <row r="64" spans="1:44">
      <c r="B64" t="s">
        <v>726</v>
      </c>
      <c r="P64" s="205"/>
    </row>
    <row r="65" spans="1:44">
      <c r="A65" s="281" t="s">
        <v>726</v>
      </c>
      <c r="B65" t="s">
        <v>472</v>
      </c>
      <c r="C65" t="s">
        <v>476</v>
      </c>
      <c r="D65">
        <v>100</v>
      </c>
      <c r="E65">
        <v>8000</v>
      </c>
      <c r="F65">
        <v>0</v>
      </c>
      <c r="G65">
        <v>4604</v>
      </c>
      <c r="H65">
        <v>0.53</v>
      </c>
      <c r="K65" s="200" t="s">
        <v>295</v>
      </c>
      <c r="L65" s="200" t="s">
        <v>436</v>
      </c>
      <c r="M65" s="31">
        <v>567</v>
      </c>
      <c r="N65" s="31"/>
      <c r="O65" s="31">
        <v>2013</v>
      </c>
      <c r="P65" s="205" t="s">
        <v>333</v>
      </c>
      <c r="Q65" s="205" t="s">
        <v>333</v>
      </c>
      <c r="R65" s="205" t="s">
        <v>178</v>
      </c>
      <c r="S65" s="205" t="s">
        <v>349</v>
      </c>
      <c r="T65" s="205" t="s">
        <v>177</v>
      </c>
      <c r="U65" s="205" t="s">
        <v>340</v>
      </c>
      <c r="V65" s="205" t="s">
        <v>707</v>
      </c>
      <c r="W65" s="205" t="s">
        <v>352</v>
      </c>
      <c r="X65" s="205"/>
      <c r="Y65" s="205"/>
      <c r="AA65" s="205">
        <v>1</v>
      </c>
      <c r="AB65" s="205">
        <v>1.2</v>
      </c>
      <c r="AC65" s="205">
        <v>2</v>
      </c>
      <c r="AD65" s="205">
        <v>2.5</v>
      </c>
      <c r="AE65" s="205">
        <v>2.7</v>
      </c>
      <c r="AF65" s="205">
        <v>3</v>
      </c>
      <c r="AG65" s="205">
        <v>6</v>
      </c>
      <c r="AH65" s="200"/>
      <c r="AI65" s="200"/>
      <c r="AK65" s="205">
        <v>2.4500000000000002</v>
      </c>
      <c r="AL65" s="212">
        <v>2.09</v>
      </c>
      <c r="AM65" s="211">
        <v>0.25</v>
      </c>
      <c r="AN65" s="200"/>
    </row>
    <row r="66" spans="1:44">
      <c r="A66" s="281" t="s">
        <v>726</v>
      </c>
      <c r="B66" t="s">
        <v>473</v>
      </c>
      <c r="C66" s="200" t="s">
        <v>476</v>
      </c>
      <c r="D66">
        <v>100</v>
      </c>
      <c r="E66">
        <v>8000</v>
      </c>
      <c r="F66">
        <v>0</v>
      </c>
      <c r="G66">
        <v>6464</v>
      </c>
      <c r="H66">
        <v>0.55000000000000004</v>
      </c>
      <c r="K66" s="200" t="s">
        <v>295</v>
      </c>
      <c r="L66" s="200" t="s">
        <v>436</v>
      </c>
      <c r="M66" s="31">
        <v>567</v>
      </c>
      <c r="N66" s="31"/>
      <c r="O66" s="31">
        <v>2013</v>
      </c>
      <c r="P66" s="205" t="s">
        <v>333</v>
      </c>
      <c r="Q66" s="205" t="s">
        <v>333</v>
      </c>
      <c r="R66" s="205" t="s">
        <v>178</v>
      </c>
      <c r="S66" s="205" t="s">
        <v>349</v>
      </c>
      <c r="T66" s="205" t="s">
        <v>177</v>
      </c>
      <c r="U66" s="205" t="s">
        <v>340</v>
      </c>
      <c r="V66" s="205" t="s">
        <v>707</v>
      </c>
      <c r="W66" s="205" t="s">
        <v>352</v>
      </c>
      <c r="X66" s="205"/>
      <c r="Y66" s="205"/>
      <c r="AA66" s="205">
        <v>1</v>
      </c>
      <c r="AB66" s="205">
        <v>1.2</v>
      </c>
      <c r="AC66" s="205">
        <v>2</v>
      </c>
      <c r="AD66" s="205">
        <v>2.5</v>
      </c>
      <c r="AE66" s="205">
        <v>2.7</v>
      </c>
      <c r="AF66" s="205">
        <v>3</v>
      </c>
      <c r="AG66" s="205">
        <v>6</v>
      </c>
      <c r="AH66" s="200"/>
      <c r="AI66" s="200"/>
      <c r="AK66" s="205">
        <v>2.4500000000000002</v>
      </c>
      <c r="AL66" s="212">
        <v>2.09</v>
      </c>
      <c r="AM66" s="211">
        <v>0.25</v>
      </c>
      <c r="AN66" s="200"/>
    </row>
    <row r="67" spans="1:44">
      <c r="A67" s="281" t="s">
        <v>726</v>
      </c>
      <c r="B67" t="s">
        <v>474</v>
      </c>
      <c r="C67" s="200" t="s">
        <v>476</v>
      </c>
      <c r="D67">
        <v>150</v>
      </c>
      <c r="E67">
        <v>8000</v>
      </c>
      <c r="F67">
        <v>8.0368999999999993</v>
      </c>
      <c r="G67">
        <v>0.69940000000000002</v>
      </c>
      <c r="H67">
        <v>-4.0000000000000003E-5</v>
      </c>
      <c r="I67" s="205">
        <v>0</v>
      </c>
      <c r="J67" s="205">
        <v>0</v>
      </c>
      <c r="K67" s="201" t="s">
        <v>551</v>
      </c>
      <c r="L67" s="200" t="s">
        <v>436</v>
      </c>
      <c r="M67" s="31">
        <v>567</v>
      </c>
      <c r="N67" s="31"/>
      <c r="O67" s="31">
        <v>2013</v>
      </c>
      <c r="P67" s="205" t="s">
        <v>333</v>
      </c>
      <c r="Q67" s="205" t="s">
        <v>333</v>
      </c>
      <c r="R67" s="205" t="s">
        <v>178</v>
      </c>
      <c r="S67" s="205" t="s">
        <v>349</v>
      </c>
      <c r="T67" s="205" t="s">
        <v>177</v>
      </c>
      <c r="U67" s="205" t="s">
        <v>340</v>
      </c>
      <c r="V67" s="205" t="s">
        <v>707</v>
      </c>
      <c r="W67" s="205" t="s">
        <v>352</v>
      </c>
      <c r="X67" s="205"/>
      <c r="Y67" s="205"/>
      <c r="AA67" s="205">
        <v>1</v>
      </c>
      <c r="AB67" s="205">
        <v>1.2</v>
      </c>
      <c r="AC67" s="205">
        <v>2</v>
      </c>
      <c r="AD67" s="205">
        <v>2.5</v>
      </c>
      <c r="AE67" s="205">
        <v>2.7</v>
      </c>
      <c r="AF67" s="205">
        <v>3</v>
      </c>
      <c r="AG67" s="205">
        <v>6</v>
      </c>
      <c r="AH67" s="200"/>
      <c r="AI67" s="200"/>
      <c r="AK67" s="205">
        <v>2.4500000000000002</v>
      </c>
      <c r="AL67" s="212">
        <v>2.09</v>
      </c>
      <c r="AM67" s="211">
        <v>0.25</v>
      </c>
      <c r="AN67" s="200"/>
    </row>
    <row r="68" spans="1:44">
      <c r="A68" s="281" t="s">
        <v>726</v>
      </c>
      <c r="B68" t="s">
        <v>475</v>
      </c>
      <c r="C68" s="200" t="s">
        <v>476</v>
      </c>
      <c r="D68">
        <v>150</v>
      </c>
      <c r="E68">
        <v>4000</v>
      </c>
      <c r="F68">
        <v>0</v>
      </c>
      <c r="G68">
        <v>13700</v>
      </c>
      <c r="H68">
        <v>0.68</v>
      </c>
      <c r="K68" s="200" t="s">
        <v>295</v>
      </c>
      <c r="L68" s="200" t="s">
        <v>436</v>
      </c>
      <c r="M68" s="31">
        <v>567</v>
      </c>
      <c r="N68" s="31"/>
      <c r="O68" s="31">
        <v>2013</v>
      </c>
      <c r="P68" s="205" t="s">
        <v>493</v>
      </c>
      <c r="Q68" s="205" t="s">
        <v>708</v>
      </c>
      <c r="R68" s="205"/>
      <c r="S68" s="205"/>
      <c r="T68" s="205"/>
      <c r="U68" s="205"/>
      <c r="V68" s="205"/>
      <c r="W68" s="205"/>
      <c r="X68" s="205"/>
      <c r="Y68" s="205"/>
      <c r="AA68" s="205">
        <v>1</v>
      </c>
      <c r="AB68" s="205"/>
      <c r="AC68" s="205"/>
      <c r="AD68" s="205"/>
      <c r="AE68" s="205"/>
      <c r="AF68" s="205"/>
      <c r="AG68" s="205"/>
      <c r="AH68" s="200"/>
      <c r="AI68" s="200"/>
      <c r="AK68" s="205">
        <v>2.4500000000000002</v>
      </c>
      <c r="AL68" s="200">
        <v>2.09</v>
      </c>
      <c r="AM68" s="211">
        <v>0.25</v>
      </c>
      <c r="AN68" s="200" t="s">
        <v>493</v>
      </c>
    </row>
    <row r="70" spans="1:44" s="29" customFormat="1">
      <c r="B70" s="29" t="s">
        <v>727</v>
      </c>
      <c r="I70" s="204"/>
      <c r="J70" s="204"/>
      <c r="R70" s="30"/>
      <c r="S70" s="30"/>
      <c r="T70" s="30"/>
      <c r="U70" s="30"/>
      <c r="V70" s="30"/>
      <c r="W70" s="30"/>
      <c r="X70" s="30"/>
      <c r="Y70" s="30"/>
      <c r="Z70" s="205"/>
      <c r="AA70" s="30"/>
      <c r="AB70" s="30"/>
      <c r="AC70" s="30"/>
      <c r="AD70" s="30"/>
      <c r="AE70" s="30"/>
      <c r="AF70" s="30"/>
      <c r="AG70" s="30"/>
      <c r="AH70" s="30"/>
      <c r="AI70" s="30"/>
      <c r="AJ70" s="205"/>
      <c r="AL70" s="30"/>
      <c r="AM70" s="30"/>
      <c r="AR70" s="214"/>
    </row>
    <row r="71" spans="1:44" s="29" customFormat="1">
      <c r="A71" s="281" t="s">
        <v>727</v>
      </c>
      <c r="B71" s="29" t="s">
        <v>251</v>
      </c>
      <c r="C71" s="29" t="s">
        <v>249</v>
      </c>
      <c r="D71" s="29">
        <v>11</v>
      </c>
      <c r="E71" s="29">
        <v>640</v>
      </c>
      <c r="F71" s="29">
        <v>330</v>
      </c>
      <c r="G71" s="29">
        <v>36000</v>
      </c>
      <c r="H71" s="29">
        <v>0.55000000000000004</v>
      </c>
      <c r="I71" s="204"/>
      <c r="J71" s="204"/>
      <c r="K71" s="29" t="s">
        <v>295</v>
      </c>
      <c r="L71" s="197" t="s">
        <v>437</v>
      </c>
      <c r="M71" s="29">
        <v>532.9</v>
      </c>
      <c r="N71" s="29">
        <v>2281.6</v>
      </c>
      <c r="O71" s="29">
        <v>2010</v>
      </c>
      <c r="Q71" s="31" t="s">
        <v>333</v>
      </c>
      <c r="R71" s="31" t="s">
        <v>334</v>
      </c>
      <c r="S71" s="31" t="s">
        <v>335</v>
      </c>
      <c r="T71" s="31" t="s">
        <v>336</v>
      </c>
      <c r="U71" s="31" t="s">
        <v>337</v>
      </c>
      <c r="V71" s="31" t="s">
        <v>338</v>
      </c>
      <c r="W71" s="31" t="s">
        <v>339</v>
      </c>
      <c r="X71" s="31" t="s">
        <v>340</v>
      </c>
      <c r="Y71" s="31" t="s">
        <v>341</v>
      </c>
      <c r="Z71" s="31"/>
      <c r="AA71" s="31">
        <v>1</v>
      </c>
      <c r="AB71" s="31">
        <v>1.07</v>
      </c>
      <c r="AC71" s="31">
        <v>1.1000000000000001</v>
      </c>
      <c r="AD71" s="31">
        <v>1.3</v>
      </c>
      <c r="AE71" s="31">
        <v>1.3</v>
      </c>
      <c r="AF71" s="31">
        <v>1.5</v>
      </c>
      <c r="AG71" s="31">
        <v>1.55</v>
      </c>
      <c r="AH71" s="31">
        <v>1.65</v>
      </c>
      <c r="AI71" s="31">
        <v>1.7</v>
      </c>
      <c r="AJ71" s="31"/>
      <c r="AK71" s="31">
        <v>2.4500000000000002</v>
      </c>
      <c r="AL71" s="212">
        <v>2.09</v>
      </c>
      <c r="AM71" s="211">
        <v>0.25</v>
      </c>
      <c r="AR71" s="214"/>
    </row>
    <row r="72" spans="1:44" s="29" customFormat="1">
      <c r="A72" s="281" t="s">
        <v>727</v>
      </c>
      <c r="B72" s="29" t="s">
        <v>252</v>
      </c>
      <c r="C72" s="29" t="s">
        <v>249</v>
      </c>
      <c r="D72" s="29">
        <v>0.5</v>
      </c>
      <c r="E72" s="29">
        <v>12</v>
      </c>
      <c r="F72" s="29">
        <v>88000</v>
      </c>
      <c r="G72" s="29">
        <v>65500</v>
      </c>
      <c r="H72" s="29">
        <v>0.75</v>
      </c>
      <c r="I72" s="204"/>
      <c r="J72" s="204"/>
      <c r="K72" s="29" t="s">
        <v>295</v>
      </c>
      <c r="L72" s="197" t="s">
        <v>437</v>
      </c>
      <c r="M72" s="29">
        <v>532.9</v>
      </c>
      <c r="N72" s="29">
        <v>2281.6</v>
      </c>
      <c r="O72" s="29">
        <v>2010</v>
      </c>
      <c r="P72" s="29" t="s">
        <v>253</v>
      </c>
      <c r="Q72" s="31" t="s">
        <v>333</v>
      </c>
      <c r="R72" s="31" t="s">
        <v>334</v>
      </c>
      <c r="S72" s="31" t="s">
        <v>335</v>
      </c>
      <c r="T72" s="31" t="s">
        <v>336</v>
      </c>
      <c r="U72" s="31" t="s">
        <v>337</v>
      </c>
      <c r="V72" s="31" t="s">
        <v>338</v>
      </c>
      <c r="W72" s="31" t="s">
        <v>339</v>
      </c>
      <c r="X72" s="31" t="s">
        <v>340</v>
      </c>
      <c r="Y72" s="31" t="s">
        <v>341</v>
      </c>
      <c r="Z72" s="31"/>
      <c r="AA72" s="30">
        <v>0.76923076923076916</v>
      </c>
      <c r="AB72" s="30">
        <v>0.82307692307692315</v>
      </c>
      <c r="AC72" s="30">
        <v>0.84615384615384615</v>
      </c>
      <c r="AD72" s="30">
        <v>1</v>
      </c>
      <c r="AE72" s="30">
        <v>1</v>
      </c>
      <c r="AF72" s="30">
        <v>1.1538461538461537</v>
      </c>
      <c r="AG72" s="30">
        <v>1.1923076923076923</v>
      </c>
      <c r="AH72" s="30">
        <v>1.2692307692307692</v>
      </c>
      <c r="AI72" s="30">
        <v>1.3076923076923077</v>
      </c>
      <c r="AJ72" s="205"/>
      <c r="AK72" s="31">
        <v>2.4500000000000002</v>
      </c>
      <c r="AL72" s="212">
        <v>2.09</v>
      </c>
      <c r="AM72" s="211">
        <v>0.25</v>
      </c>
      <c r="AR72" s="214"/>
    </row>
    <row r="73" spans="1:44" s="29" customFormat="1">
      <c r="A73" s="281" t="s">
        <v>727</v>
      </c>
      <c r="B73" s="29" t="s">
        <v>301</v>
      </c>
      <c r="C73" s="29" t="s">
        <v>303</v>
      </c>
      <c r="D73" s="29">
        <v>30</v>
      </c>
      <c r="E73" s="29">
        <v>300</v>
      </c>
      <c r="F73" s="29">
        <v>0</v>
      </c>
      <c r="G73" s="29">
        <v>13719.930074035568</v>
      </c>
      <c r="H73" s="29">
        <v>0.38021124171160631</v>
      </c>
      <c r="I73" s="204"/>
      <c r="J73" s="204"/>
      <c r="K73" s="29" t="s">
        <v>295</v>
      </c>
      <c r="L73" s="29" t="s">
        <v>462</v>
      </c>
      <c r="M73" s="29">
        <v>400</v>
      </c>
      <c r="O73" s="29">
        <v>2004</v>
      </c>
      <c r="Q73" s="31" t="s">
        <v>333</v>
      </c>
      <c r="R73" s="31" t="s">
        <v>350</v>
      </c>
      <c r="S73" s="31" t="s">
        <v>349</v>
      </c>
      <c r="T73" s="31" t="s">
        <v>351</v>
      </c>
      <c r="U73" s="31" t="s">
        <v>352</v>
      </c>
      <c r="V73" s="30"/>
      <c r="W73" s="30"/>
      <c r="X73" s="30"/>
      <c r="Y73" s="30"/>
      <c r="Z73" s="205"/>
      <c r="AA73" s="30">
        <v>1</v>
      </c>
      <c r="AB73" s="30">
        <f>5.6/2.9</f>
        <v>1.9310344827586206</v>
      </c>
      <c r="AC73" s="30">
        <f>9.3/2.9</f>
        <v>3.2068965517241383</v>
      </c>
      <c r="AD73" s="30">
        <f>11/2.9</f>
        <v>3.7931034482758621</v>
      </c>
      <c r="AE73" s="30">
        <f>26/2.9</f>
        <v>8.9655172413793114</v>
      </c>
      <c r="AF73" s="30"/>
      <c r="AG73" s="30"/>
      <c r="AH73" s="30"/>
      <c r="AI73" s="30"/>
      <c r="AJ73" s="205"/>
      <c r="AK73" s="29">
        <v>2.9</v>
      </c>
      <c r="AL73" s="212">
        <v>2.09</v>
      </c>
      <c r="AM73" s="211">
        <v>0.25</v>
      </c>
      <c r="AR73" s="214"/>
    </row>
    <row r="74" spans="1:44" s="29" customFormat="1">
      <c r="I74" s="204"/>
      <c r="J74" s="204"/>
      <c r="R74" s="30"/>
      <c r="S74" s="30"/>
      <c r="T74" s="30"/>
      <c r="U74" s="30"/>
      <c r="V74" s="30"/>
      <c r="W74" s="30"/>
      <c r="X74" s="30"/>
      <c r="Y74" s="30"/>
      <c r="Z74" s="205"/>
      <c r="AA74" s="30"/>
      <c r="AB74" s="30"/>
      <c r="AC74" s="30"/>
      <c r="AD74" s="30"/>
      <c r="AE74" s="30"/>
      <c r="AF74" s="30"/>
      <c r="AG74" s="30"/>
      <c r="AH74" s="30"/>
      <c r="AI74" s="30"/>
      <c r="AJ74" s="205"/>
      <c r="AL74" s="30"/>
      <c r="AM74" s="30"/>
      <c r="AR74" s="214"/>
    </row>
    <row r="75" spans="1:44">
      <c r="B75" t="s">
        <v>564</v>
      </c>
      <c r="Q75" s="205"/>
      <c r="R75" s="205"/>
      <c r="S75" s="205"/>
      <c r="T75" s="205"/>
      <c r="U75" s="205"/>
      <c r="V75" s="205"/>
      <c r="W75" s="205"/>
      <c r="X75" s="205"/>
      <c r="Y75" s="205"/>
      <c r="AA75" s="205"/>
      <c r="AB75" s="205"/>
      <c r="AC75" s="205"/>
      <c r="AD75" s="205"/>
      <c r="AE75" s="205"/>
      <c r="AF75" s="205"/>
      <c r="AG75" s="205"/>
    </row>
    <row r="76" spans="1:44">
      <c r="A76" t="s">
        <v>564</v>
      </c>
      <c r="B76" t="s">
        <v>565</v>
      </c>
      <c r="C76" t="s">
        <v>567</v>
      </c>
      <c r="D76">
        <v>150</v>
      </c>
      <c r="E76">
        <v>12000</v>
      </c>
      <c r="F76">
        <v>11.0991</v>
      </c>
      <c r="G76">
        <v>-0.35799999999999998</v>
      </c>
      <c r="H76">
        <v>5.8529999999999999E-2</v>
      </c>
      <c r="I76" s="204">
        <v>0</v>
      </c>
      <c r="J76" s="204">
        <v>0</v>
      </c>
      <c r="K76" s="201" t="s">
        <v>551</v>
      </c>
      <c r="L76" s="201" t="s">
        <v>436</v>
      </c>
      <c r="M76" s="205">
        <v>567</v>
      </c>
      <c r="N76" s="205"/>
      <c r="O76" s="205">
        <v>2013</v>
      </c>
      <c r="P76" s="205" t="s">
        <v>349</v>
      </c>
      <c r="Q76" s="205" t="s">
        <v>333</v>
      </c>
      <c r="R76" s="205" t="s">
        <v>178</v>
      </c>
      <c r="S76" s="205" t="s">
        <v>349</v>
      </c>
      <c r="T76" s="205" t="s">
        <v>177</v>
      </c>
      <c r="U76" s="205" t="s">
        <v>340</v>
      </c>
      <c r="V76" s="205" t="s">
        <v>707</v>
      </c>
      <c r="W76" s="205" t="s">
        <v>352</v>
      </c>
      <c r="X76" s="205"/>
      <c r="Y76" s="205"/>
      <c r="AA76" s="205">
        <v>0.5</v>
      </c>
      <c r="AB76" s="205">
        <v>0.6</v>
      </c>
      <c r="AC76" s="205">
        <v>1</v>
      </c>
      <c r="AD76" s="205">
        <v>1.25</v>
      </c>
      <c r="AE76" s="205">
        <v>1.35</v>
      </c>
      <c r="AF76" s="205">
        <v>1.5</v>
      </c>
      <c r="AG76" s="205">
        <v>3</v>
      </c>
      <c r="AH76" s="201"/>
      <c r="AI76" s="201"/>
      <c r="AK76" s="201" t="s">
        <v>160</v>
      </c>
      <c r="AL76" s="201">
        <v>2.0499999999999998</v>
      </c>
      <c r="AM76" s="201">
        <v>0.1</v>
      </c>
      <c r="AN76" s="201" t="s">
        <v>349</v>
      </c>
    </row>
    <row r="77" spans="1:44">
      <c r="A77" s="201" t="s">
        <v>564</v>
      </c>
      <c r="B77" t="s">
        <v>566</v>
      </c>
      <c r="C77" s="201" t="s">
        <v>567</v>
      </c>
      <c r="D77" s="201">
        <v>150</v>
      </c>
      <c r="E77" s="201">
        <v>12000</v>
      </c>
      <c r="F77">
        <v>10.980700000000001</v>
      </c>
      <c r="G77">
        <v>-0.44669999999999999</v>
      </c>
      <c r="H77">
        <v>6.1359999999999998E-2</v>
      </c>
      <c r="I77" s="204">
        <v>0</v>
      </c>
      <c r="J77" s="204">
        <v>0</v>
      </c>
      <c r="K77" s="201" t="s">
        <v>551</v>
      </c>
      <c r="L77" s="201" t="s">
        <v>436</v>
      </c>
      <c r="M77" s="205">
        <v>567</v>
      </c>
      <c r="N77" s="205"/>
      <c r="O77" s="205">
        <v>2013</v>
      </c>
      <c r="P77" s="205" t="s">
        <v>349</v>
      </c>
      <c r="Q77" s="205" t="s">
        <v>333</v>
      </c>
      <c r="R77" s="205" t="s">
        <v>178</v>
      </c>
      <c r="S77" s="205" t="s">
        <v>349</v>
      </c>
      <c r="T77" s="205" t="s">
        <v>177</v>
      </c>
      <c r="U77" s="205" t="s">
        <v>340</v>
      </c>
      <c r="V77" s="205" t="s">
        <v>707</v>
      </c>
      <c r="W77" s="205" t="s">
        <v>352</v>
      </c>
      <c r="X77" s="205"/>
      <c r="Y77" s="205"/>
      <c r="AA77" s="205">
        <v>0.5</v>
      </c>
      <c r="AB77" s="205">
        <v>0.6</v>
      </c>
      <c r="AC77" s="205">
        <v>1</v>
      </c>
      <c r="AD77" s="205">
        <v>1.25</v>
      </c>
      <c r="AE77" s="205">
        <v>1.35</v>
      </c>
      <c r="AF77" s="205">
        <v>1.5</v>
      </c>
      <c r="AG77" s="205">
        <v>3</v>
      </c>
      <c r="AH77" s="201"/>
      <c r="AI77" s="201"/>
      <c r="AK77" s="201" t="s">
        <v>160</v>
      </c>
      <c r="AL77" s="201">
        <v>2.0499999999999998</v>
      </c>
      <c r="AM77" s="201">
        <v>0.1</v>
      </c>
      <c r="AN77" s="201" t="s">
        <v>349</v>
      </c>
    </row>
    <row r="78" spans="1:44">
      <c r="M78" s="205"/>
      <c r="N78" s="205"/>
      <c r="O78" s="205"/>
    </row>
    <row r="79" spans="1:44" s="210" customFormat="1">
      <c r="B79" s="210" t="s">
        <v>774</v>
      </c>
      <c r="AR79" s="214"/>
    </row>
    <row r="80" spans="1:44" s="210" customFormat="1">
      <c r="A80" s="210" t="s">
        <v>774</v>
      </c>
      <c r="B80" s="210" t="s">
        <v>775</v>
      </c>
      <c r="C80" s="210" t="s">
        <v>776</v>
      </c>
      <c r="D80" s="210">
        <v>2500</v>
      </c>
      <c r="E80" s="210">
        <v>200000</v>
      </c>
      <c r="F80" s="210">
        <v>0</v>
      </c>
      <c r="G80" s="210">
        <v>461.44607553020921</v>
      </c>
      <c r="H80" s="210">
        <v>0.39314379883254991</v>
      </c>
      <c r="K80" s="210" t="s">
        <v>295</v>
      </c>
      <c r="L80" s="210" t="s">
        <v>778</v>
      </c>
      <c r="M80" s="210">
        <v>320</v>
      </c>
      <c r="O80" s="210">
        <v>1987</v>
      </c>
      <c r="Q80" s="210" t="s">
        <v>779</v>
      </c>
      <c r="R80" s="210" t="s">
        <v>780</v>
      </c>
      <c r="S80" s="210" t="s">
        <v>781</v>
      </c>
      <c r="T80" s="210" t="s">
        <v>782</v>
      </c>
      <c r="AA80" s="210">
        <v>1</v>
      </c>
      <c r="AB80" s="210">
        <v>0.3</v>
      </c>
      <c r="AC80" s="210">
        <v>0.3</v>
      </c>
      <c r="AD80" s="210">
        <v>2</v>
      </c>
      <c r="AK80" s="210" t="s">
        <v>160</v>
      </c>
      <c r="AL80" s="210">
        <v>1.45</v>
      </c>
      <c r="AM80" s="27">
        <v>0.1</v>
      </c>
      <c r="AN80" s="210" t="s">
        <v>783</v>
      </c>
      <c r="AR80" s="214"/>
    </row>
    <row r="81" spans="1:44" s="210" customFormat="1">
      <c r="A81" s="210" t="s">
        <v>774</v>
      </c>
      <c r="B81" s="210" t="s">
        <v>777</v>
      </c>
      <c r="C81" s="210" t="s">
        <v>776</v>
      </c>
      <c r="D81" s="210">
        <v>2500</v>
      </c>
      <c r="E81" s="210">
        <v>210000</v>
      </c>
      <c r="F81" s="210">
        <v>0</v>
      </c>
      <c r="G81" s="210">
        <v>314.76015038946599</v>
      </c>
      <c r="H81" s="210">
        <v>0.59463504081334784</v>
      </c>
      <c r="K81" s="210" t="s">
        <v>295</v>
      </c>
      <c r="L81" s="210" t="s">
        <v>778</v>
      </c>
      <c r="M81" s="210">
        <v>320</v>
      </c>
      <c r="O81" s="210">
        <v>1987</v>
      </c>
      <c r="Q81" s="210" t="s">
        <v>779</v>
      </c>
      <c r="R81" s="210" t="s">
        <v>780</v>
      </c>
      <c r="S81" s="210" t="s">
        <v>781</v>
      </c>
      <c r="T81" s="210" t="s">
        <v>782</v>
      </c>
      <c r="AA81" s="210">
        <v>1</v>
      </c>
      <c r="AB81" s="210">
        <v>0.8</v>
      </c>
      <c r="AC81" s="210">
        <v>0.8</v>
      </c>
      <c r="AD81" s="210">
        <v>2</v>
      </c>
      <c r="AK81" s="210" t="s">
        <v>160</v>
      </c>
      <c r="AL81" s="210">
        <v>1.45</v>
      </c>
      <c r="AM81" s="27">
        <v>0.1</v>
      </c>
      <c r="AN81" s="210" t="s">
        <v>783</v>
      </c>
      <c r="AR81" s="214"/>
    </row>
    <row r="82" spans="1:44" s="210" customFormat="1">
      <c r="AR82" s="214"/>
    </row>
    <row r="83" spans="1:44">
      <c r="B83" t="s">
        <v>791</v>
      </c>
    </row>
    <row r="84" spans="1:44">
      <c r="A84" s="281" t="s">
        <v>791</v>
      </c>
      <c r="B84" s="205" t="s">
        <v>675</v>
      </c>
      <c r="C84" t="s">
        <v>676</v>
      </c>
      <c r="D84" s="202">
        <v>10000000</v>
      </c>
      <c r="E84" s="202">
        <v>500000000</v>
      </c>
      <c r="F84">
        <v>-0.15240999999999999</v>
      </c>
      <c r="G84">
        <v>0.78500000000000003</v>
      </c>
      <c r="H84">
        <v>0</v>
      </c>
      <c r="I84" s="204">
        <v>0</v>
      </c>
      <c r="J84" s="204">
        <v>0</v>
      </c>
      <c r="K84" s="205" t="s">
        <v>551</v>
      </c>
      <c r="L84" s="205" t="s">
        <v>436</v>
      </c>
      <c r="M84" s="205">
        <v>567</v>
      </c>
      <c r="N84" s="205"/>
      <c r="O84" s="205">
        <v>2013</v>
      </c>
      <c r="Q84" s="29" t="s">
        <v>679</v>
      </c>
      <c r="R84" s="30" t="s">
        <v>680</v>
      </c>
      <c r="S84" s="30" t="s">
        <v>681</v>
      </c>
      <c r="AA84" s="30">
        <v>1</v>
      </c>
      <c r="AB84" s="30">
        <v>1.4</v>
      </c>
      <c r="AC84" s="30">
        <v>1.7</v>
      </c>
      <c r="AK84" s="205">
        <v>2.19</v>
      </c>
      <c r="AL84" s="30">
        <v>1.52</v>
      </c>
      <c r="AM84" s="30">
        <v>0.3</v>
      </c>
      <c r="AN84" t="s">
        <v>677</v>
      </c>
    </row>
    <row r="85" spans="1:44">
      <c r="A85" s="281" t="s">
        <v>791</v>
      </c>
      <c r="B85" t="s">
        <v>477</v>
      </c>
      <c r="C85" t="s">
        <v>482</v>
      </c>
      <c r="D85" s="202">
        <v>10000000</v>
      </c>
      <c r="E85" s="202">
        <v>50000000</v>
      </c>
      <c r="F85">
        <v>0</v>
      </c>
      <c r="G85">
        <v>0.97399999999999998</v>
      </c>
      <c r="H85">
        <v>0.81</v>
      </c>
      <c r="K85" s="200" t="s">
        <v>295</v>
      </c>
      <c r="L85" s="200" t="s">
        <v>436</v>
      </c>
      <c r="M85" s="31">
        <v>567</v>
      </c>
      <c r="N85" s="31"/>
      <c r="O85" s="31">
        <v>2013</v>
      </c>
      <c r="P85" s="200"/>
      <c r="Q85" s="205" t="s">
        <v>333</v>
      </c>
      <c r="R85" s="205" t="s">
        <v>178</v>
      </c>
      <c r="S85" s="205" t="s">
        <v>349</v>
      </c>
      <c r="T85" s="205" t="s">
        <v>177</v>
      </c>
      <c r="U85" s="205" t="s">
        <v>340</v>
      </c>
      <c r="V85" s="205" t="s">
        <v>707</v>
      </c>
      <c r="W85" s="205" t="s">
        <v>352</v>
      </c>
      <c r="X85" s="205"/>
      <c r="Y85" s="205"/>
      <c r="AA85" s="205">
        <v>1</v>
      </c>
      <c r="AB85" s="205">
        <v>1.2</v>
      </c>
      <c r="AC85" s="205">
        <v>2</v>
      </c>
      <c r="AD85" s="205">
        <v>2.5</v>
      </c>
      <c r="AE85" s="205">
        <v>2.7</v>
      </c>
      <c r="AF85" s="205">
        <v>3</v>
      </c>
      <c r="AG85" s="205">
        <v>6</v>
      </c>
      <c r="AH85" s="200"/>
      <c r="AI85" s="200"/>
      <c r="AK85" s="205">
        <v>2.19</v>
      </c>
      <c r="AL85" s="212">
        <v>1.52</v>
      </c>
      <c r="AM85" s="200">
        <v>0.3</v>
      </c>
      <c r="AN85" s="200" t="s">
        <v>483</v>
      </c>
    </row>
    <row r="86" spans="1:44">
      <c r="A86" s="281" t="s">
        <v>791</v>
      </c>
      <c r="B86" t="s">
        <v>478</v>
      </c>
      <c r="C86" s="200" t="s">
        <v>482</v>
      </c>
      <c r="D86" s="202">
        <v>10000000</v>
      </c>
      <c r="E86" s="202">
        <v>500000000</v>
      </c>
      <c r="F86">
        <v>0</v>
      </c>
      <c r="G86">
        <v>0.73699999999999999</v>
      </c>
      <c r="H86">
        <v>0.81</v>
      </c>
      <c r="K86" s="200" t="s">
        <v>295</v>
      </c>
      <c r="L86" s="200" t="s">
        <v>436</v>
      </c>
      <c r="M86" s="31">
        <v>567</v>
      </c>
      <c r="N86" s="31"/>
      <c r="O86" s="31">
        <v>2013</v>
      </c>
      <c r="P86" s="200"/>
      <c r="Q86" s="205" t="s">
        <v>333</v>
      </c>
      <c r="R86" s="205" t="s">
        <v>178</v>
      </c>
      <c r="S86" s="205" t="s">
        <v>349</v>
      </c>
      <c r="T86" s="205" t="s">
        <v>177</v>
      </c>
      <c r="U86" s="205" t="s">
        <v>340</v>
      </c>
      <c r="V86" s="205" t="s">
        <v>707</v>
      </c>
      <c r="W86" s="205" t="s">
        <v>352</v>
      </c>
      <c r="X86" s="205"/>
      <c r="Y86" s="205"/>
      <c r="AA86" s="205">
        <v>1</v>
      </c>
      <c r="AB86" s="205">
        <v>1.2</v>
      </c>
      <c r="AC86" s="205">
        <v>2</v>
      </c>
      <c r="AD86" s="205">
        <v>2.5</v>
      </c>
      <c r="AE86" s="205">
        <v>2.7</v>
      </c>
      <c r="AF86" s="205">
        <v>3</v>
      </c>
      <c r="AG86" s="205">
        <v>6</v>
      </c>
      <c r="AH86" s="200"/>
      <c r="AI86" s="200"/>
      <c r="AK86" s="205">
        <v>2.19</v>
      </c>
      <c r="AL86" s="212">
        <v>1.52</v>
      </c>
      <c r="AM86" s="211">
        <v>0.3</v>
      </c>
      <c r="AN86" s="200" t="s">
        <v>483</v>
      </c>
    </row>
    <row r="87" spans="1:44">
      <c r="A87" s="281" t="s">
        <v>791</v>
      </c>
      <c r="B87" t="s">
        <v>479</v>
      </c>
      <c r="C87" s="200" t="s">
        <v>482</v>
      </c>
      <c r="D87" s="202">
        <v>500000</v>
      </c>
      <c r="E87" s="202">
        <v>70000000</v>
      </c>
      <c r="F87">
        <v>9.7187999999999999</v>
      </c>
      <c r="G87">
        <v>-0.37690000000000001</v>
      </c>
      <c r="H87">
        <v>3.4340000000000002E-2</v>
      </c>
      <c r="I87" s="205">
        <v>0</v>
      </c>
      <c r="J87" s="205">
        <v>0</v>
      </c>
      <c r="K87" s="201" t="s">
        <v>551</v>
      </c>
      <c r="L87" s="200" t="s">
        <v>436</v>
      </c>
      <c r="M87" s="31">
        <v>567</v>
      </c>
      <c r="N87" s="31"/>
      <c r="O87" s="31">
        <v>2013</v>
      </c>
      <c r="Q87" s="205" t="s">
        <v>333</v>
      </c>
      <c r="R87" s="205" t="s">
        <v>178</v>
      </c>
      <c r="S87" s="205" t="s">
        <v>349</v>
      </c>
      <c r="T87" s="205" t="s">
        <v>177</v>
      </c>
      <c r="U87" s="205" t="s">
        <v>340</v>
      </c>
      <c r="V87" s="205" t="s">
        <v>707</v>
      </c>
      <c r="W87" s="205" t="s">
        <v>352</v>
      </c>
      <c r="X87" s="205"/>
      <c r="Y87" s="205"/>
      <c r="AA87" s="205">
        <v>1</v>
      </c>
      <c r="AB87" s="205">
        <v>1.2</v>
      </c>
      <c r="AC87" s="205">
        <v>2</v>
      </c>
      <c r="AD87" s="205">
        <v>2.5</v>
      </c>
      <c r="AE87" s="205">
        <v>2.7</v>
      </c>
      <c r="AF87" s="205">
        <v>3</v>
      </c>
      <c r="AG87" s="205">
        <v>6</v>
      </c>
      <c r="AK87" s="205">
        <v>2.19</v>
      </c>
      <c r="AL87" s="212">
        <v>1.52</v>
      </c>
      <c r="AM87" s="211">
        <v>0.3</v>
      </c>
    </row>
    <row r="88" spans="1:44">
      <c r="A88" s="281" t="s">
        <v>791</v>
      </c>
      <c r="B88" t="s">
        <v>480</v>
      </c>
      <c r="C88" s="200" t="s">
        <v>482</v>
      </c>
      <c r="D88" s="202">
        <v>500000</v>
      </c>
      <c r="E88" s="202">
        <v>70000000</v>
      </c>
      <c r="F88">
        <v>0</v>
      </c>
      <c r="G88">
        <v>13.97</v>
      </c>
      <c r="H88">
        <v>0.64</v>
      </c>
      <c r="K88" s="200" t="s">
        <v>295</v>
      </c>
      <c r="L88" s="200" t="s">
        <v>436</v>
      </c>
      <c r="M88" s="31">
        <v>567</v>
      </c>
      <c r="N88" s="31"/>
      <c r="O88" s="31">
        <v>2013</v>
      </c>
      <c r="Q88" s="205" t="s">
        <v>333</v>
      </c>
      <c r="R88" s="205" t="s">
        <v>178</v>
      </c>
      <c r="S88" s="205" t="s">
        <v>349</v>
      </c>
      <c r="T88" s="205" t="s">
        <v>177</v>
      </c>
      <c r="U88" s="205" t="s">
        <v>340</v>
      </c>
      <c r="V88" s="205" t="s">
        <v>707</v>
      </c>
      <c r="W88" s="205" t="s">
        <v>352</v>
      </c>
      <c r="X88" s="205"/>
      <c r="Y88" s="205"/>
      <c r="AA88" s="205">
        <v>1</v>
      </c>
      <c r="AB88" s="205">
        <v>1.2</v>
      </c>
      <c r="AC88" s="205">
        <v>2</v>
      </c>
      <c r="AD88" s="205">
        <v>2.5</v>
      </c>
      <c r="AE88" s="205">
        <v>2.7</v>
      </c>
      <c r="AF88" s="205">
        <v>3</v>
      </c>
      <c r="AG88" s="205">
        <v>6</v>
      </c>
      <c r="AK88" s="205">
        <v>2.19</v>
      </c>
      <c r="AL88" s="212">
        <v>1.52</v>
      </c>
      <c r="AM88" s="211">
        <v>0.3</v>
      </c>
    </row>
    <row r="89" spans="1:44">
      <c r="A89" s="281" t="s">
        <v>791</v>
      </c>
      <c r="B89" t="s">
        <v>481</v>
      </c>
      <c r="C89" s="200" t="s">
        <v>482</v>
      </c>
      <c r="D89" s="202">
        <v>500000</v>
      </c>
      <c r="E89" s="202">
        <v>70000000</v>
      </c>
      <c r="F89">
        <v>0</v>
      </c>
      <c r="G89">
        <v>14.45</v>
      </c>
      <c r="H89">
        <v>0.65</v>
      </c>
      <c r="K89" s="200" t="s">
        <v>295</v>
      </c>
      <c r="L89" s="200" t="s">
        <v>436</v>
      </c>
      <c r="M89" s="31">
        <v>567</v>
      </c>
      <c r="N89" s="31"/>
      <c r="O89" s="31">
        <v>2013</v>
      </c>
      <c r="Q89" s="205" t="s">
        <v>333</v>
      </c>
      <c r="R89" s="205" t="s">
        <v>178</v>
      </c>
      <c r="S89" s="205" t="s">
        <v>349</v>
      </c>
      <c r="T89" s="205" t="s">
        <v>177</v>
      </c>
      <c r="U89" s="205" t="s">
        <v>340</v>
      </c>
      <c r="V89" s="205" t="s">
        <v>707</v>
      </c>
      <c r="W89" s="205" t="s">
        <v>352</v>
      </c>
      <c r="X89" s="205"/>
      <c r="Y89" s="205"/>
      <c r="AA89" s="205">
        <v>1</v>
      </c>
      <c r="AB89" s="205">
        <v>1.2</v>
      </c>
      <c r="AC89" s="205">
        <v>2</v>
      </c>
      <c r="AD89" s="205">
        <v>2.5</v>
      </c>
      <c r="AE89" s="205">
        <v>2.7</v>
      </c>
      <c r="AF89" s="205">
        <v>3</v>
      </c>
      <c r="AG89" s="205">
        <v>6</v>
      </c>
      <c r="AK89" s="205">
        <v>2.19</v>
      </c>
      <c r="AL89" s="212">
        <v>1.52</v>
      </c>
      <c r="AM89" s="211">
        <v>0.3</v>
      </c>
    </row>
    <row r="90" spans="1:44" s="206" customFormat="1">
      <c r="D90" s="202"/>
      <c r="E90" s="202"/>
      <c r="M90" s="31"/>
      <c r="N90" s="31"/>
      <c r="O90" s="31"/>
      <c r="AR90" s="214"/>
    </row>
    <row r="91" spans="1:44" s="29" customFormat="1">
      <c r="B91" s="29" t="s">
        <v>728</v>
      </c>
      <c r="I91" s="204"/>
      <c r="J91" s="204"/>
      <c r="R91" s="30"/>
      <c r="S91" s="30"/>
      <c r="T91" s="30"/>
      <c r="U91" s="30"/>
      <c r="V91" s="30"/>
      <c r="W91" s="30"/>
      <c r="X91" s="30"/>
      <c r="Y91" s="30"/>
      <c r="Z91" s="205"/>
      <c r="AA91" s="30"/>
      <c r="AB91" s="30"/>
      <c r="AC91" s="30"/>
      <c r="AD91" s="30"/>
      <c r="AE91" s="30"/>
      <c r="AF91" s="30"/>
      <c r="AG91" s="30"/>
      <c r="AH91" s="30"/>
      <c r="AI91" s="30"/>
      <c r="AJ91" s="205"/>
      <c r="AL91" s="30"/>
      <c r="AM91" s="30"/>
      <c r="AR91" s="214"/>
    </row>
    <row r="92" spans="1:44" s="29" customFormat="1">
      <c r="A92" s="281" t="s">
        <v>728</v>
      </c>
      <c r="B92" s="29" t="s">
        <v>255</v>
      </c>
      <c r="C92" s="29" t="s">
        <v>256</v>
      </c>
      <c r="D92" s="29">
        <v>0.2</v>
      </c>
      <c r="E92" s="29">
        <v>60</v>
      </c>
      <c r="F92" s="29">
        <v>80000</v>
      </c>
      <c r="G92" s="29">
        <v>109000</v>
      </c>
      <c r="H92" s="29">
        <v>0.8</v>
      </c>
      <c r="I92" s="204"/>
      <c r="J92" s="204"/>
      <c r="K92" s="29" t="s">
        <v>295</v>
      </c>
      <c r="L92" s="197" t="s">
        <v>437</v>
      </c>
      <c r="M92" s="29">
        <v>532.9</v>
      </c>
      <c r="N92" s="29">
        <v>2281.6</v>
      </c>
      <c r="O92" s="29">
        <v>2010</v>
      </c>
      <c r="Q92" s="31" t="s">
        <v>333</v>
      </c>
      <c r="R92" s="31" t="s">
        <v>334</v>
      </c>
      <c r="S92" s="31" t="s">
        <v>335</v>
      </c>
      <c r="T92" s="31" t="s">
        <v>336</v>
      </c>
      <c r="U92" s="31" t="s">
        <v>337</v>
      </c>
      <c r="V92" s="31" t="s">
        <v>338</v>
      </c>
      <c r="W92" s="31" t="s">
        <v>339</v>
      </c>
      <c r="X92" s="31" t="s">
        <v>340</v>
      </c>
      <c r="Y92" s="31" t="s">
        <v>341</v>
      </c>
      <c r="Z92" s="31"/>
      <c r="AA92" s="31">
        <v>1</v>
      </c>
      <c r="AB92" s="31">
        <v>1.07</v>
      </c>
      <c r="AC92" s="31">
        <v>1.1000000000000001</v>
      </c>
      <c r="AD92" s="31">
        <v>1.3</v>
      </c>
      <c r="AE92" s="31">
        <v>1.3</v>
      </c>
      <c r="AF92" s="31">
        <v>1.5</v>
      </c>
      <c r="AG92" s="31">
        <v>1.55</v>
      </c>
      <c r="AH92" s="31">
        <v>1.65</v>
      </c>
      <c r="AI92" s="31">
        <v>1.7</v>
      </c>
      <c r="AJ92" s="31"/>
      <c r="AK92" s="31">
        <v>2</v>
      </c>
      <c r="AL92" s="212">
        <v>1.52</v>
      </c>
      <c r="AM92" s="31">
        <v>0.3</v>
      </c>
      <c r="AR92" s="214"/>
    </row>
    <row r="93" spans="1:44" s="29" customFormat="1">
      <c r="A93" s="281" t="s">
        <v>728</v>
      </c>
      <c r="B93" s="29" t="s">
        <v>257</v>
      </c>
      <c r="C93" s="29" t="s">
        <v>256</v>
      </c>
      <c r="D93" s="29">
        <v>30</v>
      </c>
      <c r="E93" s="29">
        <v>120</v>
      </c>
      <c r="F93" s="29">
        <v>43000</v>
      </c>
      <c r="G93" s="29">
        <v>111000</v>
      </c>
      <c r="H93" s="29">
        <v>0.8</v>
      </c>
      <c r="I93" s="204"/>
      <c r="J93" s="204"/>
      <c r="K93" s="29" t="s">
        <v>295</v>
      </c>
      <c r="L93" s="197" t="s">
        <v>437</v>
      </c>
      <c r="M93" s="29">
        <v>532.9</v>
      </c>
      <c r="N93" s="29">
        <v>2281.6</v>
      </c>
      <c r="O93" s="29">
        <v>2010</v>
      </c>
      <c r="Q93" s="31" t="s">
        <v>333</v>
      </c>
      <c r="R93" s="31" t="s">
        <v>334</v>
      </c>
      <c r="S93" s="31" t="s">
        <v>335</v>
      </c>
      <c r="T93" s="31" t="s">
        <v>336</v>
      </c>
      <c r="U93" s="31" t="s">
        <v>337</v>
      </c>
      <c r="V93" s="31" t="s">
        <v>338</v>
      </c>
      <c r="W93" s="31" t="s">
        <v>339</v>
      </c>
      <c r="X93" s="31" t="s">
        <v>340</v>
      </c>
      <c r="Y93" s="31" t="s">
        <v>341</v>
      </c>
      <c r="Z93" s="31"/>
      <c r="AA93" s="31">
        <v>1</v>
      </c>
      <c r="AB93" s="31">
        <v>1.07</v>
      </c>
      <c r="AC93" s="31">
        <v>1.1000000000000001</v>
      </c>
      <c r="AD93" s="31">
        <v>1.3</v>
      </c>
      <c r="AE93" s="31">
        <v>1.3</v>
      </c>
      <c r="AF93" s="31">
        <v>1.5</v>
      </c>
      <c r="AG93" s="31">
        <v>1.55</v>
      </c>
      <c r="AH93" s="31">
        <v>1.65</v>
      </c>
      <c r="AI93" s="31">
        <v>1.7</v>
      </c>
      <c r="AJ93" s="31"/>
      <c r="AK93" s="31">
        <v>2</v>
      </c>
      <c r="AL93" s="212">
        <v>1.52</v>
      </c>
      <c r="AM93" s="31">
        <v>0.3</v>
      </c>
      <c r="AR93" s="214"/>
    </row>
    <row r="94" spans="1:44" s="29" customFormat="1">
      <c r="I94" s="204"/>
      <c r="J94" s="204"/>
      <c r="R94" s="30"/>
      <c r="S94" s="30"/>
      <c r="T94" s="30"/>
      <c r="U94" s="30"/>
      <c r="V94" s="30"/>
      <c r="W94" s="30"/>
      <c r="X94" s="30"/>
      <c r="Y94" s="30"/>
      <c r="Z94" s="205"/>
      <c r="AA94" s="30"/>
      <c r="AB94" s="30"/>
      <c r="AC94" s="30"/>
      <c r="AD94" s="30"/>
      <c r="AE94" s="30"/>
      <c r="AF94" s="30"/>
      <c r="AG94" s="30"/>
      <c r="AH94" s="30"/>
      <c r="AI94" s="30"/>
      <c r="AJ94" s="205"/>
      <c r="AL94" s="30"/>
      <c r="AM94" s="30"/>
      <c r="AR94" s="214"/>
    </row>
    <row r="95" spans="1:44" s="29" customFormat="1">
      <c r="B95" s="29" t="s">
        <v>735</v>
      </c>
      <c r="I95" s="204"/>
      <c r="J95" s="204"/>
      <c r="R95" s="30"/>
      <c r="S95" s="30"/>
      <c r="T95" s="30"/>
      <c r="U95" s="30"/>
      <c r="V95" s="30"/>
      <c r="W95" s="30"/>
      <c r="X95" s="30"/>
      <c r="Y95" s="30"/>
      <c r="Z95" s="205"/>
      <c r="AA95" s="30"/>
      <c r="AB95" s="30"/>
      <c r="AC95" s="30"/>
      <c r="AD95" s="30"/>
      <c r="AE95" s="30"/>
      <c r="AF95" s="30"/>
      <c r="AG95" s="30"/>
      <c r="AH95" s="30"/>
      <c r="AI95" s="30"/>
      <c r="AJ95" s="205"/>
      <c r="AL95" s="30"/>
      <c r="AM95" s="30"/>
      <c r="AR95" s="214"/>
    </row>
    <row r="96" spans="1:44" s="29" customFormat="1">
      <c r="A96" s="281" t="s">
        <v>735</v>
      </c>
      <c r="B96" s="29" t="s">
        <v>729</v>
      </c>
      <c r="C96" s="29" t="s">
        <v>249</v>
      </c>
      <c r="D96" s="29">
        <v>10</v>
      </c>
      <c r="E96" s="29">
        <v>1000</v>
      </c>
      <c r="F96" s="29">
        <v>32000</v>
      </c>
      <c r="G96" s="29">
        <v>70</v>
      </c>
      <c r="H96" s="29">
        <v>1.2</v>
      </c>
      <c r="I96" s="204"/>
      <c r="J96" s="204"/>
      <c r="K96" s="29" t="s">
        <v>295</v>
      </c>
      <c r="L96" s="197" t="s">
        <v>437</v>
      </c>
      <c r="M96" s="29">
        <v>532.9</v>
      </c>
      <c r="N96" s="29">
        <v>2281.6</v>
      </c>
      <c r="O96" s="29">
        <v>2010</v>
      </c>
      <c r="Q96" s="31" t="s">
        <v>333</v>
      </c>
      <c r="R96" s="31" t="s">
        <v>334</v>
      </c>
      <c r="S96" s="31" t="s">
        <v>335</v>
      </c>
      <c r="T96" s="31" t="s">
        <v>336</v>
      </c>
      <c r="U96" s="31" t="s">
        <v>337</v>
      </c>
      <c r="V96" s="31" t="s">
        <v>338</v>
      </c>
      <c r="W96" s="31" t="s">
        <v>339</v>
      </c>
      <c r="X96" s="31" t="s">
        <v>340</v>
      </c>
      <c r="Y96" s="31" t="s">
        <v>341</v>
      </c>
      <c r="Z96" s="31"/>
      <c r="AA96" s="31">
        <v>1</v>
      </c>
      <c r="AB96" s="31">
        <v>1.07</v>
      </c>
      <c r="AC96" s="31">
        <v>1.1000000000000001</v>
      </c>
      <c r="AD96" s="31">
        <v>1.3</v>
      </c>
      <c r="AE96" s="31">
        <v>1.3</v>
      </c>
      <c r="AF96" s="31">
        <v>1.5</v>
      </c>
      <c r="AG96" s="31">
        <v>1.55</v>
      </c>
      <c r="AH96" s="31">
        <v>1.65</v>
      </c>
      <c r="AI96" s="31">
        <v>1.7</v>
      </c>
      <c r="AJ96" s="31"/>
      <c r="AK96" s="31">
        <v>3.17</v>
      </c>
      <c r="AL96" s="31">
        <v>1.61</v>
      </c>
      <c r="AM96" s="31">
        <v>0.05</v>
      </c>
      <c r="AR96" s="214"/>
    </row>
    <row r="97" spans="1:44" s="29" customFormat="1">
      <c r="A97" s="281" t="s">
        <v>735</v>
      </c>
      <c r="B97" s="29" t="s">
        <v>730</v>
      </c>
      <c r="C97" s="29" t="s">
        <v>249</v>
      </c>
      <c r="D97" s="29">
        <v>1</v>
      </c>
      <c r="E97" s="29">
        <v>80</v>
      </c>
      <c r="F97" s="29">
        <v>1900</v>
      </c>
      <c r="G97" s="29">
        <v>2500</v>
      </c>
      <c r="H97" s="29">
        <v>1</v>
      </c>
      <c r="I97" s="204"/>
      <c r="J97" s="204"/>
      <c r="K97" s="29" t="s">
        <v>295</v>
      </c>
      <c r="L97" s="197" t="s">
        <v>437</v>
      </c>
      <c r="M97" s="29">
        <v>532.9</v>
      </c>
      <c r="N97" s="29">
        <v>2281.6</v>
      </c>
      <c r="O97" s="29">
        <v>2010</v>
      </c>
      <c r="Q97" s="31" t="s">
        <v>333</v>
      </c>
      <c r="R97" s="31" t="s">
        <v>334</v>
      </c>
      <c r="S97" s="31" t="s">
        <v>335</v>
      </c>
      <c r="T97" s="31" t="s">
        <v>336</v>
      </c>
      <c r="U97" s="31" t="s">
        <v>337</v>
      </c>
      <c r="V97" s="31" t="s">
        <v>338</v>
      </c>
      <c r="W97" s="31" t="s">
        <v>339</v>
      </c>
      <c r="X97" s="31" t="s">
        <v>340</v>
      </c>
      <c r="Y97" s="31" t="s">
        <v>341</v>
      </c>
      <c r="Z97" s="31"/>
      <c r="AA97" s="31">
        <v>1</v>
      </c>
      <c r="AB97" s="31">
        <v>1.07</v>
      </c>
      <c r="AC97" s="31">
        <v>1.1000000000000001</v>
      </c>
      <c r="AD97" s="31">
        <v>1.3</v>
      </c>
      <c r="AE97" s="31">
        <v>1.3</v>
      </c>
      <c r="AF97" s="31">
        <v>1.5</v>
      </c>
      <c r="AG97" s="31">
        <v>1.55</v>
      </c>
      <c r="AH97" s="31">
        <v>1.65</v>
      </c>
      <c r="AI97" s="31">
        <v>1.7</v>
      </c>
      <c r="AJ97" s="31"/>
      <c r="AK97" s="31">
        <v>1.8</v>
      </c>
      <c r="AL97" s="31">
        <v>1.61</v>
      </c>
      <c r="AM97" s="31">
        <v>0.05</v>
      </c>
      <c r="AR97" s="214"/>
    </row>
    <row r="98" spans="1:44" s="29" customFormat="1">
      <c r="A98" s="281" t="s">
        <v>735</v>
      </c>
      <c r="B98" s="29" t="s">
        <v>731</v>
      </c>
      <c r="C98" s="29" t="s">
        <v>249</v>
      </c>
      <c r="D98" s="29">
        <v>10</v>
      </c>
      <c r="E98" s="29">
        <v>500</v>
      </c>
      <c r="F98" s="29">
        <v>30400</v>
      </c>
      <c r="G98" s="29">
        <v>122</v>
      </c>
      <c r="H98" s="29">
        <v>1.1000000000000001</v>
      </c>
      <c r="I98" s="204"/>
      <c r="J98" s="204"/>
      <c r="K98" s="29" t="s">
        <v>295</v>
      </c>
      <c r="L98" s="197" t="s">
        <v>437</v>
      </c>
      <c r="M98" s="29">
        <v>532.9</v>
      </c>
      <c r="N98" s="29">
        <v>2281.6</v>
      </c>
      <c r="O98" s="29">
        <v>2010</v>
      </c>
      <c r="Q98" s="31" t="s">
        <v>333</v>
      </c>
      <c r="R98" s="31" t="s">
        <v>334</v>
      </c>
      <c r="S98" s="31" t="s">
        <v>335</v>
      </c>
      <c r="T98" s="31" t="s">
        <v>336</v>
      </c>
      <c r="U98" s="31" t="s">
        <v>337</v>
      </c>
      <c r="V98" s="31" t="s">
        <v>338</v>
      </c>
      <c r="W98" s="31" t="s">
        <v>339</v>
      </c>
      <c r="X98" s="31" t="s">
        <v>340</v>
      </c>
      <c r="Y98" s="31" t="s">
        <v>341</v>
      </c>
      <c r="Z98" s="31"/>
      <c r="AA98" s="31">
        <v>1</v>
      </c>
      <c r="AB98" s="31">
        <v>1.07</v>
      </c>
      <c r="AC98" s="31">
        <v>1.1000000000000001</v>
      </c>
      <c r="AD98" s="31">
        <v>1.3</v>
      </c>
      <c r="AE98" s="31">
        <v>1.3</v>
      </c>
      <c r="AF98" s="31">
        <v>1.5</v>
      </c>
      <c r="AG98" s="31">
        <v>1.55</v>
      </c>
      <c r="AH98" s="31">
        <v>1.65</v>
      </c>
      <c r="AI98" s="31">
        <v>1.7</v>
      </c>
      <c r="AJ98" s="31"/>
      <c r="AK98" s="29" t="s">
        <v>160</v>
      </c>
      <c r="AL98" s="31">
        <v>1.61</v>
      </c>
      <c r="AM98" s="31">
        <v>0.05</v>
      </c>
      <c r="AR98" s="214"/>
    </row>
    <row r="99" spans="1:44" s="29" customFormat="1">
      <c r="A99" s="281" t="s">
        <v>735</v>
      </c>
      <c r="B99" s="29" t="s">
        <v>732</v>
      </c>
      <c r="C99" s="29" t="s">
        <v>249</v>
      </c>
      <c r="D99" s="29">
        <v>10</v>
      </c>
      <c r="E99" s="29">
        <v>500</v>
      </c>
      <c r="F99" s="29">
        <v>29000</v>
      </c>
      <c r="G99" s="29">
        <v>400</v>
      </c>
      <c r="H99" s="29">
        <v>0.9</v>
      </c>
      <c r="I99" s="204"/>
      <c r="J99" s="204"/>
      <c r="K99" s="29" t="s">
        <v>295</v>
      </c>
      <c r="L99" s="197" t="s">
        <v>437</v>
      </c>
      <c r="M99" s="29">
        <v>532.9</v>
      </c>
      <c r="N99" s="29">
        <v>2281.6</v>
      </c>
      <c r="O99" s="29">
        <v>2010</v>
      </c>
      <c r="Q99" s="31" t="s">
        <v>333</v>
      </c>
      <c r="R99" s="31" t="s">
        <v>334</v>
      </c>
      <c r="S99" s="31" t="s">
        <v>335</v>
      </c>
      <c r="T99" s="31" t="s">
        <v>336</v>
      </c>
      <c r="U99" s="31" t="s">
        <v>337</v>
      </c>
      <c r="V99" s="31" t="s">
        <v>338</v>
      </c>
      <c r="W99" s="31" t="s">
        <v>339</v>
      </c>
      <c r="X99" s="31" t="s">
        <v>340</v>
      </c>
      <c r="Y99" s="31" t="s">
        <v>341</v>
      </c>
      <c r="Z99" s="31"/>
      <c r="AA99" s="31">
        <v>1</v>
      </c>
      <c r="AB99" s="31">
        <v>1.07</v>
      </c>
      <c r="AC99" s="31">
        <v>1.1000000000000001</v>
      </c>
      <c r="AD99" s="31">
        <v>1.3</v>
      </c>
      <c r="AE99" s="31">
        <v>1.3</v>
      </c>
      <c r="AF99" s="31">
        <v>1.5</v>
      </c>
      <c r="AG99" s="31">
        <v>1.55</v>
      </c>
      <c r="AH99" s="31">
        <v>1.65</v>
      </c>
      <c r="AI99" s="31">
        <v>1.7</v>
      </c>
      <c r="AJ99" s="31"/>
      <c r="AK99" s="29" t="s">
        <v>160</v>
      </c>
      <c r="AL99" s="31">
        <v>1.61</v>
      </c>
      <c r="AM99" s="31">
        <v>0.05</v>
      </c>
      <c r="AR99" s="214"/>
    </row>
    <row r="100" spans="1:44" s="29" customFormat="1">
      <c r="A100" s="281" t="s">
        <v>735</v>
      </c>
      <c r="B100" s="29" t="s">
        <v>733</v>
      </c>
      <c r="C100" s="29" t="s">
        <v>249</v>
      </c>
      <c r="D100" s="29">
        <v>10</v>
      </c>
      <c r="E100" s="29">
        <v>1000</v>
      </c>
      <c r="F100" s="29">
        <v>28000</v>
      </c>
      <c r="G100" s="29">
        <v>54</v>
      </c>
      <c r="H100" s="29">
        <v>1.2</v>
      </c>
      <c r="I100" s="204"/>
      <c r="J100" s="204"/>
      <c r="K100" s="29" t="s">
        <v>295</v>
      </c>
      <c r="L100" s="197" t="s">
        <v>437</v>
      </c>
      <c r="M100" s="29">
        <v>532.9</v>
      </c>
      <c r="N100" s="29">
        <v>2281.6</v>
      </c>
      <c r="O100" s="29">
        <v>2010</v>
      </c>
      <c r="Q100" s="31" t="s">
        <v>333</v>
      </c>
      <c r="R100" s="31" t="s">
        <v>334</v>
      </c>
      <c r="S100" s="31" t="s">
        <v>335</v>
      </c>
      <c r="T100" s="31" t="s">
        <v>336</v>
      </c>
      <c r="U100" s="31" t="s">
        <v>337</v>
      </c>
      <c r="V100" s="31" t="s">
        <v>338</v>
      </c>
      <c r="W100" s="31" t="s">
        <v>339</v>
      </c>
      <c r="X100" s="31" t="s">
        <v>340</v>
      </c>
      <c r="Y100" s="31" t="s">
        <v>341</v>
      </c>
      <c r="Z100" s="31"/>
      <c r="AA100" s="31">
        <v>1</v>
      </c>
      <c r="AB100" s="31">
        <v>1.07</v>
      </c>
      <c r="AC100" s="31">
        <v>1.1000000000000001</v>
      </c>
      <c r="AD100" s="31">
        <v>1.3</v>
      </c>
      <c r="AE100" s="31">
        <v>1.3</v>
      </c>
      <c r="AF100" s="31">
        <v>1.5</v>
      </c>
      <c r="AG100" s="31">
        <v>1.55</v>
      </c>
      <c r="AH100" s="31">
        <v>1.65</v>
      </c>
      <c r="AI100" s="31">
        <v>1.7</v>
      </c>
      <c r="AJ100" s="31"/>
      <c r="AK100" s="31">
        <v>3.17</v>
      </c>
      <c r="AL100" s="31">
        <v>1.61</v>
      </c>
      <c r="AM100" s="31">
        <v>0.05</v>
      </c>
      <c r="AR100" s="214"/>
    </row>
    <row r="101" spans="1:44" s="29" customFormat="1">
      <c r="A101" s="281" t="s">
        <v>735</v>
      </c>
      <c r="B101" s="29" t="s">
        <v>734</v>
      </c>
      <c r="C101" s="29" t="s">
        <v>249</v>
      </c>
      <c r="D101" s="29">
        <v>1</v>
      </c>
      <c r="E101" s="29">
        <v>500</v>
      </c>
      <c r="F101" s="29">
        <v>1600</v>
      </c>
      <c r="G101" s="29">
        <v>210</v>
      </c>
      <c r="H101" s="29">
        <v>0.95</v>
      </c>
      <c r="I101" s="204"/>
      <c r="J101" s="204"/>
      <c r="K101" s="29" t="s">
        <v>295</v>
      </c>
      <c r="L101" s="197" t="s">
        <v>437</v>
      </c>
      <c r="M101" s="29">
        <v>532.9</v>
      </c>
      <c r="N101" s="29">
        <v>2281.6</v>
      </c>
      <c r="O101" s="29">
        <v>2010</v>
      </c>
      <c r="P101" s="29" t="s">
        <v>253</v>
      </c>
      <c r="Q101" s="31" t="s">
        <v>333</v>
      </c>
      <c r="R101" s="31" t="s">
        <v>334</v>
      </c>
      <c r="S101" s="31" t="s">
        <v>335</v>
      </c>
      <c r="T101" s="31" t="s">
        <v>336</v>
      </c>
      <c r="U101" s="31" t="s">
        <v>337</v>
      </c>
      <c r="V101" s="31" t="s">
        <v>338</v>
      </c>
      <c r="W101" s="31" t="s">
        <v>339</v>
      </c>
      <c r="X101" s="31" t="s">
        <v>340</v>
      </c>
      <c r="Y101" s="31" t="s">
        <v>341</v>
      </c>
      <c r="Z101" s="31"/>
      <c r="AA101" s="30">
        <v>0.76923076923076916</v>
      </c>
      <c r="AB101" s="30">
        <v>0.82307692307692315</v>
      </c>
      <c r="AC101" s="30">
        <v>0.84615384615384615</v>
      </c>
      <c r="AD101" s="30">
        <v>1</v>
      </c>
      <c r="AE101" s="30">
        <v>1</v>
      </c>
      <c r="AF101" s="30">
        <v>1.1538461538461537</v>
      </c>
      <c r="AG101" s="30">
        <v>1.1923076923076923</v>
      </c>
      <c r="AH101" s="30">
        <v>1.2692307692307692</v>
      </c>
      <c r="AI101" s="30">
        <v>1.3076923076923077</v>
      </c>
      <c r="AJ101" s="205"/>
      <c r="AK101" s="29" t="s">
        <v>160</v>
      </c>
      <c r="AL101" s="31">
        <v>1.61</v>
      </c>
      <c r="AM101" s="31">
        <v>0.05</v>
      </c>
      <c r="AR101" s="214"/>
    </row>
    <row r="102" spans="1:44" s="29" customFormat="1">
      <c r="I102" s="204"/>
      <c r="J102" s="204"/>
      <c r="R102" s="30"/>
      <c r="S102" s="30"/>
      <c r="T102" s="30"/>
      <c r="U102" s="30"/>
      <c r="V102" s="30"/>
      <c r="W102" s="30"/>
      <c r="X102" s="30"/>
      <c r="Y102" s="30"/>
      <c r="Z102" s="205"/>
      <c r="AA102" s="30"/>
      <c r="AB102" s="30"/>
      <c r="AC102" s="30"/>
      <c r="AD102" s="30"/>
      <c r="AE102" s="30"/>
      <c r="AF102" s="30"/>
      <c r="AG102" s="30"/>
      <c r="AH102" s="30"/>
      <c r="AI102" s="30"/>
      <c r="AJ102" s="205"/>
      <c r="AL102" s="30"/>
      <c r="AM102" s="30"/>
      <c r="AR102" s="214"/>
    </row>
    <row r="103" spans="1:44">
      <c r="B103" t="s">
        <v>769</v>
      </c>
    </row>
    <row r="104" spans="1:44">
      <c r="A104" s="281" t="s">
        <v>769</v>
      </c>
      <c r="B104" t="s">
        <v>486</v>
      </c>
      <c r="C104" t="s">
        <v>490</v>
      </c>
      <c r="D104" s="200">
        <v>40</v>
      </c>
      <c r="E104" s="200">
        <v>150000</v>
      </c>
      <c r="F104">
        <v>0</v>
      </c>
      <c r="G104">
        <v>2835</v>
      </c>
      <c r="H104">
        <v>0.4</v>
      </c>
      <c r="K104" s="200" t="s">
        <v>295</v>
      </c>
      <c r="L104" s="200" t="s">
        <v>436</v>
      </c>
      <c r="M104" s="31">
        <v>567</v>
      </c>
      <c r="N104" s="31"/>
      <c r="O104" s="31">
        <v>2013</v>
      </c>
      <c r="P104" s="205" t="s">
        <v>333</v>
      </c>
      <c r="Q104" s="205" t="s">
        <v>333</v>
      </c>
      <c r="R104" s="205" t="s">
        <v>178</v>
      </c>
      <c r="S104" s="205" t="s">
        <v>349</v>
      </c>
      <c r="T104" s="205" t="s">
        <v>177</v>
      </c>
      <c r="U104" s="205" t="s">
        <v>340</v>
      </c>
      <c r="V104" s="205" t="s">
        <v>707</v>
      </c>
      <c r="W104" s="205" t="s">
        <v>352</v>
      </c>
      <c r="X104" s="205"/>
      <c r="Y104" s="205"/>
      <c r="AA104" s="205">
        <v>1</v>
      </c>
      <c r="AB104" s="205">
        <v>1.2</v>
      </c>
      <c r="AC104" s="205">
        <v>2</v>
      </c>
      <c r="AD104" s="205">
        <v>2.5</v>
      </c>
      <c r="AE104" s="205">
        <v>2.7</v>
      </c>
      <c r="AF104" s="205">
        <v>3</v>
      </c>
      <c r="AG104" s="205">
        <v>6</v>
      </c>
      <c r="AK104" s="29" t="s">
        <v>160</v>
      </c>
      <c r="AL104" s="31">
        <v>1.61</v>
      </c>
      <c r="AM104" s="31">
        <v>0.05</v>
      </c>
    </row>
    <row r="105" spans="1:44">
      <c r="A105" s="281" t="s">
        <v>769</v>
      </c>
      <c r="B105" t="s">
        <v>487</v>
      </c>
      <c r="C105" t="s">
        <v>476</v>
      </c>
      <c r="D105">
        <v>150</v>
      </c>
      <c r="E105">
        <v>15000</v>
      </c>
      <c r="F105">
        <v>0</v>
      </c>
      <c r="G105">
        <v>10070</v>
      </c>
      <c r="H105">
        <v>0.42</v>
      </c>
      <c r="K105" s="200" t="s">
        <v>295</v>
      </c>
      <c r="L105" s="200" t="s">
        <v>436</v>
      </c>
      <c r="M105" s="31">
        <v>567</v>
      </c>
      <c r="N105" s="31"/>
      <c r="O105" s="31">
        <v>2013</v>
      </c>
      <c r="P105" s="205" t="s">
        <v>349</v>
      </c>
      <c r="Q105" s="205" t="s">
        <v>333</v>
      </c>
      <c r="R105" s="205" t="s">
        <v>178</v>
      </c>
      <c r="S105" s="205" t="s">
        <v>349</v>
      </c>
      <c r="T105" s="205" t="s">
        <v>177</v>
      </c>
      <c r="U105" s="205" t="s">
        <v>340</v>
      </c>
      <c r="V105" s="205" t="s">
        <v>707</v>
      </c>
      <c r="W105" s="205" t="s">
        <v>352</v>
      </c>
      <c r="X105" s="205"/>
      <c r="Y105" s="205"/>
      <c r="AA105" s="205">
        <v>0.5</v>
      </c>
      <c r="AB105" s="205">
        <v>0.6</v>
      </c>
      <c r="AC105" s="205">
        <v>1</v>
      </c>
      <c r="AD105" s="205">
        <v>1.25</v>
      </c>
      <c r="AE105" s="205">
        <v>1.35</v>
      </c>
      <c r="AF105" s="205">
        <v>1.5</v>
      </c>
      <c r="AG105" s="205">
        <v>3</v>
      </c>
      <c r="AK105" s="29" t="s">
        <v>160</v>
      </c>
      <c r="AL105" s="31">
        <v>1.7</v>
      </c>
      <c r="AM105" s="31">
        <v>0.05</v>
      </c>
      <c r="AN105" s="205" t="s">
        <v>349</v>
      </c>
    </row>
    <row r="106" spans="1:44">
      <c r="A106" s="281" t="s">
        <v>769</v>
      </c>
      <c r="B106" s="200" t="s">
        <v>489</v>
      </c>
      <c r="C106" s="200" t="s">
        <v>476</v>
      </c>
      <c r="D106">
        <v>20</v>
      </c>
      <c r="E106">
        <v>2000</v>
      </c>
      <c r="F106">
        <v>0</v>
      </c>
      <c r="G106">
        <v>7030</v>
      </c>
      <c r="H106">
        <v>0.42</v>
      </c>
      <c r="K106" s="200" t="s">
        <v>295</v>
      </c>
      <c r="L106" s="200" t="s">
        <v>436</v>
      </c>
      <c r="M106" s="31">
        <v>567</v>
      </c>
      <c r="N106" s="31"/>
      <c r="O106" s="31">
        <v>2013</v>
      </c>
      <c r="P106" s="205" t="s">
        <v>349</v>
      </c>
      <c r="Q106" s="205" t="s">
        <v>333</v>
      </c>
      <c r="R106" s="205" t="s">
        <v>178</v>
      </c>
      <c r="S106" s="205" t="s">
        <v>349</v>
      </c>
      <c r="T106" s="205" t="s">
        <v>177</v>
      </c>
      <c r="U106" s="205" t="s">
        <v>340</v>
      </c>
      <c r="V106" s="205" t="s">
        <v>707</v>
      </c>
      <c r="W106" s="205" t="s">
        <v>352</v>
      </c>
      <c r="X106" s="205"/>
      <c r="Y106" s="205"/>
      <c r="AA106" s="205">
        <v>0.5</v>
      </c>
      <c r="AB106" s="205">
        <v>0.6</v>
      </c>
      <c r="AC106" s="205">
        <v>1</v>
      </c>
      <c r="AD106" s="205">
        <v>1.25</v>
      </c>
      <c r="AE106" s="205">
        <v>1.35</v>
      </c>
      <c r="AF106" s="205">
        <v>1.5</v>
      </c>
      <c r="AG106" s="205">
        <v>3</v>
      </c>
      <c r="AK106" s="29" t="s">
        <v>160</v>
      </c>
      <c r="AL106" s="30">
        <v>1.61</v>
      </c>
      <c r="AM106" s="31">
        <v>0.05</v>
      </c>
      <c r="AN106" s="205" t="s">
        <v>349</v>
      </c>
    </row>
    <row r="107" spans="1:44">
      <c r="A107" s="281" t="s">
        <v>769</v>
      </c>
      <c r="B107" s="200" t="s">
        <v>488</v>
      </c>
      <c r="C107" s="200" t="s">
        <v>476</v>
      </c>
      <c r="D107">
        <v>1</v>
      </c>
      <c r="E107">
        <v>500</v>
      </c>
      <c r="F107">
        <v>8.2014999999999993</v>
      </c>
      <c r="G107">
        <v>0.43430000000000002</v>
      </c>
      <c r="H107">
        <v>3.8120000000000001E-2</v>
      </c>
      <c r="I107" s="205">
        <v>0</v>
      </c>
      <c r="J107" s="205">
        <v>0</v>
      </c>
      <c r="K107" s="201" t="s">
        <v>551</v>
      </c>
      <c r="L107" s="200" t="s">
        <v>436</v>
      </c>
      <c r="M107" s="31">
        <v>567</v>
      </c>
      <c r="N107" s="31"/>
      <c r="O107" s="31">
        <v>2013</v>
      </c>
      <c r="P107" s="205" t="s">
        <v>349</v>
      </c>
      <c r="Q107" s="205" t="s">
        <v>333</v>
      </c>
      <c r="R107" s="205" t="s">
        <v>178</v>
      </c>
      <c r="S107" s="205" t="s">
        <v>349</v>
      </c>
      <c r="T107" s="205" t="s">
        <v>177</v>
      </c>
      <c r="U107" s="205" t="s">
        <v>340</v>
      </c>
      <c r="V107" s="205" t="s">
        <v>707</v>
      </c>
      <c r="W107" s="205" t="s">
        <v>352</v>
      </c>
      <c r="X107" s="205"/>
      <c r="Y107" s="205"/>
      <c r="AA107" s="205">
        <v>0.5</v>
      </c>
      <c r="AB107" s="205">
        <v>0.6</v>
      </c>
      <c r="AC107" s="205">
        <v>1</v>
      </c>
      <c r="AD107" s="205">
        <v>1.25</v>
      </c>
      <c r="AE107" s="205">
        <v>1.35</v>
      </c>
      <c r="AF107" s="205">
        <v>1.5</v>
      </c>
      <c r="AG107" s="205">
        <v>3</v>
      </c>
      <c r="AK107" s="29" t="s">
        <v>160</v>
      </c>
      <c r="AL107" s="30">
        <v>1.61</v>
      </c>
      <c r="AM107" s="31">
        <v>0.05</v>
      </c>
      <c r="AN107" s="205" t="s">
        <v>349</v>
      </c>
    </row>
    <row r="108" spans="1:44">
      <c r="P108" s="205"/>
    </row>
    <row r="109" spans="1:44">
      <c r="B109" t="s">
        <v>499</v>
      </c>
      <c r="P109" s="205"/>
    </row>
    <row r="110" spans="1:44">
      <c r="A110" s="200" t="s">
        <v>499</v>
      </c>
      <c r="B110" t="s">
        <v>491</v>
      </c>
      <c r="C110" t="s">
        <v>492</v>
      </c>
      <c r="D110">
        <v>3</v>
      </c>
      <c r="E110">
        <v>2000</v>
      </c>
      <c r="F110">
        <v>0</v>
      </c>
      <c r="G110">
        <v>363</v>
      </c>
      <c r="H110">
        <v>0.84</v>
      </c>
      <c r="K110" s="200" t="s">
        <v>295</v>
      </c>
      <c r="L110" s="200" t="s">
        <v>436</v>
      </c>
      <c r="M110" s="31">
        <v>567</v>
      </c>
      <c r="N110" s="31"/>
      <c r="O110" s="31">
        <v>2013</v>
      </c>
      <c r="P110" s="205" t="s">
        <v>333</v>
      </c>
      <c r="Q110" s="205" t="s">
        <v>333</v>
      </c>
      <c r="R110" s="205" t="s">
        <v>178</v>
      </c>
      <c r="S110" s="205" t="s">
        <v>349</v>
      </c>
      <c r="T110" s="205" t="s">
        <v>177</v>
      </c>
      <c r="U110" s="205" t="s">
        <v>340</v>
      </c>
      <c r="V110" s="205" t="s">
        <v>707</v>
      </c>
      <c r="W110" s="205" t="s">
        <v>352</v>
      </c>
      <c r="X110" s="205"/>
      <c r="Y110" s="205"/>
      <c r="AA110" s="205">
        <v>1</v>
      </c>
      <c r="AB110" s="205">
        <v>1.2</v>
      </c>
      <c r="AC110" s="205">
        <v>2</v>
      </c>
      <c r="AD110" s="205">
        <v>2.5</v>
      </c>
      <c r="AE110" s="205">
        <v>2.7</v>
      </c>
      <c r="AF110" s="205">
        <v>3</v>
      </c>
      <c r="AG110" s="205">
        <v>6</v>
      </c>
      <c r="AH110" s="200"/>
      <c r="AI110" s="200"/>
      <c r="AK110" s="200" t="s">
        <v>160</v>
      </c>
      <c r="AL110" s="200">
        <v>1</v>
      </c>
      <c r="AM110" s="27">
        <v>0.1</v>
      </c>
      <c r="AN110" s="200"/>
    </row>
    <row r="112" spans="1:44">
      <c r="B112" t="s">
        <v>500</v>
      </c>
    </row>
    <row r="113" spans="1:40">
      <c r="A113" s="200" t="s">
        <v>500</v>
      </c>
      <c r="B113" t="s">
        <v>494</v>
      </c>
      <c r="C113" t="s">
        <v>501</v>
      </c>
      <c r="D113" s="202">
        <v>2000000</v>
      </c>
      <c r="E113" s="202">
        <v>50000000</v>
      </c>
      <c r="F113">
        <v>0.1258</v>
      </c>
      <c r="G113">
        <v>1.802</v>
      </c>
      <c r="H113">
        <v>1.7749999999999998E-2</v>
      </c>
      <c r="I113" s="205">
        <v>0</v>
      </c>
      <c r="J113" s="205">
        <v>0</v>
      </c>
      <c r="K113" s="201" t="s">
        <v>551</v>
      </c>
      <c r="L113" s="200" t="s">
        <v>436</v>
      </c>
      <c r="M113" s="31">
        <v>567</v>
      </c>
      <c r="N113" s="31"/>
      <c r="O113" s="31">
        <v>2013</v>
      </c>
      <c r="Q113" s="205" t="s">
        <v>333</v>
      </c>
      <c r="R113" s="205" t="s">
        <v>178</v>
      </c>
      <c r="S113" s="205" t="s">
        <v>349</v>
      </c>
      <c r="T113" s="205" t="s">
        <v>177</v>
      </c>
      <c r="U113" s="205" t="s">
        <v>340</v>
      </c>
      <c r="V113" s="205" t="s">
        <v>707</v>
      </c>
      <c r="W113" s="205" t="s">
        <v>352</v>
      </c>
      <c r="X113" s="205"/>
      <c r="Y113" s="205"/>
      <c r="AA113" s="205">
        <v>1</v>
      </c>
      <c r="AB113" s="205">
        <v>1.2</v>
      </c>
      <c r="AC113" s="205">
        <v>2</v>
      </c>
      <c r="AD113" s="205">
        <v>2.5</v>
      </c>
      <c r="AE113" s="205">
        <v>2.7</v>
      </c>
      <c r="AF113" s="205">
        <v>3</v>
      </c>
      <c r="AG113" s="205">
        <v>6</v>
      </c>
      <c r="AK113" s="29">
        <v>1</v>
      </c>
      <c r="AL113" s="30">
        <v>1</v>
      </c>
      <c r="AM113" s="27">
        <v>0.1</v>
      </c>
      <c r="AN113" t="s">
        <v>503</v>
      </c>
    </row>
    <row r="114" spans="1:40">
      <c r="A114" s="200" t="s">
        <v>500</v>
      </c>
      <c r="B114" t="s">
        <v>495</v>
      </c>
      <c r="C114" t="s">
        <v>501</v>
      </c>
      <c r="D114" s="202">
        <v>200000</v>
      </c>
      <c r="E114" s="202">
        <v>14000000</v>
      </c>
      <c r="F114">
        <v>0</v>
      </c>
      <c r="G114">
        <v>3.1</v>
      </c>
      <c r="H114">
        <v>1</v>
      </c>
      <c r="K114" s="200" t="s">
        <v>295</v>
      </c>
      <c r="L114" s="200" t="s">
        <v>436</v>
      </c>
      <c r="M114" s="31">
        <v>567</v>
      </c>
      <c r="N114" s="31"/>
      <c r="O114" s="31">
        <v>2013</v>
      </c>
      <c r="Q114" s="205" t="s">
        <v>333</v>
      </c>
      <c r="R114" s="205" t="s">
        <v>178</v>
      </c>
      <c r="S114" s="205" t="s">
        <v>349</v>
      </c>
      <c r="T114" s="205" t="s">
        <v>177</v>
      </c>
      <c r="U114" s="205" t="s">
        <v>340</v>
      </c>
      <c r="V114" s="205" t="s">
        <v>707</v>
      </c>
      <c r="W114" s="205" t="s">
        <v>352</v>
      </c>
      <c r="X114" s="205"/>
      <c r="Y114" s="205"/>
      <c r="AA114" s="205">
        <v>1</v>
      </c>
      <c r="AB114" s="205">
        <v>1.2</v>
      </c>
      <c r="AC114" s="205">
        <v>2</v>
      </c>
      <c r="AD114" s="205">
        <v>2.5</v>
      </c>
      <c r="AE114" s="205">
        <v>2.7</v>
      </c>
      <c r="AF114" s="205">
        <v>3</v>
      </c>
      <c r="AG114" s="205">
        <v>6</v>
      </c>
      <c r="AK114" s="29">
        <v>1</v>
      </c>
      <c r="AL114" s="30">
        <v>1</v>
      </c>
      <c r="AM114" s="27">
        <v>0.1</v>
      </c>
      <c r="AN114" t="s">
        <v>503</v>
      </c>
    </row>
    <row r="115" spans="1:40">
      <c r="A115" s="200" t="s">
        <v>500</v>
      </c>
      <c r="B115" t="s">
        <v>496</v>
      </c>
      <c r="C115" t="s">
        <v>502</v>
      </c>
      <c r="D115" s="27">
        <v>0</v>
      </c>
      <c r="E115" s="28">
        <v>1000000000</v>
      </c>
      <c r="F115">
        <v>0</v>
      </c>
      <c r="G115">
        <v>51</v>
      </c>
      <c r="H115">
        <v>1</v>
      </c>
      <c r="K115" s="200" t="s">
        <v>295</v>
      </c>
      <c r="L115" s="200" t="s">
        <v>436</v>
      </c>
      <c r="M115" s="31">
        <v>567</v>
      </c>
      <c r="N115" s="31"/>
      <c r="O115" s="31">
        <v>2013</v>
      </c>
      <c r="Q115" s="205" t="s">
        <v>333</v>
      </c>
      <c r="R115" s="205" t="s">
        <v>178</v>
      </c>
      <c r="S115" s="205" t="s">
        <v>349</v>
      </c>
      <c r="T115" s="205" t="s">
        <v>177</v>
      </c>
      <c r="U115" s="205" t="s">
        <v>340</v>
      </c>
      <c r="V115" s="205" t="s">
        <v>707</v>
      </c>
      <c r="W115" s="205" t="s">
        <v>352</v>
      </c>
      <c r="X115" s="205"/>
      <c r="Y115" s="205"/>
      <c r="AA115" s="205">
        <v>1</v>
      </c>
      <c r="AB115" s="205">
        <v>1.2</v>
      </c>
      <c r="AC115" s="205">
        <v>2</v>
      </c>
      <c r="AD115" s="205">
        <v>2.5</v>
      </c>
      <c r="AE115" s="205">
        <v>2.7</v>
      </c>
      <c r="AF115" s="205">
        <v>3</v>
      </c>
      <c r="AG115" s="205">
        <v>6</v>
      </c>
      <c r="AK115" s="29" t="s">
        <v>160</v>
      </c>
      <c r="AL115" s="30">
        <v>1</v>
      </c>
      <c r="AM115" s="27">
        <v>0.1</v>
      </c>
      <c r="AN115" t="s">
        <v>504</v>
      </c>
    </row>
    <row r="116" spans="1:40">
      <c r="A116" s="200" t="s">
        <v>500</v>
      </c>
      <c r="B116" t="s">
        <v>497</v>
      </c>
      <c r="C116" s="200" t="s">
        <v>502</v>
      </c>
      <c r="D116" s="27">
        <v>0</v>
      </c>
      <c r="E116" s="28">
        <v>1000000000</v>
      </c>
      <c r="F116">
        <v>0</v>
      </c>
      <c r="G116">
        <v>43</v>
      </c>
      <c r="H116">
        <v>1</v>
      </c>
      <c r="K116" s="200" t="s">
        <v>295</v>
      </c>
      <c r="L116" s="200" t="s">
        <v>436</v>
      </c>
      <c r="M116" s="31">
        <v>567</v>
      </c>
      <c r="N116" s="31"/>
      <c r="O116" s="31">
        <v>2013</v>
      </c>
      <c r="Q116" s="205" t="s">
        <v>333</v>
      </c>
      <c r="R116" s="205" t="s">
        <v>178</v>
      </c>
      <c r="S116" s="205" t="s">
        <v>349</v>
      </c>
      <c r="T116" s="205" t="s">
        <v>177</v>
      </c>
      <c r="U116" s="205" t="s">
        <v>340</v>
      </c>
      <c r="V116" s="205" t="s">
        <v>707</v>
      </c>
      <c r="W116" s="205" t="s">
        <v>352</v>
      </c>
      <c r="X116" s="205"/>
      <c r="Y116" s="205"/>
      <c r="AA116" s="205">
        <v>1</v>
      </c>
      <c r="AB116" s="205">
        <v>1.2</v>
      </c>
      <c r="AC116" s="205">
        <v>2</v>
      </c>
      <c r="AD116" s="205">
        <v>2.5</v>
      </c>
      <c r="AE116" s="205">
        <v>2.7</v>
      </c>
      <c r="AF116" s="205">
        <v>3</v>
      </c>
      <c r="AG116" s="205">
        <v>6</v>
      </c>
      <c r="AK116" s="29" t="s">
        <v>160</v>
      </c>
      <c r="AL116" s="30">
        <v>1</v>
      </c>
      <c r="AM116" s="27">
        <v>0.1</v>
      </c>
      <c r="AN116" t="s">
        <v>504</v>
      </c>
    </row>
    <row r="117" spans="1:40">
      <c r="A117" s="200" t="s">
        <v>500</v>
      </c>
      <c r="B117" t="s">
        <v>506</v>
      </c>
      <c r="C117" s="200" t="s">
        <v>502</v>
      </c>
      <c r="D117" s="27">
        <v>0</v>
      </c>
      <c r="E117" s="28">
        <v>1000000000</v>
      </c>
      <c r="F117">
        <v>0</v>
      </c>
      <c r="G117">
        <v>10</v>
      </c>
      <c r="H117">
        <v>1</v>
      </c>
      <c r="K117" s="200" t="s">
        <v>295</v>
      </c>
      <c r="L117" s="200" t="s">
        <v>436</v>
      </c>
      <c r="M117" s="31">
        <v>567</v>
      </c>
      <c r="N117" s="31"/>
      <c r="O117" s="31">
        <v>2013</v>
      </c>
      <c r="Q117" s="205" t="s">
        <v>333</v>
      </c>
      <c r="R117" s="205" t="s">
        <v>178</v>
      </c>
      <c r="S117" s="205" t="s">
        <v>349</v>
      </c>
      <c r="T117" s="205" t="s">
        <v>177</v>
      </c>
      <c r="U117" s="205" t="s">
        <v>340</v>
      </c>
      <c r="V117" s="205" t="s">
        <v>707</v>
      </c>
      <c r="W117" s="205" t="s">
        <v>352</v>
      </c>
      <c r="X117" s="205"/>
      <c r="Y117" s="205"/>
      <c r="AA117" s="205">
        <v>1</v>
      </c>
      <c r="AB117" s="205">
        <v>1.2</v>
      </c>
      <c r="AC117" s="205">
        <v>2</v>
      </c>
      <c r="AD117" s="205">
        <v>2.5</v>
      </c>
      <c r="AE117" s="205">
        <v>2.7</v>
      </c>
      <c r="AF117" s="205">
        <v>3</v>
      </c>
      <c r="AG117" s="205">
        <v>6</v>
      </c>
      <c r="AK117" s="29" t="s">
        <v>160</v>
      </c>
      <c r="AL117" s="30">
        <v>1</v>
      </c>
      <c r="AM117" s="27">
        <v>0.1</v>
      </c>
      <c r="AN117" t="s">
        <v>505</v>
      </c>
    </row>
    <row r="118" spans="1:40">
      <c r="A118" s="200" t="s">
        <v>500</v>
      </c>
      <c r="B118" s="200" t="s">
        <v>507</v>
      </c>
      <c r="C118" s="200" t="s">
        <v>502</v>
      </c>
      <c r="D118" s="27">
        <v>0</v>
      </c>
      <c r="E118" s="28">
        <v>1000000000</v>
      </c>
      <c r="F118" s="200">
        <v>0</v>
      </c>
      <c r="G118" s="200">
        <v>17.5</v>
      </c>
      <c r="H118" s="200">
        <v>1</v>
      </c>
      <c r="K118" s="200" t="s">
        <v>295</v>
      </c>
      <c r="L118" s="200" t="s">
        <v>436</v>
      </c>
      <c r="M118" s="31">
        <v>567</v>
      </c>
      <c r="N118" s="31"/>
      <c r="O118" s="31">
        <v>2013</v>
      </c>
      <c r="P118" s="200"/>
      <c r="Q118" s="205" t="s">
        <v>333</v>
      </c>
      <c r="R118" s="205" t="s">
        <v>178</v>
      </c>
      <c r="S118" s="205" t="s">
        <v>349</v>
      </c>
      <c r="T118" s="205" t="s">
        <v>177</v>
      </c>
      <c r="U118" s="205" t="s">
        <v>340</v>
      </c>
      <c r="V118" s="205" t="s">
        <v>707</v>
      </c>
      <c r="W118" s="205" t="s">
        <v>352</v>
      </c>
      <c r="X118" s="205"/>
      <c r="Y118" s="205"/>
      <c r="AA118" s="205">
        <v>1</v>
      </c>
      <c r="AB118" s="205">
        <v>1.2</v>
      </c>
      <c r="AC118" s="205">
        <v>2</v>
      </c>
      <c r="AD118" s="205">
        <v>2.5</v>
      </c>
      <c r="AE118" s="205">
        <v>2.7</v>
      </c>
      <c r="AF118" s="205">
        <v>3</v>
      </c>
      <c r="AG118" s="205">
        <v>6</v>
      </c>
      <c r="AH118" s="200"/>
      <c r="AI118" s="200"/>
      <c r="AK118" s="200" t="s">
        <v>160</v>
      </c>
      <c r="AL118" s="200">
        <v>1</v>
      </c>
      <c r="AM118" s="27">
        <v>0.1</v>
      </c>
      <c r="AN118" s="200" t="s">
        <v>505</v>
      </c>
    </row>
    <row r="119" spans="1:40">
      <c r="A119" s="200" t="s">
        <v>500</v>
      </c>
      <c r="B119" s="200" t="s">
        <v>508</v>
      </c>
      <c r="C119" s="200" t="s">
        <v>502</v>
      </c>
      <c r="D119" s="27">
        <v>0</v>
      </c>
      <c r="E119" s="28">
        <v>1000000000</v>
      </c>
      <c r="F119" s="200">
        <v>0</v>
      </c>
      <c r="G119" s="200">
        <v>25</v>
      </c>
      <c r="H119" s="200">
        <v>1</v>
      </c>
      <c r="K119" s="200" t="s">
        <v>295</v>
      </c>
      <c r="L119" s="200" t="s">
        <v>436</v>
      </c>
      <c r="M119" s="31">
        <v>567</v>
      </c>
      <c r="N119" s="31"/>
      <c r="O119" s="31">
        <v>2013</v>
      </c>
      <c r="P119" s="200"/>
      <c r="Q119" s="205" t="s">
        <v>333</v>
      </c>
      <c r="R119" s="205" t="s">
        <v>178</v>
      </c>
      <c r="S119" s="205" t="s">
        <v>349</v>
      </c>
      <c r="T119" s="205" t="s">
        <v>177</v>
      </c>
      <c r="U119" s="205" t="s">
        <v>340</v>
      </c>
      <c r="V119" s="205" t="s">
        <v>707</v>
      </c>
      <c r="W119" s="205" t="s">
        <v>352</v>
      </c>
      <c r="X119" s="205"/>
      <c r="Y119" s="205"/>
      <c r="AA119" s="205">
        <v>1</v>
      </c>
      <c r="AB119" s="205">
        <v>1.2</v>
      </c>
      <c r="AC119" s="205">
        <v>2</v>
      </c>
      <c r="AD119" s="205">
        <v>2.5</v>
      </c>
      <c r="AE119" s="205">
        <v>2.7</v>
      </c>
      <c r="AF119" s="205">
        <v>3</v>
      </c>
      <c r="AG119" s="205">
        <v>6</v>
      </c>
      <c r="AH119" s="200"/>
      <c r="AI119" s="200"/>
      <c r="AK119" s="200" t="s">
        <v>160</v>
      </c>
      <c r="AL119" s="200">
        <v>1</v>
      </c>
      <c r="AM119" s="27">
        <v>0.1</v>
      </c>
      <c r="AN119" s="200" t="s">
        <v>505</v>
      </c>
    </row>
    <row r="121" spans="1:40">
      <c r="B121" t="s">
        <v>770</v>
      </c>
    </row>
    <row r="122" spans="1:40">
      <c r="A122" t="s">
        <v>978</v>
      </c>
      <c r="B122" t="s">
        <v>509</v>
      </c>
      <c r="C122" t="s">
        <v>456</v>
      </c>
      <c r="D122" s="200">
        <v>10</v>
      </c>
      <c r="E122" s="200">
        <v>56</v>
      </c>
      <c r="F122">
        <v>0</v>
      </c>
      <c r="G122">
        <v>2041</v>
      </c>
      <c r="H122">
        <v>0.57999999999999996</v>
      </c>
      <c r="K122" s="200" t="s">
        <v>295</v>
      </c>
      <c r="L122" s="200" t="s">
        <v>436</v>
      </c>
      <c r="M122" s="31">
        <v>567</v>
      </c>
      <c r="N122" s="31"/>
      <c r="O122" s="31">
        <v>2013</v>
      </c>
      <c r="P122" s="205" t="s">
        <v>333</v>
      </c>
      <c r="Q122" s="205" t="s">
        <v>333</v>
      </c>
      <c r="R122" s="205" t="s">
        <v>178</v>
      </c>
      <c r="S122" s="205" t="s">
        <v>349</v>
      </c>
      <c r="T122" s="205" t="s">
        <v>177</v>
      </c>
      <c r="U122" s="205" t="s">
        <v>340</v>
      </c>
      <c r="V122" s="205" t="s">
        <v>707</v>
      </c>
      <c r="W122" s="205" t="s">
        <v>352</v>
      </c>
      <c r="X122" s="205"/>
      <c r="Y122" s="205"/>
      <c r="AA122" s="205">
        <v>1</v>
      </c>
      <c r="AB122" s="205">
        <v>1.2</v>
      </c>
      <c r="AC122" s="205">
        <v>2</v>
      </c>
      <c r="AD122" s="205">
        <v>2.5</v>
      </c>
      <c r="AE122" s="205">
        <v>2.7</v>
      </c>
      <c r="AF122" s="205">
        <v>3</v>
      </c>
      <c r="AG122" s="205">
        <v>6</v>
      </c>
      <c r="AH122" s="200"/>
      <c r="AI122" s="200"/>
      <c r="AK122" s="200" t="s">
        <v>160</v>
      </c>
      <c r="AL122" s="27">
        <v>1.4</v>
      </c>
      <c r="AM122" s="1">
        <v>0.2</v>
      </c>
      <c r="AN122" s="200"/>
    </row>
    <row r="123" spans="1:40">
      <c r="A123" s="281" t="s">
        <v>978</v>
      </c>
      <c r="B123" t="s">
        <v>510</v>
      </c>
      <c r="C123" s="203" t="s">
        <v>456</v>
      </c>
      <c r="D123">
        <v>20</v>
      </c>
      <c r="E123">
        <v>380</v>
      </c>
      <c r="F123">
        <v>0</v>
      </c>
      <c r="G123">
        <v>18705</v>
      </c>
      <c r="H123">
        <v>0.6</v>
      </c>
      <c r="K123" s="200" t="s">
        <v>295</v>
      </c>
      <c r="L123" s="200" t="s">
        <v>436</v>
      </c>
      <c r="M123" s="31">
        <v>567</v>
      </c>
      <c r="N123" s="31"/>
      <c r="O123" s="31">
        <v>2013</v>
      </c>
      <c r="P123" s="205" t="s">
        <v>333</v>
      </c>
      <c r="Q123" s="205" t="s">
        <v>333</v>
      </c>
      <c r="R123" s="205" t="s">
        <v>178</v>
      </c>
      <c r="S123" s="205" t="s">
        <v>349</v>
      </c>
      <c r="T123" s="205" t="s">
        <v>177</v>
      </c>
      <c r="U123" s="205" t="s">
        <v>340</v>
      </c>
      <c r="V123" s="205" t="s">
        <v>707</v>
      </c>
      <c r="W123" s="205" t="s">
        <v>352</v>
      </c>
      <c r="X123" s="205"/>
      <c r="Y123" s="205"/>
      <c r="AA123" s="205">
        <v>1</v>
      </c>
      <c r="AB123" s="205">
        <v>1.2</v>
      </c>
      <c r="AC123" s="205">
        <v>2</v>
      </c>
      <c r="AD123" s="205">
        <v>2.5</v>
      </c>
      <c r="AE123" s="205">
        <v>2.7</v>
      </c>
      <c r="AF123" s="205">
        <v>3</v>
      </c>
      <c r="AG123" s="205">
        <v>6</v>
      </c>
      <c r="AH123" s="200"/>
      <c r="AI123" s="200"/>
      <c r="AK123" s="205" t="s">
        <v>160</v>
      </c>
      <c r="AL123" s="27">
        <v>1.4</v>
      </c>
      <c r="AM123" s="1">
        <v>0.2</v>
      </c>
      <c r="AN123" s="200"/>
    </row>
    <row r="124" spans="1:40">
      <c r="A124" s="281" t="s">
        <v>978</v>
      </c>
      <c r="B124" t="s">
        <v>511</v>
      </c>
      <c r="C124" s="203" t="s">
        <v>456</v>
      </c>
      <c r="D124">
        <v>10</v>
      </c>
      <c r="E124">
        <v>380</v>
      </c>
      <c r="F124">
        <v>0</v>
      </c>
      <c r="G124">
        <v>15875</v>
      </c>
      <c r="H124">
        <v>0.56000000000000005</v>
      </c>
      <c r="K124" s="200" t="s">
        <v>295</v>
      </c>
      <c r="L124" s="200" t="s">
        <v>436</v>
      </c>
      <c r="M124" s="31">
        <v>567</v>
      </c>
      <c r="N124" s="31"/>
      <c r="O124" s="31">
        <v>2013</v>
      </c>
      <c r="P124" s="205" t="s">
        <v>333</v>
      </c>
      <c r="Q124" s="205" t="s">
        <v>333</v>
      </c>
      <c r="R124" s="205" t="s">
        <v>178</v>
      </c>
      <c r="S124" s="205" t="s">
        <v>349</v>
      </c>
      <c r="T124" s="205" t="s">
        <v>177</v>
      </c>
      <c r="U124" s="205" t="s">
        <v>340</v>
      </c>
      <c r="V124" s="205" t="s">
        <v>707</v>
      </c>
      <c r="W124" s="205" t="s">
        <v>352</v>
      </c>
      <c r="X124" s="205"/>
      <c r="Y124" s="205"/>
      <c r="AA124" s="205">
        <v>1</v>
      </c>
      <c r="AB124" s="205">
        <v>1.2</v>
      </c>
      <c r="AC124" s="205">
        <v>2</v>
      </c>
      <c r="AD124" s="205">
        <v>2.5</v>
      </c>
      <c r="AE124" s="205">
        <v>2.7</v>
      </c>
      <c r="AF124" s="205">
        <v>3</v>
      </c>
      <c r="AG124" s="205">
        <v>6</v>
      </c>
      <c r="AH124" s="200"/>
      <c r="AI124" s="200"/>
      <c r="AK124" s="205" t="s">
        <v>160</v>
      </c>
      <c r="AL124" s="27">
        <v>1.4</v>
      </c>
      <c r="AM124" s="1">
        <v>0.2</v>
      </c>
      <c r="AN124" s="200"/>
    </row>
    <row r="125" spans="1:40">
      <c r="A125" s="281" t="s">
        <v>978</v>
      </c>
      <c r="B125" t="s">
        <v>512</v>
      </c>
      <c r="C125" s="203" t="s">
        <v>456</v>
      </c>
      <c r="D125">
        <v>25</v>
      </c>
      <c r="E125">
        <v>320</v>
      </c>
      <c r="F125">
        <v>0</v>
      </c>
      <c r="G125">
        <v>2438</v>
      </c>
      <c r="H125">
        <v>0.6</v>
      </c>
      <c r="K125" s="200" t="s">
        <v>295</v>
      </c>
      <c r="L125" s="200" t="s">
        <v>436</v>
      </c>
      <c r="M125" s="31">
        <v>567</v>
      </c>
      <c r="N125" s="31"/>
      <c r="O125" s="31">
        <v>2013</v>
      </c>
      <c r="P125" s="205" t="s">
        <v>333</v>
      </c>
      <c r="Q125" s="205" t="s">
        <v>333</v>
      </c>
      <c r="R125" s="205" t="s">
        <v>178</v>
      </c>
      <c r="S125" s="205" t="s">
        <v>349</v>
      </c>
      <c r="T125" s="205" t="s">
        <v>177</v>
      </c>
      <c r="U125" s="205" t="s">
        <v>340</v>
      </c>
      <c r="V125" s="205" t="s">
        <v>707</v>
      </c>
      <c r="W125" s="205" t="s">
        <v>352</v>
      </c>
      <c r="X125" s="205"/>
      <c r="Y125" s="205"/>
      <c r="AA125" s="205">
        <v>1</v>
      </c>
      <c r="AB125" s="205">
        <v>1.2</v>
      </c>
      <c r="AC125" s="205">
        <v>2</v>
      </c>
      <c r="AD125" s="205">
        <v>2.5</v>
      </c>
      <c r="AE125" s="205">
        <v>2.7</v>
      </c>
      <c r="AF125" s="205">
        <v>3</v>
      </c>
      <c r="AG125" s="205">
        <v>6</v>
      </c>
      <c r="AH125" s="200"/>
      <c r="AI125" s="200"/>
      <c r="AK125" s="205" t="s">
        <v>160</v>
      </c>
      <c r="AL125" s="27">
        <v>1.4</v>
      </c>
      <c r="AM125" s="1">
        <v>0.2</v>
      </c>
      <c r="AN125" s="200"/>
    </row>
    <row r="126" spans="1:40">
      <c r="A126" s="281" t="s">
        <v>978</v>
      </c>
      <c r="B126" t="s">
        <v>513</v>
      </c>
      <c r="C126" s="203" t="s">
        <v>456</v>
      </c>
      <c r="D126">
        <v>50</v>
      </c>
      <c r="E126">
        <v>270</v>
      </c>
      <c r="F126">
        <v>0</v>
      </c>
      <c r="G126">
        <v>3856</v>
      </c>
      <c r="H126">
        <v>0.42</v>
      </c>
      <c r="K126" s="200" t="s">
        <v>295</v>
      </c>
      <c r="L126" s="200" t="s">
        <v>436</v>
      </c>
      <c r="M126" s="31">
        <v>567</v>
      </c>
      <c r="N126" s="31"/>
      <c r="O126" s="31">
        <v>2013</v>
      </c>
      <c r="P126" s="205" t="s">
        <v>333</v>
      </c>
      <c r="Q126" s="205" t="s">
        <v>333</v>
      </c>
      <c r="R126" s="205" t="s">
        <v>178</v>
      </c>
      <c r="S126" s="205" t="s">
        <v>349</v>
      </c>
      <c r="T126" s="205" t="s">
        <v>177</v>
      </c>
      <c r="U126" s="205" t="s">
        <v>340</v>
      </c>
      <c r="V126" s="205" t="s">
        <v>707</v>
      </c>
      <c r="W126" s="205" t="s">
        <v>352</v>
      </c>
      <c r="X126" s="205"/>
      <c r="Y126" s="205"/>
      <c r="AA126" s="205">
        <v>1</v>
      </c>
      <c r="AB126" s="205">
        <v>1.2</v>
      </c>
      <c r="AC126" s="205">
        <v>2</v>
      </c>
      <c r="AD126" s="205">
        <v>2.5</v>
      </c>
      <c r="AE126" s="205">
        <v>2.7</v>
      </c>
      <c r="AF126" s="205">
        <v>3</v>
      </c>
      <c r="AG126" s="205">
        <v>6</v>
      </c>
      <c r="AH126" s="200"/>
      <c r="AI126" s="200"/>
      <c r="AK126" s="205" t="s">
        <v>160</v>
      </c>
      <c r="AL126" s="27">
        <v>1.4</v>
      </c>
      <c r="AM126" s="1">
        <v>0.2</v>
      </c>
      <c r="AN126" s="200"/>
    </row>
    <row r="127" spans="1:40">
      <c r="A127" s="281" t="s">
        <v>978</v>
      </c>
      <c r="B127" t="s">
        <v>514</v>
      </c>
      <c r="C127" s="203" t="s">
        <v>456</v>
      </c>
      <c r="D127">
        <v>35</v>
      </c>
      <c r="E127">
        <v>330</v>
      </c>
      <c r="F127">
        <v>0</v>
      </c>
      <c r="G127">
        <v>1700</v>
      </c>
      <c r="H127">
        <v>0.6</v>
      </c>
      <c r="K127" s="200" t="s">
        <v>295</v>
      </c>
      <c r="L127" s="200" t="s">
        <v>436</v>
      </c>
      <c r="M127" s="31">
        <v>567</v>
      </c>
      <c r="N127" s="31"/>
      <c r="O127" s="31">
        <v>2013</v>
      </c>
      <c r="P127" s="205" t="s">
        <v>333</v>
      </c>
      <c r="Q127" s="205" t="s">
        <v>333</v>
      </c>
      <c r="R127" s="205" t="s">
        <v>178</v>
      </c>
      <c r="S127" s="205" t="s">
        <v>349</v>
      </c>
      <c r="T127" s="205" t="s">
        <v>177</v>
      </c>
      <c r="U127" s="205" t="s">
        <v>340</v>
      </c>
      <c r="V127" s="205" t="s">
        <v>707</v>
      </c>
      <c r="W127" s="205" t="s">
        <v>352</v>
      </c>
      <c r="X127" s="205"/>
      <c r="Y127" s="205"/>
      <c r="AA127" s="205">
        <v>1</v>
      </c>
      <c r="AB127" s="205">
        <v>1.2</v>
      </c>
      <c r="AC127" s="205">
        <v>2</v>
      </c>
      <c r="AD127" s="205">
        <v>2.5</v>
      </c>
      <c r="AE127" s="205">
        <v>2.7</v>
      </c>
      <c r="AF127" s="205">
        <v>3</v>
      </c>
      <c r="AG127" s="205">
        <v>6</v>
      </c>
      <c r="AH127" s="200"/>
      <c r="AI127" s="200"/>
      <c r="AK127" s="205" t="s">
        <v>160</v>
      </c>
      <c r="AL127" s="27">
        <v>1.4</v>
      </c>
      <c r="AM127" s="1">
        <v>0.2</v>
      </c>
      <c r="AN127" s="200"/>
    </row>
    <row r="128" spans="1:40">
      <c r="K128" s="200"/>
      <c r="L128" s="200"/>
      <c r="M128" s="200"/>
      <c r="N128" s="200"/>
      <c r="O128" s="200"/>
      <c r="P128" s="205"/>
      <c r="Q128" s="200"/>
      <c r="R128" s="200"/>
      <c r="S128" s="200"/>
      <c r="T128" s="200"/>
      <c r="U128" s="200"/>
      <c r="V128" s="200"/>
      <c r="W128" s="200"/>
      <c r="X128" s="200"/>
      <c r="Y128" s="200"/>
      <c r="AA128" s="200"/>
      <c r="AB128" s="200"/>
      <c r="AC128" s="200"/>
      <c r="AD128" s="200"/>
      <c r="AE128" s="200"/>
      <c r="AF128" s="200"/>
      <c r="AG128" s="200"/>
      <c r="AH128" s="200"/>
      <c r="AI128" s="200"/>
      <c r="AK128" s="200"/>
      <c r="AL128" s="200"/>
      <c r="AM128" s="200"/>
      <c r="AN128" s="200"/>
    </row>
    <row r="129" spans="1:44" s="29" customFormat="1">
      <c r="B129" s="29" t="s">
        <v>736</v>
      </c>
      <c r="I129" s="204"/>
      <c r="J129" s="204"/>
      <c r="R129" s="30"/>
      <c r="S129" s="30"/>
      <c r="T129" s="30"/>
      <c r="U129" s="30"/>
      <c r="V129" s="30"/>
      <c r="W129" s="30"/>
      <c r="X129" s="30"/>
      <c r="Y129" s="30"/>
      <c r="Z129" s="205"/>
      <c r="AA129" s="30"/>
      <c r="AB129" s="30"/>
      <c r="AC129" s="30"/>
      <c r="AD129" s="30"/>
      <c r="AE129" s="30"/>
      <c r="AF129" s="30"/>
      <c r="AG129" s="30"/>
      <c r="AH129" s="30"/>
      <c r="AI129" s="30"/>
      <c r="AJ129" s="205"/>
      <c r="AL129" s="30"/>
      <c r="AM129" s="30"/>
      <c r="AR129" s="214"/>
    </row>
    <row r="130" spans="1:44" s="29" customFormat="1">
      <c r="A130" s="29" t="s">
        <v>736</v>
      </c>
      <c r="B130" s="29" t="s">
        <v>222</v>
      </c>
      <c r="C130" s="29" t="s">
        <v>223</v>
      </c>
      <c r="D130" s="29">
        <v>5</v>
      </c>
      <c r="E130" s="29">
        <v>75</v>
      </c>
      <c r="F130" s="29">
        <v>17000</v>
      </c>
      <c r="G130" s="29">
        <v>1130</v>
      </c>
      <c r="H130" s="29">
        <v>1.05</v>
      </c>
      <c r="I130" s="204"/>
      <c r="J130" s="204"/>
      <c r="K130" s="29" t="s">
        <v>295</v>
      </c>
      <c r="L130" s="197" t="s">
        <v>437</v>
      </c>
      <c r="M130" s="29">
        <v>532.9</v>
      </c>
      <c r="N130" s="29">
        <v>2281.6</v>
      </c>
      <c r="O130" s="29">
        <v>2010</v>
      </c>
      <c r="Q130" s="31" t="s">
        <v>333</v>
      </c>
      <c r="R130" s="31" t="s">
        <v>334</v>
      </c>
      <c r="S130" s="31" t="s">
        <v>335</v>
      </c>
      <c r="T130" s="31" t="s">
        <v>336</v>
      </c>
      <c r="U130" s="31" t="s">
        <v>337</v>
      </c>
      <c r="V130" s="31" t="s">
        <v>338</v>
      </c>
      <c r="W130" s="31" t="s">
        <v>339</v>
      </c>
      <c r="X130" s="31" t="s">
        <v>340</v>
      </c>
      <c r="Y130" s="31" t="s">
        <v>341</v>
      </c>
      <c r="Z130" s="31"/>
      <c r="AA130" s="31">
        <v>1</v>
      </c>
      <c r="AB130" s="31">
        <v>1.07</v>
      </c>
      <c r="AC130" s="31">
        <v>1.1000000000000001</v>
      </c>
      <c r="AD130" s="31">
        <v>1.3</v>
      </c>
      <c r="AE130" s="31">
        <v>1.3</v>
      </c>
      <c r="AF130" s="31">
        <v>1.5</v>
      </c>
      <c r="AG130" s="31">
        <v>1.55</v>
      </c>
      <c r="AH130" s="31">
        <v>1.65</v>
      </c>
      <c r="AI130" s="31">
        <v>1.7</v>
      </c>
      <c r="AJ130" s="31"/>
      <c r="AK130" s="29" t="s">
        <v>160</v>
      </c>
      <c r="AL130" s="27">
        <v>1.4</v>
      </c>
      <c r="AM130" s="1">
        <v>0.2</v>
      </c>
      <c r="AR130" s="214"/>
    </row>
    <row r="131" spans="1:44" s="29" customFormat="1">
      <c r="A131" s="281" t="s">
        <v>736</v>
      </c>
      <c r="B131" s="29" t="s">
        <v>224</v>
      </c>
      <c r="C131" s="29" t="s">
        <v>223</v>
      </c>
      <c r="D131" s="29">
        <v>5</v>
      </c>
      <c r="E131" s="29">
        <v>35</v>
      </c>
      <c r="F131" s="29">
        <v>30800</v>
      </c>
      <c r="G131" s="29">
        <v>125</v>
      </c>
      <c r="H131" s="29">
        <v>2</v>
      </c>
      <c r="I131" s="204"/>
      <c r="J131" s="204"/>
      <c r="K131" s="29" t="s">
        <v>295</v>
      </c>
      <c r="L131" s="197" t="s">
        <v>437</v>
      </c>
      <c r="M131" s="29">
        <v>532.9</v>
      </c>
      <c r="N131" s="29">
        <v>2281.6</v>
      </c>
      <c r="O131" s="29">
        <v>2010</v>
      </c>
      <c r="Q131" s="31" t="s">
        <v>333</v>
      </c>
      <c r="R131" s="31" t="s">
        <v>334</v>
      </c>
      <c r="S131" s="31" t="s">
        <v>335</v>
      </c>
      <c r="T131" s="31" t="s">
        <v>336</v>
      </c>
      <c r="U131" s="31" t="s">
        <v>337</v>
      </c>
      <c r="V131" s="31" t="s">
        <v>338</v>
      </c>
      <c r="W131" s="31" t="s">
        <v>339</v>
      </c>
      <c r="X131" s="31" t="s">
        <v>340</v>
      </c>
      <c r="Y131" s="31" t="s">
        <v>341</v>
      </c>
      <c r="Z131" s="31"/>
      <c r="AA131" s="31">
        <v>1</v>
      </c>
      <c r="AB131" s="31">
        <v>1.07</v>
      </c>
      <c r="AC131" s="31">
        <v>1.1000000000000001</v>
      </c>
      <c r="AD131" s="31">
        <v>1.3</v>
      </c>
      <c r="AE131" s="31">
        <v>1.3</v>
      </c>
      <c r="AF131" s="31">
        <v>1.5</v>
      </c>
      <c r="AG131" s="31">
        <v>1.55</v>
      </c>
      <c r="AH131" s="31">
        <v>1.65</v>
      </c>
      <c r="AI131" s="31">
        <v>1.7</v>
      </c>
      <c r="AJ131" s="31"/>
      <c r="AK131" s="29" t="s">
        <v>160</v>
      </c>
      <c r="AL131" s="27">
        <v>1.4</v>
      </c>
      <c r="AM131" s="1">
        <v>0.2</v>
      </c>
      <c r="AR131" s="214"/>
    </row>
    <row r="132" spans="1:44" s="29" customFormat="1">
      <c r="A132" s="281" t="s">
        <v>736</v>
      </c>
      <c r="B132" s="29" t="s">
        <v>225</v>
      </c>
      <c r="C132" s="29" t="s">
        <v>226</v>
      </c>
      <c r="D132" s="29">
        <v>1</v>
      </c>
      <c r="E132" s="29">
        <v>50</v>
      </c>
      <c r="F132" s="29">
        <v>570</v>
      </c>
      <c r="G132" s="29">
        <v>1170</v>
      </c>
      <c r="H132" s="29">
        <v>0.4</v>
      </c>
      <c r="I132" s="204"/>
      <c r="J132" s="204"/>
      <c r="K132" s="29" t="s">
        <v>295</v>
      </c>
      <c r="L132" s="197" t="s">
        <v>437</v>
      </c>
      <c r="M132" s="29">
        <v>532.9</v>
      </c>
      <c r="N132" s="29">
        <v>2281.6</v>
      </c>
      <c r="O132" s="29">
        <v>2010</v>
      </c>
      <c r="Q132" s="31" t="s">
        <v>333</v>
      </c>
      <c r="R132" s="31" t="s">
        <v>334</v>
      </c>
      <c r="S132" s="31" t="s">
        <v>335</v>
      </c>
      <c r="T132" s="31" t="s">
        <v>336</v>
      </c>
      <c r="U132" s="31" t="s">
        <v>337</v>
      </c>
      <c r="V132" s="31" t="s">
        <v>338</v>
      </c>
      <c r="W132" s="31" t="s">
        <v>339</v>
      </c>
      <c r="X132" s="31" t="s">
        <v>340</v>
      </c>
      <c r="Y132" s="31" t="s">
        <v>341</v>
      </c>
      <c r="Z132" s="31"/>
      <c r="AA132" s="31">
        <v>1</v>
      </c>
      <c r="AB132" s="31">
        <v>1.07</v>
      </c>
      <c r="AC132" s="31">
        <v>1.1000000000000001</v>
      </c>
      <c r="AD132" s="31">
        <v>1.3</v>
      </c>
      <c r="AE132" s="31">
        <v>1.3</v>
      </c>
      <c r="AF132" s="31">
        <v>1.5</v>
      </c>
      <c r="AG132" s="31">
        <v>1.55</v>
      </c>
      <c r="AH132" s="31">
        <v>1.65</v>
      </c>
      <c r="AI132" s="31">
        <v>1.7</v>
      </c>
      <c r="AJ132" s="31"/>
      <c r="AK132" s="29" t="s">
        <v>160</v>
      </c>
      <c r="AL132" s="27">
        <v>1.4</v>
      </c>
      <c r="AM132" s="1">
        <v>0.2</v>
      </c>
      <c r="AR132" s="214"/>
    </row>
    <row r="133" spans="1:44" s="29" customFormat="1">
      <c r="I133" s="204"/>
      <c r="J133" s="204"/>
      <c r="R133" s="30"/>
      <c r="S133" s="30"/>
      <c r="T133" s="30"/>
      <c r="U133" s="30"/>
      <c r="V133" s="30"/>
      <c r="W133" s="30"/>
      <c r="X133" s="30"/>
      <c r="Y133" s="30"/>
      <c r="Z133" s="205"/>
      <c r="AA133" s="30"/>
      <c r="AB133" s="30"/>
      <c r="AC133" s="30"/>
      <c r="AD133" s="30"/>
      <c r="AE133" s="30"/>
      <c r="AF133" s="30"/>
      <c r="AG133" s="30"/>
      <c r="AH133" s="30"/>
      <c r="AI133" s="30"/>
      <c r="AJ133" s="205"/>
      <c r="AL133" s="30"/>
      <c r="AM133" s="30"/>
      <c r="AR133" s="214"/>
    </row>
    <row r="134" spans="1:44" s="299" customFormat="1">
      <c r="B134" s="299" t="s">
        <v>1008</v>
      </c>
      <c r="Q134" s="31"/>
      <c r="R134" s="31"/>
      <c r="S134" s="31"/>
      <c r="T134" s="31"/>
      <c r="U134" s="31"/>
      <c r="V134" s="31"/>
      <c r="W134" s="31"/>
      <c r="X134" s="31"/>
      <c r="Y134" s="31"/>
      <c r="Z134" s="31"/>
      <c r="AA134" s="31"/>
      <c r="AB134" s="31"/>
      <c r="AC134" s="31"/>
      <c r="AD134" s="31"/>
      <c r="AE134" s="31"/>
      <c r="AF134" s="31"/>
      <c r="AG134" s="31"/>
      <c r="AH134" s="31"/>
      <c r="AI134" s="31"/>
      <c r="AJ134" s="31"/>
      <c r="AL134" s="27"/>
      <c r="AM134" s="1"/>
    </row>
    <row r="135" spans="1:44" s="299" customFormat="1">
      <c r="A135" s="299" t="s">
        <v>1009</v>
      </c>
      <c r="B135" s="299" t="s">
        <v>1005</v>
      </c>
      <c r="C135" s="299" t="s">
        <v>807</v>
      </c>
      <c r="D135" s="299">
        <v>1</v>
      </c>
      <c r="E135" s="299">
        <v>1</v>
      </c>
      <c r="F135" s="299">
        <v>68</v>
      </c>
      <c r="G135" s="299">
        <v>0</v>
      </c>
      <c r="H135" s="299">
        <v>0</v>
      </c>
      <c r="K135" s="299" t="s">
        <v>295</v>
      </c>
      <c r="L135" s="299" t="s">
        <v>1010</v>
      </c>
      <c r="O135" s="299">
        <v>2017</v>
      </c>
      <c r="Q135" s="31" t="s">
        <v>1006</v>
      </c>
      <c r="R135" s="31"/>
      <c r="S135" s="31"/>
      <c r="T135" s="31"/>
      <c r="U135" s="31"/>
      <c r="V135" s="31"/>
      <c r="W135" s="31"/>
      <c r="X135" s="31"/>
      <c r="Y135" s="31"/>
      <c r="Z135" s="31"/>
      <c r="AA135" s="31">
        <v>1</v>
      </c>
      <c r="AB135" s="31"/>
      <c r="AC135" s="31"/>
      <c r="AD135" s="31"/>
      <c r="AE135" s="31"/>
      <c r="AF135" s="31"/>
      <c r="AG135" s="31"/>
      <c r="AH135" s="31"/>
      <c r="AI135" s="31"/>
      <c r="AJ135" s="31"/>
      <c r="AL135" s="27">
        <v>1</v>
      </c>
      <c r="AM135" s="1">
        <v>0.125</v>
      </c>
    </row>
    <row r="136" spans="1:44" s="299" customFormat="1">
      <c r="A136" s="299" t="s">
        <v>1009</v>
      </c>
      <c r="B136" s="299" t="s">
        <v>1007</v>
      </c>
      <c r="C136" s="299" t="s">
        <v>807</v>
      </c>
      <c r="D136" s="299">
        <v>1</v>
      </c>
      <c r="E136" s="299">
        <v>1</v>
      </c>
      <c r="F136" s="299">
        <v>2500</v>
      </c>
      <c r="G136" s="299">
        <v>0</v>
      </c>
      <c r="H136" s="299">
        <v>0</v>
      </c>
      <c r="K136" s="299" t="s">
        <v>295</v>
      </c>
      <c r="O136" s="299">
        <v>2017</v>
      </c>
      <c r="Q136" s="31" t="s">
        <v>779</v>
      </c>
      <c r="R136" s="31"/>
      <c r="S136" s="31"/>
      <c r="T136" s="31"/>
      <c r="U136" s="31"/>
      <c r="V136" s="31"/>
      <c r="W136" s="31"/>
      <c r="X136" s="31"/>
      <c r="Y136" s="31"/>
      <c r="Z136" s="31"/>
      <c r="AA136" s="31">
        <v>1</v>
      </c>
      <c r="AB136" s="31"/>
      <c r="AC136" s="31"/>
      <c r="AD136" s="31"/>
      <c r="AE136" s="31"/>
      <c r="AF136" s="31"/>
      <c r="AG136" s="31"/>
      <c r="AH136" s="31"/>
      <c r="AI136" s="31"/>
      <c r="AJ136" s="31"/>
      <c r="AL136" s="27">
        <v>1</v>
      </c>
      <c r="AM136" s="1">
        <v>0</v>
      </c>
    </row>
    <row r="137" spans="1:44" s="299" customFormat="1">
      <c r="Q137" s="31"/>
      <c r="R137" s="31"/>
      <c r="S137" s="31"/>
      <c r="T137" s="31"/>
      <c r="U137" s="31"/>
      <c r="V137" s="31"/>
      <c r="W137" s="31"/>
      <c r="X137" s="31"/>
      <c r="Y137" s="31"/>
      <c r="Z137" s="31"/>
      <c r="AA137" s="31"/>
      <c r="AB137" s="31"/>
      <c r="AC137" s="31"/>
      <c r="AD137" s="31"/>
      <c r="AE137" s="31"/>
      <c r="AF137" s="31"/>
      <c r="AG137" s="31"/>
      <c r="AH137" s="31"/>
      <c r="AI137" s="31"/>
      <c r="AJ137" s="31"/>
      <c r="AL137" s="27"/>
      <c r="AM137" s="1"/>
    </row>
    <row r="138" spans="1:44" s="213" customFormat="1">
      <c r="B138" s="213" t="s">
        <v>792</v>
      </c>
      <c r="AR138" s="214"/>
    </row>
    <row r="139" spans="1:44" s="213" customFormat="1">
      <c r="A139" s="281" t="s">
        <v>792</v>
      </c>
      <c r="B139" s="213" t="s">
        <v>808</v>
      </c>
      <c r="C139" s="213" t="s">
        <v>807</v>
      </c>
      <c r="D139" s="27">
        <v>1</v>
      </c>
      <c r="E139" s="27">
        <v>1</v>
      </c>
      <c r="F139" s="213">
        <v>18000</v>
      </c>
      <c r="G139" s="213">
        <v>0</v>
      </c>
      <c r="H139" s="213">
        <v>0</v>
      </c>
      <c r="K139" s="213" t="s">
        <v>295</v>
      </c>
      <c r="L139" s="213" t="s">
        <v>806</v>
      </c>
      <c r="O139" s="213">
        <v>2017</v>
      </c>
      <c r="Q139" s="31" t="s">
        <v>779</v>
      </c>
      <c r="AA139" s="31">
        <v>1</v>
      </c>
      <c r="AL139" s="27">
        <v>1</v>
      </c>
      <c r="AM139" s="213">
        <v>0.25</v>
      </c>
      <c r="AN139" s="213" t="s">
        <v>809</v>
      </c>
      <c r="AR139" s="214"/>
    </row>
    <row r="140" spans="1:44" s="213" customFormat="1">
      <c r="A140" s="281" t="s">
        <v>792</v>
      </c>
      <c r="B140" s="213" t="s">
        <v>793</v>
      </c>
      <c r="C140" s="213" t="s">
        <v>807</v>
      </c>
      <c r="D140" s="27">
        <v>1</v>
      </c>
      <c r="E140" s="27">
        <v>1</v>
      </c>
      <c r="F140" s="213">
        <v>92.01</v>
      </c>
      <c r="G140" s="213">
        <v>0</v>
      </c>
      <c r="H140" s="213">
        <v>0</v>
      </c>
      <c r="K140" s="213" t="s">
        <v>295</v>
      </c>
      <c r="L140" s="213" t="s">
        <v>806</v>
      </c>
      <c r="O140" s="213">
        <v>2017</v>
      </c>
      <c r="Q140" s="31" t="s">
        <v>779</v>
      </c>
      <c r="AA140" s="31">
        <v>1</v>
      </c>
      <c r="AL140" s="27">
        <v>1</v>
      </c>
      <c r="AM140" s="213">
        <v>0</v>
      </c>
      <c r="AN140" s="215" t="str">
        <f>HYPERLINK("https://www.idex-hs.com/check-valve-inline-assembly.html?optionvalue=6540","IDEX check valve")</f>
        <v>IDEX check valve</v>
      </c>
      <c r="AR140" s="214"/>
    </row>
    <row r="141" spans="1:44" s="213" customFormat="1">
      <c r="A141" s="281" t="s">
        <v>792</v>
      </c>
      <c r="B141" s="213" t="s">
        <v>794</v>
      </c>
      <c r="C141" s="213" t="s">
        <v>807</v>
      </c>
      <c r="D141" s="27">
        <v>1</v>
      </c>
      <c r="E141" s="27">
        <v>1</v>
      </c>
      <c r="F141" s="213">
        <v>60.16</v>
      </c>
      <c r="G141" s="213">
        <v>0</v>
      </c>
      <c r="H141" s="213">
        <v>0</v>
      </c>
      <c r="K141" s="213" t="s">
        <v>295</v>
      </c>
      <c r="L141" s="213" t="s">
        <v>806</v>
      </c>
      <c r="O141" s="213">
        <v>2017</v>
      </c>
      <c r="Q141" s="31" t="s">
        <v>779</v>
      </c>
      <c r="AA141" s="31">
        <v>1</v>
      </c>
      <c r="AL141" s="27">
        <v>1</v>
      </c>
      <c r="AM141" s="213">
        <v>0</v>
      </c>
      <c r="AN141" s="215" t="str">
        <f>HYPERLINK("https://www.idex-hs.com/micro-metering-valve-assembly-1-4-28-flat-bottom-for-1-16-od.html?optionvalue=6540","IDEX micro metering valve")</f>
        <v>IDEX micro metering valve</v>
      </c>
      <c r="AR141" s="214"/>
    </row>
    <row r="142" spans="1:44" s="213" customFormat="1">
      <c r="A142" s="281" t="s">
        <v>792</v>
      </c>
      <c r="B142" s="213" t="s">
        <v>795</v>
      </c>
      <c r="C142" s="213" t="s">
        <v>807</v>
      </c>
      <c r="D142" s="27">
        <v>1</v>
      </c>
      <c r="E142" s="27">
        <v>1</v>
      </c>
      <c r="F142" s="213">
        <v>98.49</v>
      </c>
      <c r="G142" s="213">
        <v>0</v>
      </c>
      <c r="H142" s="213">
        <v>0</v>
      </c>
      <c r="K142" s="213" t="s">
        <v>295</v>
      </c>
      <c r="L142" s="213" t="s">
        <v>806</v>
      </c>
      <c r="O142" s="213">
        <v>2017</v>
      </c>
      <c r="Q142" s="31" t="s">
        <v>779</v>
      </c>
      <c r="AA142" s="31">
        <v>1</v>
      </c>
      <c r="AL142" s="27">
        <v>1</v>
      </c>
      <c r="AM142" s="213">
        <v>0</v>
      </c>
      <c r="AN142" s="215" t="str">
        <f>HYPERLINK("https://www.idex-hs.com/bpr-assembly-40-psi-biocompatible.html","IDEX BPR assembly 40 psi,")</f>
        <v>IDEX BPR assembly 40 psi,</v>
      </c>
      <c r="AR142" s="214"/>
    </row>
    <row r="143" spans="1:44" s="213" customFormat="1">
      <c r="A143" s="281" t="s">
        <v>792</v>
      </c>
      <c r="B143" s="213" t="s">
        <v>796</v>
      </c>
      <c r="C143" s="213" t="s">
        <v>807</v>
      </c>
      <c r="D143" s="27">
        <v>1</v>
      </c>
      <c r="E143" s="27">
        <v>1</v>
      </c>
      <c r="F143" s="213">
        <v>67.78</v>
      </c>
      <c r="G143" s="213">
        <v>0</v>
      </c>
      <c r="H143" s="213">
        <v>0</v>
      </c>
      <c r="K143" s="213" t="s">
        <v>295</v>
      </c>
      <c r="L143" s="213" t="s">
        <v>806</v>
      </c>
      <c r="O143" s="213">
        <v>2017</v>
      </c>
      <c r="Q143" s="31" t="s">
        <v>779</v>
      </c>
      <c r="AA143" s="31">
        <v>1</v>
      </c>
      <c r="AL143" s="27">
        <v>1</v>
      </c>
      <c r="AM143" s="213">
        <v>0</v>
      </c>
      <c r="AN143" s="215" t="str">
        <f>HYPERLINK("https://www.idex-hs.com/fluidics/valves/back-pressure-regulators/back-pressure-regulator-cartridges/bpr-cartridge-75-psi-gold-coating.html","IDEX BPR cartridge 75 psi.")</f>
        <v>IDEX BPR cartridge 75 psi.</v>
      </c>
      <c r="AR143" s="214"/>
    </row>
    <row r="144" spans="1:44" s="213" customFormat="1">
      <c r="A144" s="281" t="s">
        <v>792</v>
      </c>
      <c r="B144" s="213" t="s">
        <v>797</v>
      </c>
      <c r="C144" s="213" t="s">
        <v>807</v>
      </c>
      <c r="D144" s="27">
        <v>1</v>
      </c>
      <c r="E144" s="27">
        <v>1</v>
      </c>
      <c r="F144" s="213">
        <v>36.799999999999997</v>
      </c>
      <c r="G144" s="213">
        <v>0</v>
      </c>
      <c r="H144" s="213">
        <v>0</v>
      </c>
      <c r="K144" s="213" t="s">
        <v>295</v>
      </c>
      <c r="L144" s="213" t="s">
        <v>806</v>
      </c>
      <c r="O144" s="213">
        <v>2017</v>
      </c>
      <c r="Q144" s="31" t="s">
        <v>779</v>
      </c>
      <c r="AA144" s="31">
        <v>1</v>
      </c>
      <c r="AL144" s="27">
        <v>1</v>
      </c>
      <c r="AM144" s="213">
        <v>0</v>
      </c>
      <c r="AN144" s="215" t="str">
        <f>HYPERLINK("https://www.mcmaster.com/#catalog/123/227/=166m7qu","McMaster 5194K34")</f>
        <v>McMaster 5194K34</v>
      </c>
      <c r="AR144" s="214"/>
    </row>
    <row r="145" spans="1:44" s="213" customFormat="1">
      <c r="A145" s="281" t="s">
        <v>792</v>
      </c>
      <c r="B145" s="213" t="s">
        <v>805</v>
      </c>
      <c r="C145" s="213" t="s">
        <v>807</v>
      </c>
      <c r="D145" s="27">
        <v>1</v>
      </c>
      <c r="E145" s="27">
        <v>1</v>
      </c>
      <c r="F145" s="213">
        <f>105/25</f>
        <v>4.2</v>
      </c>
      <c r="G145" s="213">
        <v>0</v>
      </c>
      <c r="H145" s="213">
        <v>0</v>
      </c>
      <c r="K145" s="213" t="s">
        <v>295</v>
      </c>
      <c r="L145" s="213" t="s">
        <v>806</v>
      </c>
      <c r="O145" s="213">
        <v>2017</v>
      </c>
      <c r="Q145" s="31" t="s">
        <v>779</v>
      </c>
      <c r="AA145" s="31">
        <v>1</v>
      </c>
      <c r="AL145" s="27">
        <v>1</v>
      </c>
      <c r="AM145" s="213">
        <v>0</v>
      </c>
      <c r="AN145" s="215" t="str">
        <f>HYPERLINK("https://www.fishersci.com/shop/products/glass-tubing-7/s37608?searchHijack=true&amp;searchTerm=S37608&amp;searchType=RAPID&amp;matchedCatNo=S37608","FisherScientific S37608 pk of 25")</f>
        <v>FisherScientific S37608 pk of 25</v>
      </c>
      <c r="AR145" s="214"/>
    </row>
    <row r="146" spans="1:44" s="213" customFormat="1">
      <c r="A146" s="281" t="s">
        <v>792</v>
      </c>
      <c r="B146" s="213" t="s">
        <v>798</v>
      </c>
      <c r="C146" s="213" t="s">
        <v>807</v>
      </c>
      <c r="D146" s="27">
        <v>1</v>
      </c>
      <c r="E146" s="27">
        <v>1</v>
      </c>
      <c r="F146" s="213">
        <v>549</v>
      </c>
      <c r="G146" s="213">
        <v>0</v>
      </c>
      <c r="H146" s="213">
        <v>0</v>
      </c>
      <c r="K146" s="213" t="s">
        <v>295</v>
      </c>
      <c r="L146" s="213" t="s">
        <v>806</v>
      </c>
      <c r="O146" s="213">
        <v>2017</v>
      </c>
      <c r="Q146" s="31" t="s">
        <v>779</v>
      </c>
      <c r="AA146" s="31">
        <v>1</v>
      </c>
      <c r="AL146" s="27">
        <v>1</v>
      </c>
      <c r="AM146" s="213">
        <v>0</v>
      </c>
      <c r="AN146" s="215" t="str">
        <f>HYPERLINK("https://www.hitechtrader.com/Temperature/Controller/J-Kem-Temperature-Controller-Model-HCC/88298-p","HiTechTrader Model HCC")</f>
        <v>HiTechTrader Model HCC</v>
      </c>
      <c r="AR146" s="214"/>
    </row>
    <row r="147" spans="1:44" s="213" customFormat="1">
      <c r="A147" s="281" t="s">
        <v>792</v>
      </c>
      <c r="B147" s="213" t="s">
        <v>799</v>
      </c>
      <c r="C147" s="213" t="s">
        <v>807</v>
      </c>
      <c r="D147" s="27">
        <v>1</v>
      </c>
      <c r="E147" s="27">
        <v>1</v>
      </c>
      <c r="F147" s="213">
        <v>955</v>
      </c>
      <c r="G147" s="213">
        <v>0</v>
      </c>
      <c r="H147" s="213">
        <v>0</v>
      </c>
      <c r="K147" s="213" t="s">
        <v>295</v>
      </c>
      <c r="L147" s="213" t="s">
        <v>806</v>
      </c>
      <c r="O147" s="213">
        <v>2017</v>
      </c>
      <c r="Q147" s="31" t="s">
        <v>779</v>
      </c>
      <c r="AA147" s="31">
        <v>1</v>
      </c>
      <c r="AL147" s="27">
        <v>1</v>
      </c>
      <c r="AM147" s="213">
        <v>0</v>
      </c>
      <c r="AN147" s="215" t="str">
        <f>HYPERLINK("http://www.jkem.com/model-210-with-timer-thermocouple-type-k-catalog-210-timer-k","J-Kem Model 210")</f>
        <v>J-Kem Model 210</v>
      </c>
      <c r="AR147" s="214"/>
    </row>
    <row r="148" spans="1:44" s="213" customFormat="1">
      <c r="A148" s="281" t="s">
        <v>792</v>
      </c>
      <c r="B148" s="213" t="s">
        <v>800</v>
      </c>
      <c r="C148" s="213" t="s">
        <v>807</v>
      </c>
      <c r="D148" s="27">
        <v>1</v>
      </c>
      <c r="E148" s="27">
        <v>1</v>
      </c>
      <c r="F148" s="213">
        <v>68</v>
      </c>
      <c r="G148" s="213">
        <v>0</v>
      </c>
      <c r="H148" s="213">
        <v>0</v>
      </c>
      <c r="K148" s="213" t="s">
        <v>295</v>
      </c>
      <c r="L148" s="213" t="s">
        <v>806</v>
      </c>
      <c r="O148" s="213">
        <v>2017</v>
      </c>
      <c r="Q148" s="31" t="s">
        <v>779</v>
      </c>
      <c r="AA148" s="31">
        <v>1</v>
      </c>
      <c r="AL148" s="27">
        <v>1</v>
      </c>
      <c r="AM148" s="213">
        <v>0</v>
      </c>
      <c r="AN148" s="215" t="str">
        <f>HYPERLINK("http://www.jkem.com/temperature-controllers/accessories/thermocouples/configure-a-thermocouple","J-Kem thermocouple")</f>
        <v>J-Kem thermocouple</v>
      </c>
      <c r="AR148" s="214"/>
    </row>
    <row r="149" spans="1:44" s="213" customFormat="1">
      <c r="A149" s="281" t="s">
        <v>792</v>
      </c>
      <c r="B149" s="213" t="s">
        <v>801</v>
      </c>
      <c r="C149" s="213" t="s">
        <v>807</v>
      </c>
      <c r="D149" s="27">
        <v>1</v>
      </c>
      <c r="E149" s="27">
        <v>1</v>
      </c>
      <c r="F149" s="213">
        <v>134</v>
      </c>
      <c r="G149" s="213">
        <v>0</v>
      </c>
      <c r="H149" s="213">
        <v>0</v>
      </c>
      <c r="K149" s="213" t="s">
        <v>295</v>
      </c>
      <c r="L149" s="213" t="s">
        <v>806</v>
      </c>
      <c r="O149" s="213">
        <v>2017</v>
      </c>
      <c r="Q149" s="31" t="s">
        <v>779</v>
      </c>
      <c r="AA149" s="31">
        <v>1</v>
      </c>
      <c r="AL149" s="27">
        <v>1</v>
      </c>
      <c r="AM149" s="213">
        <v>0</v>
      </c>
      <c r="AN149" s="215" t="str">
        <f>HYPERLINK("http://www.jkem.com/coiled-connecting-cable-20-ft-type-j-smp-male-connector-catalog-cc-20-j-smp","J-Kem Type J connecting cable")</f>
        <v>J-Kem Type J connecting cable</v>
      </c>
      <c r="AR149" s="214"/>
    </row>
    <row r="150" spans="1:44" s="213" customFormat="1">
      <c r="A150" s="281" t="s">
        <v>792</v>
      </c>
      <c r="B150" s="213" t="s">
        <v>802</v>
      </c>
      <c r="C150" s="213" t="s">
        <v>807</v>
      </c>
      <c r="D150" s="27">
        <v>1</v>
      </c>
      <c r="E150" s="27">
        <v>1</v>
      </c>
      <c r="F150" s="213">
        <v>411</v>
      </c>
      <c r="G150" s="213">
        <v>0</v>
      </c>
      <c r="H150" s="213">
        <v>0</v>
      </c>
      <c r="K150" s="213" t="s">
        <v>295</v>
      </c>
      <c r="L150" s="213" t="s">
        <v>806</v>
      </c>
      <c r="O150" s="213">
        <v>2017</v>
      </c>
      <c r="Q150" s="31" t="s">
        <v>779</v>
      </c>
      <c r="AA150" s="31">
        <v>1</v>
      </c>
      <c r="AL150" s="27">
        <v>1</v>
      </c>
      <c r="AM150" s="213">
        <v>0</v>
      </c>
      <c r="AN150" s="215" t="str">
        <f>HYPERLINK("https://www.glascol.com/series-o-resin","Glas-Co 100A O580")</f>
        <v>Glas-Co 100A O580</v>
      </c>
      <c r="AR150" s="214"/>
    </row>
    <row r="151" spans="1:44" s="213" customFormat="1">
      <c r="A151" s="281" t="s">
        <v>792</v>
      </c>
      <c r="B151" s="213" t="s">
        <v>803</v>
      </c>
      <c r="C151" s="213" t="s">
        <v>807</v>
      </c>
      <c r="D151" s="27">
        <v>1</v>
      </c>
      <c r="E151" s="27">
        <v>1</v>
      </c>
      <c r="F151" s="213">
        <v>174</v>
      </c>
      <c r="G151" s="213">
        <v>0</v>
      </c>
      <c r="H151" s="213">
        <v>0</v>
      </c>
      <c r="K151" s="213" t="s">
        <v>295</v>
      </c>
      <c r="L151" s="213" t="s">
        <v>806</v>
      </c>
      <c r="O151" s="213">
        <v>2017</v>
      </c>
      <c r="Q151" s="31" t="s">
        <v>779</v>
      </c>
      <c r="AA151" s="31">
        <v>1</v>
      </c>
      <c r="AL151" s="27">
        <v>1</v>
      </c>
      <c r="AM151" s="213">
        <v>0</v>
      </c>
      <c r="AN151" s="215" t="str">
        <f>HYPERLINK("https://www.hitechtrader.com/Heaters/Heating-Mantles/Glas-Col-4000-ml-Heating-Mantle-0580/92378-p","HiTechTrader 4L mantle")</f>
        <v>HiTechTrader 4L mantle</v>
      </c>
      <c r="AR151" s="214"/>
    </row>
    <row r="152" spans="1:44" s="213" customFormat="1">
      <c r="A152" s="281" t="s">
        <v>792</v>
      </c>
      <c r="B152" s="213" t="s">
        <v>810</v>
      </c>
      <c r="C152" s="213" t="s">
        <v>807</v>
      </c>
      <c r="D152" s="27">
        <v>1</v>
      </c>
      <c r="E152" s="27">
        <v>1</v>
      </c>
      <c r="F152" s="213">
        <v>15</v>
      </c>
      <c r="G152" s="213">
        <v>0</v>
      </c>
      <c r="H152" s="213">
        <v>0</v>
      </c>
      <c r="K152" s="213" t="s">
        <v>295</v>
      </c>
      <c r="L152" s="213" t="s">
        <v>806</v>
      </c>
      <c r="O152" s="213">
        <v>2017</v>
      </c>
      <c r="Q152" s="31" t="s">
        <v>779</v>
      </c>
      <c r="AA152" s="31">
        <v>1</v>
      </c>
      <c r="AL152" s="27">
        <v>1</v>
      </c>
      <c r="AM152" s="213">
        <v>0</v>
      </c>
      <c r="AN152" s="215"/>
      <c r="AR152" s="214"/>
    </row>
    <row r="153" spans="1:44" s="213" customFormat="1">
      <c r="A153" s="281" t="s">
        <v>792</v>
      </c>
      <c r="B153" s="213" t="s">
        <v>811</v>
      </c>
      <c r="C153" s="213" t="s">
        <v>807</v>
      </c>
      <c r="D153" s="27">
        <v>1</v>
      </c>
      <c r="E153" s="27">
        <v>1</v>
      </c>
      <c r="F153" s="213">
        <v>50</v>
      </c>
      <c r="G153" s="213">
        <v>0</v>
      </c>
      <c r="H153" s="213">
        <v>0</v>
      </c>
      <c r="K153" s="213" t="s">
        <v>295</v>
      </c>
      <c r="L153" s="213" t="s">
        <v>806</v>
      </c>
      <c r="O153" s="213">
        <v>2017</v>
      </c>
      <c r="Q153" s="31" t="s">
        <v>779</v>
      </c>
      <c r="AA153" s="31">
        <v>1</v>
      </c>
      <c r="AL153" s="27">
        <v>1</v>
      </c>
      <c r="AM153" s="213">
        <v>0</v>
      </c>
      <c r="AN153" s="215"/>
      <c r="AR153" s="214"/>
    </row>
    <row r="154" spans="1:44" s="213" customFormat="1">
      <c r="A154" s="281" t="s">
        <v>792</v>
      </c>
      <c r="B154" s="213" t="s">
        <v>804</v>
      </c>
      <c r="C154" s="213" t="s">
        <v>20</v>
      </c>
      <c r="D154" s="27">
        <v>0</v>
      </c>
      <c r="E154" s="28">
        <v>1000000000000</v>
      </c>
      <c r="F154" s="213">
        <v>0</v>
      </c>
      <c r="G154" s="213">
        <v>0.06</v>
      </c>
      <c r="H154" s="213">
        <v>1</v>
      </c>
      <c r="K154" s="213" t="s">
        <v>295</v>
      </c>
      <c r="L154" s="213" t="s">
        <v>806</v>
      </c>
      <c r="O154" s="213">
        <v>2017</v>
      </c>
      <c r="Q154" s="31" t="s">
        <v>779</v>
      </c>
      <c r="AA154" s="31">
        <v>1</v>
      </c>
      <c r="AL154" s="27">
        <v>1</v>
      </c>
      <c r="AM154" s="213">
        <v>0</v>
      </c>
      <c r="AR154" s="214"/>
    </row>
    <row r="155" spans="1:44" s="213" customFormat="1">
      <c r="AR155" s="214"/>
    </row>
    <row r="156" spans="1:44">
      <c r="B156" t="s">
        <v>515</v>
      </c>
      <c r="K156" s="200"/>
      <c r="L156" s="200"/>
      <c r="M156" s="200"/>
      <c r="N156" s="200"/>
      <c r="O156" s="200"/>
      <c r="P156" s="205"/>
      <c r="Q156" s="200"/>
      <c r="R156" s="200"/>
      <c r="S156" s="200"/>
      <c r="T156" s="200"/>
      <c r="U156" s="200"/>
      <c r="V156" s="200"/>
      <c r="W156" s="200"/>
      <c r="X156" s="200"/>
      <c r="Y156" s="200"/>
      <c r="AA156" s="200"/>
      <c r="AB156" s="200"/>
      <c r="AC156" s="200"/>
      <c r="AD156" s="200"/>
      <c r="AE156" s="200"/>
      <c r="AF156" s="200"/>
      <c r="AG156" s="200"/>
      <c r="AH156" s="200"/>
      <c r="AI156" s="200"/>
      <c r="AK156" s="200"/>
      <c r="AL156" s="200"/>
      <c r="AM156" s="200"/>
      <c r="AN156" s="200"/>
    </row>
    <row r="157" spans="1:44">
      <c r="A157" t="s">
        <v>515</v>
      </c>
      <c r="B157" t="s">
        <v>516</v>
      </c>
      <c r="C157" t="s">
        <v>519</v>
      </c>
      <c r="D157">
        <v>20</v>
      </c>
      <c r="E157">
        <v>5000</v>
      </c>
      <c r="F157">
        <v>0</v>
      </c>
      <c r="G157">
        <v>600</v>
      </c>
      <c r="H157">
        <v>0.81</v>
      </c>
      <c r="K157" s="200" t="s">
        <v>295</v>
      </c>
      <c r="L157" s="200" t="s">
        <v>436</v>
      </c>
      <c r="M157" s="31">
        <v>567</v>
      </c>
      <c r="N157" s="31"/>
      <c r="O157" s="31">
        <v>2013</v>
      </c>
      <c r="P157" s="205" t="s">
        <v>333</v>
      </c>
      <c r="Q157" s="205" t="s">
        <v>333</v>
      </c>
      <c r="R157" s="205" t="s">
        <v>178</v>
      </c>
      <c r="S157" s="205" t="s">
        <v>349</v>
      </c>
      <c r="T157" s="205" t="s">
        <v>177</v>
      </c>
      <c r="U157" s="205" t="s">
        <v>340</v>
      </c>
      <c r="V157" s="205" t="s">
        <v>707</v>
      </c>
      <c r="W157" s="205" t="s">
        <v>352</v>
      </c>
      <c r="X157" s="205"/>
      <c r="Y157" s="205"/>
      <c r="AA157" s="205">
        <v>1</v>
      </c>
      <c r="AB157" s="205">
        <v>1.2</v>
      </c>
      <c r="AC157" s="205">
        <v>2</v>
      </c>
      <c r="AD157" s="205">
        <v>2.5</v>
      </c>
      <c r="AE157" s="205">
        <v>2.7</v>
      </c>
      <c r="AF157" s="205">
        <v>3</v>
      </c>
      <c r="AG157" s="205">
        <v>6</v>
      </c>
      <c r="AH157" s="200"/>
      <c r="AI157" s="200"/>
      <c r="AK157" s="200" t="s">
        <v>723</v>
      </c>
      <c r="AL157" s="27">
        <v>1.75</v>
      </c>
      <c r="AM157" s="200">
        <v>0</v>
      </c>
      <c r="AN157" s="200"/>
    </row>
    <row r="158" spans="1:44">
      <c r="A158" s="200" t="s">
        <v>515</v>
      </c>
      <c r="B158" s="200" t="s">
        <v>517</v>
      </c>
      <c r="C158" s="200" t="s">
        <v>519</v>
      </c>
      <c r="D158">
        <v>200</v>
      </c>
      <c r="E158">
        <v>8000</v>
      </c>
      <c r="F158">
        <v>0</v>
      </c>
      <c r="G158">
        <v>1350</v>
      </c>
      <c r="H158">
        <v>0.81</v>
      </c>
      <c r="K158" s="200" t="s">
        <v>295</v>
      </c>
      <c r="L158" s="200" t="s">
        <v>436</v>
      </c>
      <c r="M158" s="31">
        <v>567</v>
      </c>
      <c r="N158" s="31"/>
      <c r="O158" s="31">
        <v>2013</v>
      </c>
      <c r="P158" s="205" t="s">
        <v>333</v>
      </c>
      <c r="Q158" s="205" t="s">
        <v>333</v>
      </c>
      <c r="R158" s="205" t="s">
        <v>178</v>
      </c>
      <c r="S158" s="205" t="s">
        <v>349</v>
      </c>
      <c r="T158" s="205" t="s">
        <v>177</v>
      </c>
      <c r="U158" s="205" t="s">
        <v>340</v>
      </c>
      <c r="V158" s="205" t="s">
        <v>707</v>
      </c>
      <c r="W158" s="205" t="s">
        <v>352</v>
      </c>
      <c r="X158" s="205"/>
      <c r="Y158" s="205"/>
      <c r="AA158" s="205">
        <v>1</v>
      </c>
      <c r="AB158" s="205">
        <v>1.2</v>
      </c>
      <c r="AC158" s="205">
        <v>2</v>
      </c>
      <c r="AD158" s="205">
        <v>2.5</v>
      </c>
      <c r="AE158" s="205">
        <v>2.7</v>
      </c>
      <c r="AF158" s="205">
        <v>3</v>
      </c>
      <c r="AG158" s="205">
        <v>6</v>
      </c>
      <c r="AH158" s="200"/>
      <c r="AI158" s="200"/>
      <c r="AK158" s="205" t="s">
        <v>723</v>
      </c>
      <c r="AL158" s="27">
        <v>1.75</v>
      </c>
      <c r="AM158" s="200">
        <v>0</v>
      </c>
      <c r="AN158" s="200"/>
    </row>
    <row r="159" spans="1:44">
      <c r="A159" s="200" t="s">
        <v>515</v>
      </c>
      <c r="B159" t="s">
        <v>518</v>
      </c>
      <c r="C159" s="200" t="s">
        <v>519</v>
      </c>
      <c r="D159">
        <v>150</v>
      </c>
      <c r="E159">
        <v>2000</v>
      </c>
      <c r="F159">
        <v>0</v>
      </c>
      <c r="G159">
        <v>1590</v>
      </c>
      <c r="H159">
        <v>0.7</v>
      </c>
      <c r="K159" s="200" t="s">
        <v>295</v>
      </c>
      <c r="L159" s="200" t="s">
        <v>436</v>
      </c>
      <c r="M159" s="31">
        <v>567</v>
      </c>
      <c r="N159" s="31"/>
      <c r="O159" s="31">
        <v>2013</v>
      </c>
      <c r="P159" s="205" t="s">
        <v>333</v>
      </c>
      <c r="Q159" s="205" t="s">
        <v>333</v>
      </c>
      <c r="R159" s="205" t="s">
        <v>178</v>
      </c>
      <c r="S159" s="205" t="s">
        <v>349</v>
      </c>
      <c r="T159" s="205" t="s">
        <v>177</v>
      </c>
      <c r="U159" s="205" t="s">
        <v>340</v>
      </c>
      <c r="V159" s="205" t="s">
        <v>707</v>
      </c>
      <c r="W159" s="205" t="s">
        <v>352</v>
      </c>
      <c r="X159" s="205"/>
      <c r="Y159" s="205"/>
      <c r="AA159" s="205">
        <v>1</v>
      </c>
      <c r="AB159" s="205">
        <v>1.2</v>
      </c>
      <c r="AC159" s="205">
        <v>2</v>
      </c>
      <c r="AD159" s="205">
        <v>2.5</v>
      </c>
      <c r="AE159" s="205">
        <v>2.7</v>
      </c>
      <c r="AF159" s="205">
        <v>3</v>
      </c>
      <c r="AG159" s="205">
        <v>6</v>
      </c>
      <c r="AH159" s="200"/>
      <c r="AI159" s="200"/>
      <c r="AK159" s="205" t="s">
        <v>723</v>
      </c>
      <c r="AL159" s="27">
        <v>1.75</v>
      </c>
      <c r="AM159" s="200">
        <v>0</v>
      </c>
      <c r="AN159" s="200"/>
    </row>
    <row r="160" spans="1:44">
      <c r="P160" s="205"/>
    </row>
    <row r="161" spans="1:44">
      <c r="B161" s="205" t="s">
        <v>765</v>
      </c>
    </row>
    <row r="162" spans="1:44">
      <c r="A162" s="281" t="s">
        <v>765</v>
      </c>
      <c r="B162" t="s">
        <v>682</v>
      </c>
      <c r="C162" t="s">
        <v>687</v>
      </c>
      <c r="D162">
        <v>1000</v>
      </c>
      <c r="E162">
        <v>920000</v>
      </c>
      <c r="F162">
        <v>5.6336000000000004</v>
      </c>
      <c r="G162">
        <v>0.45989999999999998</v>
      </c>
      <c r="H162">
        <v>5.8199999999999997E-3</v>
      </c>
      <c r="I162" s="204">
        <v>0</v>
      </c>
      <c r="J162" s="204">
        <v>0</v>
      </c>
      <c r="K162" s="205" t="s">
        <v>551</v>
      </c>
      <c r="L162" s="205" t="s">
        <v>436</v>
      </c>
      <c r="M162" s="205">
        <v>567</v>
      </c>
      <c r="N162" s="205"/>
      <c r="O162" s="205">
        <v>2013</v>
      </c>
      <c r="Q162" s="29" t="s">
        <v>333</v>
      </c>
      <c r="R162" s="30" t="s">
        <v>694</v>
      </c>
      <c r="S162" s="30" t="s">
        <v>695</v>
      </c>
      <c r="T162" s="30" t="s">
        <v>696</v>
      </c>
      <c r="U162" s="30" t="s">
        <v>697</v>
      </c>
      <c r="V162" s="205" t="s">
        <v>699</v>
      </c>
      <c r="W162" s="205" t="s">
        <v>701</v>
      </c>
      <c r="X162" s="205" t="s">
        <v>700</v>
      </c>
      <c r="Y162" s="205" t="s">
        <v>698</v>
      </c>
      <c r="Z162" s="205" t="s">
        <v>352</v>
      </c>
      <c r="AA162" s="30">
        <v>1</v>
      </c>
      <c r="AB162" s="30">
        <v>1.2</v>
      </c>
      <c r="AC162" s="30">
        <v>1.7</v>
      </c>
      <c r="AD162" s="30">
        <v>2.1</v>
      </c>
      <c r="AE162" s="30">
        <v>3.2</v>
      </c>
      <c r="AF162" s="30">
        <v>3.6</v>
      </c>
      <c r="AG162" s="30">
        <v>3.7</v>
      </c>
      <c r="AH162" s="30">
        <v>3.9</v>
      </c>
      <c r="AI162" s="30">
        <v>5.4</v>
      </c>
      <c r="AJ162" s="205">
        <v>7.7</v>
      </c>
      <c r="AK162" s="205">
        <v>3.05</v>
      </c>
      <c r="AL162" s="27">
        <v>1.7</v>
      </c>
      <c r="AM162" s="30">
        <v>0</v>
      </c>
      <c r="AN162" t="s">
        <v>692</v>
      </c>
    </row>
    <row r="163" spans="1:44">
      <c r="A163" s="281" t="s">
        <v>765</v>
      </c>
      <c r="B163" s="205" t="s">
        <v>683</v>
      </c>
      <c r="C163" s="205" t="s">
        <v>687</v>
      </c>
      <c r="D163">
        <v>4200</v>
      </c>
      <c r="E163" s="202">
        <v>1000000</v>
      </c>
      <c r="F163">
        <v>7.1390000000000002</v>
      </c>
      <c r="G163">
        <v>0.18254999999999999</v>
      </c>
      <c r="H163">
        <v>2.2970000000000001E-2</v>
      </c>
      <c r="I163" s="204">
        <v>0</v>
      </c>
      <c r="J163" s="204">
        <v>0</v>
      </c>
      <c r="K163" s="205" t="s">
        <v>551</v>
      </c>
      <c r="L163" s="205" t="s">
        <v>436</v>
      </c>
      <c r="M163" s="205">
        <v>567</v>
      </c>
      <c r="N163" s="205"/>
      <c r="O163" s="205">
        <v>2013</v>
      </c>
      <c r="Q163" s="205" t="s">
        <v>333</v>
      </c>
      <c r="R163" s="205" t="s">
        <v>694</v>
      </c>
      <c r="S163" s="205" t="s">
        <v>695</v>
      </c>
      <c r="T163" s="205" t="s">
        <v>696</v>
      </c>
      <c r="U163" s="205" t="s">
        <v>697</v>
      </c>
      <c r="V163" s="205" t="s">
        <v>699</v>
      </c>
      <c r="W163" s="205" t="s">
        <v>701</v>
      </c>
      <c r="X163" s="205" t="s">
        <v>700</v>
      </c>
      <c r="Y163" s="205" t="s">
        <v>698</v>
      </c>
      <c r="Z163" s="205" t="s">
        <v>352</v>
      </c>
      <c r="AA163" s="205">
        <v>1</v>
      </c>
      <c r="AB163" s="205">
        <v>1.2</v>
      </c>
      <c r="AC163" s="205">
        <v>1.7</v>
      </c>
      <c r="AD163" s="205">
        <v>2.1</v>
      </c>
      <c r="AE163" s="205">
        <v>3.2</v>
      </c>
      <c r="AF163" s="205">
        <v>3.6</v>
      </c>
      <c r="AG163" s="205">
        <v>3.7</v>
      </c>
      <c r="AH163" s="205">
        <v>3.9</v>
      </c>
      <c r="AI163" s="205">
        <v>5.4</v>
      </c>
      <c r="AJ163" s="205">
        <v>7.7</v>
      </c>
      <c r="AK163" s="205">
        <v>4.16</v>
      </c>
      <c r="AL163" s="27">
        <v>1.7</v>
      </c>
      <c r="AM163" s="30">
        <v>0</v>
      </c>
      <c r="AN163" s="205" t="s">
        <v>692</v>
      </c>
    </row>
    <row r="164" spans="1:44" s="205" customFormat="1">
      <c r="A164" s="281" t="s">
        <v>765</v>
      </c>
      <c r="B164" s="205" t="s">
        <v>689</v>
      </c>
      <c r="C164" s="205" t="s">
        <v>687</v>
      </c>
      <c r="D164" s="205">
        <v>9000</v>
      </c>
      <c r="E164" s="202">
        <v>2500000</v>
      </c>
      <c r="F164" s="205">
        <v>10.5449</v>
      </c>
      <c r="G164" s="205">
        <v>-0.4672</v>
      </c>
      <c r="H164" s="205">
        <v>5.4820000000000001E-2</v>
      </c>
      <c r="I164" s="205">
        <v>0</v>
      </c>
      <c r="J164" s="205">
        <v>0</v>
      </c>
      <c r="K164" s="205" t="s">
        <v>551</v>
      </c>
      <c r="L164" s="205" t="s">
        <v>436</v>
      </c>
      <c r="M164" s="205">
        <v>567</v>
      </c>
      <c r="O164" s="205">
        <v>2013</v>
      </c>
      <c r="Q164" s="205" t="s">
        <v>333</v>
      </c>
      <c r="R164" s="205" t="s">
        <v>694</v>
      </c>
      <c r="S164" s="205" t="s">
        <v>695</v>
      </c>
      <c r="T164" s="205" t="s">
        <v>696</v>
      </c>
      <c r="U164" s="205" t="s">
        <v>697</v>
      </c>
      <c r="V164" s="205" t="s">
        <v>699</v>
      </c>
      <c r="W164" s="205" t="s">
        <v>701</v>
      </c>
      <c r="X164" s="205" t="s">
        <v>700</v>
      </c>
      <c r="Y164" s="205" t="s">
        <v>698</v>
      </c>
      <c r="Z164" s="205" t="s">
        <v>352</v>
      </c>
      <c r="AA164" s="205">
        <v>1</v>
      </c>
      <c r="AB164" s="205">
        <v>1.2</v>
      </c>
      <c r="AC164" s="205">
        <v>1.7</v>
      </c>
      <c r="AD164" s="205">
        <v>2.1</v>
      </c>
      <c r="AE164" s="205">
        <v>3.2</v>
      </c>
      <c r="AF164" s="205">
        <v>3.6</v>
      </c>
      <c r="AG164" s="205">
        <v>3.7</v>
      </c>
      <c r="AH164" s="205">
        <v>3.9</v>
      </c>
      <c r="AI164" s="205">
        <v>5.4</v>
      </c>
      <c r="AJ164" s="205">
        <v>7.7</v>
      </c>
      <c r="AK164" s="205">
        <v>4.16</v>
      </c>
      <c r="AL164" s="27">
        <v>1.7</v>
      </c>
      <c r="AM164" s="205">
        <v>0.2</v>
      </c>
      <c r="AN164" s="205" t="s">
        <v>693</v>
      </c>
      <c r="AR164" s="214"/>
    </row>
    <row r="165" spans="1:44">
      <c r="A165" s="281" t="s">
        <v>765</v>
      </c>
      <c r="B165" t="s">
        <v>684</v>
      </c>
      <c r="C165" t="s">
        <v>686</v>
      </c>
      <c r="D165">
        <v>3</v>
      </c>
      <c r="E165">
        <v>12</v>
      </c>
      <c r="F165">
        <v>0</v>
      </c>
      <c r="G165">
        <v>2275</v>
      </c>
      <c r="H165">
        <v>0.2094</v>
      </c>
      <c r="K165" s="205" t="s">
        <v>295</v>
      </c>
      <c r="L165" s="205" t="s">
        <v>436</v>
      </c>
      <c r="M165" s="26">
        <v>567</v>
      </c>
      <c r="O165">
        <v>2013</v>
      </c>
      <c r="Q165" s="205" t="s">
        <v>333</v>
      </c>
      <c r="AA165" s="30">
        <v>1</v>
      </c>
      <c r="AK165" s="205">
        <v>3.05</v>
      </c>
      <c r="AL165" s="27">
        <v>1.7</v>
      </c>
      <c r="AM165" s="30">
        <v>0</v>
      </c>
      <c r="AN165" t="s">
        <v>703</v>
      </c>
    </row>
    <row r="166" spans="1:44">
      <c r="A166" s="281" t="s">
        <v>765</v>
      </c>
      <c r="B166" s="205" t="s">
        <v>685</v>
      </c>
      <c r="C166" t="s">
        <v>690</v>
      </c>
      <c r="D166" s="208">
        <v>13.052309157301323</v>
      </c>
      <c r="E166" s="208">
        <v>128.9179748553174</v>
      </c>
      <c r="F166">
        <v>0</v>
      </c>
      <c r="G166">
        <v>410</v>
      </c>
      <c r="H166">
        <v>1</v>
      </c>
      <c r="K166" s="205" t="s">
        <v>295</v>
      </c>
      <c r="L166" s="205" t="s">
        <v>436</v>
      </c>
      <c r="M166" s="205">
        <v>567</v>
      </c>
      <c r="N166" s="205"/>
      <c r="O166" s="205">
        <v>2013</v>
      </c>
      <c r="Q166" s="29" t="s">
        <v>333</v>
      </c>
      <c r="AA166" s="30">
        <v>1</v>
      </c>
      <c r="AK166" s="205">
        <v>4.16</v>
      </c>
      <c r="AL166" s="27">
        <v>1.7</v>
      </c>
      <c r="AM166" s="30">
        <v>0</v>
      </c>
      <c r="AN166" s="205" t="s">
        <v>702</v>
      </c>
    </row>
    <row r="167" spans="1:44">
      <c r="A167" s="281" t="s">
        <v>765</v>
      </c>
      <c r="B167" t="s">
        <v>688</v>
      </c>
      <c r="C167" t="s">
        <v>691</v>
      </c>
      <c r="D167" s="208">
        <v>28.150726061626788</v>
      </c>
      <c r="E167" s="208">
        <v>459.03384712136625</v>
      </c>
      <c r="F167">
        <v>0</v>
      </c>
      <c r="G167">
        <v>341</v>
      </c>
      <c r="H167">
        <v>1</v>
      </c>
      <c r="K167" s="205" t="s">
        <v>295</v>
      </c>
      <c r="L167" s="205" t="s">
        <v>436</v>
      </c>
      <c r="M167" s="205">
        <v>567</v>
      </c>
      <c r="N167" s="205"/>
      <c r="O167" s="205">
        <v>2013</v>
      </c>
      <c r="Q167" s="205" t="s">
        <v>333</v>
      </c>
      <c r="AA167" s="30">
        <v>1</v>
      </c>
      <c r="AK167" s="205">
        <v>4.16</v>
      </c>
      <c r="AL167" s="27">
        <v>1.7</v>
      </c>
      <c r="AM167" s="30">
        <v>0</v>
      </c>
      <c r="AN167" s="205" t="s">
        <v>704</v>
      </c>
    </row>
    <row r="168" spans="1:44" s="206" customFormat="1">
      <c r="D168" s="208"/>
      <c r="E168" s="208"/>
      <c r="AR168" s="214"/>
    </row>
    <row r="169" spans="1:44" s="29" customFormat="1">
      <c r="B169" s="29" t="s">
        <v>738</v>
      </c>
      <c r="I169" s="204"/>
      <c r="J169" s="204"/>
      <c r="R169" s="30"/>
      <c r="S169" s="30"/>
      <c r="T169" s="30"/>
      <c r="U169" s="30"/>
      <c r="V169" s="30"/>
      <c r="W169" s="30"/>
      <c r="X169" s="30"/>
      <c r="Y169" s="30"/>
      <c r="Z169" s="205"/>
      <c r="AA169" s="30"/>
      <c r="AB169" s="30"/>
      <c r="AC169" s="30"/>
      <c r="AD169" s="30"/>
      <c r="AE169" s="30"/>
      <c r="AF169" s="30"/>
      <c r="AG169" s="30"/>
      <c r="AH169" s="30"/>
      <c r="AI169" s="30"/>
      <c r="AJ169" s="205"/>
      <c r="AL169" s="30"/>
      <c r="AM169" s="30"/>
      <c r="AR169" s="214"/>
    </row>
    <row r="170" spans="1:44" s="29" customFormat="1">
      <c r="A170" s="281" t="s">
        <v>738</v>
      </c>
      <c r="B170" s="29" t="s">
        <v>266</v>
      </c>
      <c r="C170" s="29" t="s">
        <v>267</v>
      </c>
      <c r="D170" s="29">
        <v>160</v>
      </c>
      <c r="E170" s="29">
        <v>250000</v>
      </c>
      <c r="F170" s="29">
        <v>11600</v>
      </c>
      <c r="G170" s="29">
        <v>34</v>
      </c>
      <c r="H170" s="29">
        <v>0.85</v>
      </c>
      <c r="I170" s="204"/>
      <c r="J170" s="204"/>
      <c r="K170" s="29" t="s">
        <v>295</v>
      </c>
      <c r="L170" s="197" t="s">
        <v>437</v>
      </c>
      <c r="M170" s="29">
        <v>532.9</v>
      </c>
      <c r="N170" s="29">
        <v>2281.6</v>
      </c>
      <c r="O170" s="29">
        <v>2010</v>
      </c>
      <c r="Q170" s="31" t="s">
        <v>333</v>
      </c>
      <c r="R170" s="31" t="s">
        <v>334</v>
      </c>
      <c r="S170" s="31" t="s">
        <v>335</v>
      </c>
      <c r="T170" s="31" t="s">
        <v>339</v>
      </c>
      <c r="U170" s="31" t="s">
        <v>340</v>
      </c>
      <c r="V170" s="31" t="s">
        <v>341</v>
      </c>
      <c r="Z170" s="205"/>
      <c r="AA170" s="31">
        <v>1</v>
      </c>
      <c r="AB170" s="31">
        <v>1.07</v>
      </c>
      <c r="AC170" s="31">
        <v>1.1000000000000001</v>
      </c>
      <c r="AD170" s="31">
        <v>1.55</v>
      </c>
      <c r="AE170" s="31">
        <v>1.65</v>
      </c>
      <c r="AF170" s="31">
        <v>1.7</v>
      </c>
      <c r="AJ170" s="205"/>
      <c r="AK170" s="29">
        <v>4.16</v>
      </c>
      <c r="AL170" s="27">
        <v>1.7</v>
      </c>
      <c r="AM170" s="30">
        <v>0</v>
      </c>
      <c r="AN170" s="29" t="s">
        <v>268</v>
      </c>
      <c r="AR170" s="214"/>
    </row>
    <row r="171" spans="1:44" s="29" customFormat="1">
      <c r="A171" s="281" t="s">
        <v>738</v>
      </c>
      <c r="B171" s="29" t="s">
        <v>269</v>
      </c>
      <c r="C171" s="29" t="s">
        <v>267</v>
      </c>
      <c r="D171" s="29">
        <v>160</v>
      </c>
      <c r="E171" s="29">
        <v>50000</v>
      </c>
      <c r="F171" s="29">
        <v>10200</v>
      </c>
      <c r="G171" s="29">
        <v>31</v>
      </c>
      <c r="H171" s="29">
        <v>0.85</v>
      </c>
      <c r="I171" s="204"/>
      <c r="J171" s="204"/>
      <c r="K171" s="29" t="s">
        <v>295</v>
      </c>
      <c r="L171" s="197" t="s">
        <v>437</v>
      </c>
      <c r="M171" s="29">
        <v>532.9</v>
      </c>
      <c r="N171" s="29">
        <v>2281.6</v>
      </c>
      <c r="O171" s="29">
        <v>2010</v>
      </c>
      <c r="Q171" s="31" t="s">
        <v>333</v>
      </c>
      <c r="R171" s="31" t="s">
        <v>334</v>
      </c>
      <c r="S171" s="31" t="s">
        <v>335</v>
      </c>
      <c r="T171" s="31" t="s">
        <v>339</v>
      </c>
      <c r="U171" s="31" t="s">
        <v>340</v>
      </c>
      <c r="V171" s="31" t="s">
        <v>341</v>
      </c>
      <c r="Z171" s="205"/>
      <c r="AA171" s="31">
        <v>1</v>
      </c>
      <c r="AB171" s="31">
        <v>1.07</v>
      </c>
      <c r="AC171" s="31">
        <v>1.1000000000000001</v>
      </c>
      <c r="AD171" s="31">
        <v>1.55</v>
      </c>
      <c r="AE171" s="31">
        <v>1.65</v>
      </c>
      <c r="AF171" s="31">
        <v>1.7</v>
      </c>
      <c r="AJ171" s="205"/>
      <c r="AK171" s="29">
        <v>3.05</v>
      </c>
      <c r="AL171" s="27">
        <v>1.7</v>
      </c>
      <c r="AM171" s="30">
        <v>0</v>
      </c>
      <c r="AN171" s="29" t="s">
        <v>268</v>
      </c>
      <c r="AR171" s="214"/>
    </row>
    <row r="172" spans="1:44" s="29" customFormat="1">
      <c r="A172" s="281" t="s">
        <v>738</v>
      </c>
      <c r="B172" s="1" t="s">
        <v>270</v>
      </c>
      <c r="C172" s="29" t="s">
        <v>267</v>
      </c>
      <c r="D172" s="29">
        <v>120</v>
      </c>
      <c r="E172" s="29">
        <v>250000</v>
      </c>
      <c r="F172" s="29">
        <v>17400</v>
      </c>
      <c r="G172" s="29">
        <v>79</v>
      </c>
      <c r="H172" s="29">
        <v>0.85</v>
      </c>
      <c r="I172" s="204"/>
      <c r="J172" s="204"/>
      <c r="K172" s="29" t="s">
        <v>295</v>
      </c>
      <c r="L172" s="197" t="s">
        <v>437</v>
      </c>
      <c r="M172" s="29">
        <v>532.9</v>
      </c>
      <c r="N172" s="29">
        <v>2281.6</v>
      </c>
      <c r="O172" s="29">
        <v>2010</v>
      </c>
      <c r="P172" s="29" t="s">
        <v>253</v>
      </c>
      <c r="Q172" s="31" t="s">
        <v>336</v>
      </c>
      <c r="R172" s="31" t="s">
        <v>337</v>
      </c>
      <c r="S172" s="31" t="s">
        <v>338</v>
      </c>
      <c r="T172" s="31"/>
      <c r="W172" s="31"/>
      <c r="X172" s="31"/>
      <c r="Y172" s="31"/>
      <c r="Z172" s="31"/>
      <c r="AA172" s="31">
        <v>1</v>
      </c>
      <c r="AB172" s="31">
        <v>1</v>
      </c>
      <c r="AC172" s="31">
        <v>1.1538461538461537</v>
      </c>
      <c r="AD172" s="30"/>
      <c r="AE172" s="30"/>
      <c r="AF172" s="30"/>
      <c r="AG172" s="30"/>
      <c r="AH172" s="30"/>
      <c r="AI172" s="30"/>
      <c r="AJ172" s="205"/>
      <c r="AK172" s="30">
        <v>4.16</v>
      </c>
      <c r="AL172" s="27">
        <v>1.7</v>
      </c>
      <c r="AM172" s="30">
        <v>0</v>
      </c>
      <c r="AN172" s="29" t="s">
        <v>268</v>
      </c>
      <c r="AR172" s="214"/>
    </row>
    <row r="173" spans="1:44" s="29" customFormat="1">
      <c r="A173" s="281" t="s">
        <v>738</v>
      </c>
      <c r="B173" s="29" t="s">
        <v>271</v>
      </c>
      <c r="C173" s="29" t="s">
        <v>267</v>
      </c>
      <c r="D173" s="29">
        <v>120</v>
      </c>
      <c r="E173" s="29">
        <v>50000</v>
      </c>
      <c r="F173" s="29">
        <v>12800</v>
      </c>
      <c r="G173" s="29">
        <v>73</v>
      </c>
      <c r="H173" s="29">
        <v>0.85</v>
      </c>
      <c r="I173" s="204"/>
      <c r="J173" s="204"/>
      <c r="K173" s="29" t="s">
        <v>295</v>
      </c>
      <c r="L173" s="197" t="s">
        <v>437</v>
      </c>
      <c r="M173" s="29">
        <v>532.9</v>
      </c>
      <c r="N173" s="29">
        <v>2281.6</v>
      </c>
      <c r="O173" s="29">
        <v>2010</v>
      </c>
      <c r="P173" s="29" t="s">
        <v>253</v>
      </c>
      <c r="Q173" s="31" t="s">
        <v>336</v>
      </c>
      <c r="R173" s="31" t="s">
        <v>337</v>
      </c>
      <c r="S173" s="31" t="s">
        <v>338</v>
      </c>
      <c r="T173" s="31"/>
      <c r="W173" s="31"/>
      <c r="X173" s="31"/>
      <c r="Y173" s="31"/>
      <c r="Z173" s="31"/>
      <c r="AA173" s="31">
        <v>1</v>
      </c>
      <c r="AB173" s="31">
        <v>1</v>
      </c>
      <c r="AC173" s="31">
        <v>1.1538461538461537</v>
      </c>
      <c r="AG173" s="31"/>
      <c r="AH173" s="31"/>
      <c r="AI173" s="31"/>
      <c r="AJ173" s="31"/>
      <c r="AK173" s="30">
        <v>3.05</v>
      </c>
      <c r="AL173" s="27">
        <v>1.7</v>
      </c>
      <c r="AM173" s="30">
        <v>0</v>
      </c>
      <c r="AN173" s="29" t="s">
        <v>268</v>
      </c>
      <c r="AR173" s="214"/>
    </row>
    <row r="174" spans="1:44" s="29" customFormat="1">
      <c r="I174" s="204"/>
      <c r="J174" s="204"/>
      <c r="R174" s="30"/>
      <c r="S174" s="30"/>
      <c r="T174" s="30"/>
      <c r="U174" s="30"/>
      <c r="V174" s="30"/>
      <c r="W174" s="30"/>
      <c r="X174" s="30"/>
      <c r="Y174" s="30"/>
      <c r="Z174" s="205"/>
      <c r="AA174" s="31"/>
      <c r="AB174" s="30"/>
      <c r="AC174" s="30"/>
      <c r="AD174" s="30"/>
      <c r="AE174" s="30"/>
      <c r="AF174" s="30"/>
      <c r="AG174" s="30"/>
      <c r="AH174" s="30"/>
      <c r="AI174" s="30"/>
      <c r="AJ174" s="205"/>
      <c r="AL174" s="30"/>
      <c r="AM174" s="30"/>
      <c r="AR174" s="214"/>
    </row>
    <row r="175" spans="1:44">
      <c r="B175" t="s">
        <v>739</v>
      </c>
    </row>
    <row r="176" spans="1:44">
      <c r="A176" t="s">
        <v>977</v>
      </c>
      <c r="B176" t="s">
        <v>653</v>
      </c>
      <c r="C176" t="s">
        <v>603</v>
      </c>
      <c r="D176">
        <v>400</v>
      </c>
      <c r="E176">
        <v>100000</v>
      </c>
      <c r="F176">
        <v>12.1656</v>
      </c>
      <c r="G176">
        <v>-1.1448</v>
      </c>
      <c r="H176">
        <v>8.6199999999999999E-2</v>
      </c>
      <c r="I176" s="204">
        <v>0</v>
      </c>
      <c r="J176" s="204">
        <v>0</v>
      </c>
      <c r="K176" s="204" t="s">
        <v>551</v>
      </c>
      <c r="L176" s="204" t="s">
        <v>436</v>
      </c>
      <c r="M176" s="204">
        <v>567</v>
      </c>
      <c r="O176">
        <v>2013</v>
      </c>
      <c r="Q176" s="29" t="s">
        <v>604</v>
      </c>
      <c r="R176" s="30" t="s">
        <v>605</v>
      </c>
      <c r="S176" s="30" t="s">
        <v>335</v>
      </c>
      <c r="T176" s="30" t="s">
        <v>606</v>
      </c>
      <c r="U176" s="30" t="s">
        <v>349</v>
      </c>
      <c r="V176" s="30" t="s">
        <v>339</v>
      </c>
      <c r="W176" s="30" t="s">
        <v>340</v>
      </c>
      <c r="X176" s="30" t="s">
        <v>177</v>
      </c>
      <c r="Y176" s="30" t="s">
        <v>352</v>
      </c>
      <c r="AA176" s="204">
        <v>1</v>
      </c>
      <c r="AB176" s="204">
        <v>1.1499999999999999</v>
      </c>
      <c r="AC176" s="204">
        <v>1.35</v>
      </c>
      <c r="AD176" s="204">
        <v>1.9</v>
      </c>
      <c r="AE176" s="204">
        <v>2</v>
      </c>
      <c r="AF176" s="204">
        <v>2.95</v>
      </c>
      <c r="AG176" s="204">
        <v>3.3</v>
      </c>
      <c r="AH176" s="204">
        <v>3.5</v>
      </c>
      <c r="AI176" s="204">
        <v>9.6999999999999993</v>
      </c>
      <c r="AK176" s="205">
        <v>3.3</v>
      </c>
      <c r="AL176" s="25">
        <v>1.3</v>
      </c>
      <c r="AM176" s="30">
        <v>0</v>
      </c>
      <c r="AN176" t="s">
        <v>607</v>
      </c>
    </row>
    <row r="177" spans="1:44">
      <c r="A177" s="281" t="s">
        <v>977</v>
      </c>
      <c r="B177" s="204" t="s">
        <v>654</v>
      </c>
      <c r="C177" s="204" t="s">
        <v>603</v>
      </c>
      <c r="D177" s="204">
        <v>400</v>
      </c>
      <c r="E177" s="204">
        <v>100000</v>
      </c>
      <c r="F177" s="204">
        <v>12.1656</v>
      </c>
      <c r="G177" s="204">
        <v>-1.1448</v>
      </c>
      <c r="H177" s="204">
        <v>8.6199999999999999E-2</v>
      </c>
      <c r="I177" s="205">
        <v>0</v>
      </c>
      <c r="J177" s="205">
        <v>0</v>
      </c>
      <c r="K177" s="204" t="s">
        <v>551</v>
      </c>
      <c r="L177" s="204" t="s">
        <v>436</v>
      </c>
      <c r="M177" s="204">
        <v>567</v>
      </c>
      <c r="O177">
        <v>2013</v>
      </c>
      <c r="Q177" s="204" t="s">
        <v>604</v>
      </c>
      <c r="R177" s="204" t="s">
        <v>605</v>
      </c>
      <c r="S177" s="204" t="s">
        <v>335</v>
      </c>
      <c r="T177" s="204" t="s">
        <v>606</v>
      </c>
      <c r="U177" s="204" t="s">
        <v>349</v>
      </c>
      <c r="V177" s="204" t="s">
        <v>339</v>
      </c>
      <c r="W177" s="204" t="s">
        <v>340</v>
      </c>
      <c r="X177" s="204" t="s">
        <v>177</v>
      </c>
      <c r="Y177" s="204" t="s">
        <v>352</v>
      </c>
      <c r="AA177" s="204">
        <v>1.5</v>
      </c>
      <c r="AB177" s="204">
        <v>1.7249999999999999</v>
      </c>
      <c r="AC177" s="204">
        <v>2.0250000000000004</v>
      </c>
      <c r="AD177" s="204">
        <v>2.8499999999999996</v>
      </c>
      <c r="AE177" s="204">
        <v>3</v>
      </c>
      <c r="AF177" s="204">
        <v>4.4250000000000007</v>
      </c>
      <c r="AG177" s="204">
        <v>4.9499999999999993</v>
      </c>
      <c r="AH177" s="204">
        <v>5.25</v>
      </c>
      <c r="AI177" s="204">
        <v>14.549999999999999</v>
      </c>
      <c r="AK177" s="205">
        <v>3.3</v>
      </c>
      <c r="AL177" s="25">
        <v>1.3</v>
      </c>
      <c r="AM177" s="211">
        <v>0</v>
      </c>
      <c r="AN177" s="204" t="s">
        <v>608</v>
      </c>
    </row>
    <row r="178" spans="1:44">
      <c r="A178" s="281" t="s">
        <v>977</v>
      </c>
      <c r="B178" s="204" t="s">
        <v>655</v>
      </c>
      <c r="C178" s="204" t="s">
        <v>603</v>
      </c>
      <c r="D178" s="204">
        <v>400</v>
      </c>
      <c r="E178" s="204">
        <v>100000</v>
      </c>
      <c r="F178" s="204">
        <v>12.1656</v>
      </c>
      <c r="G178" s="204">
        <v>-1.1448</v>
      </c>
      <c r="H178" s="204">
        <v>8.6199999999999999E-2</v>
      </c>
      <c r="I178" s="205">
        <v>0</v>
      </c>
      <c r="J178" s="205">
        <v>0</v>
      </c>
      <c r="K178" s="204" t="s">
        <v>551</v>
      </c>
      <c r="L178" s="204" t="s">
        <v>436</v>
      </c>
      <c r="M178" s="204">
        <v>567</v>
      </c>
      <c r="O178">
        <v>2013</v>
      </c>
      <c r="Q178" s="204" t="s">
        <v>604</v>
      </c>
      <c r="R178" s="204" t="s">
        <v>605</v>
      </c>
      <c r="S178" s="204" t="s">
        <v>335</v>
      </c>
      <c r="T178" s="204" t="s">
        <v>606</v>
      </c>
      <c r="U178" s="204" t="s">
        <v>349</v>
      </c>
      <c r="V178" s="204" t="s">
        <v>339</v>
      </c>
      <c r="W178" s="204" t="s">
        <v>340</v>
      </c>
      <c r="X178" s="204" t="s">
        <v>177</v>
      </c>
      <c r="Y178" s="204" t="s">
        <v>352</v>
      </c>
      <c r="AA178" s="204">
        <v>1.7</v>
      </c>
      <c r="AB178" s="204">
        <v>1.9549999999999998</v>
      </c>
      <c r="AC178" s="204">
        <v>2.2949999999999999</v>
      </c>
      <c r="AD178" s="204">
        <v>3.23</v>
      </c>
      <c r="AE178" s="204">
        <v>3.4</v>
      </c>
      <c r="AF178" s="204">
        <v>5.0150000000000006</v>
      </c>
      <c r="AG178" s="204">
        <v>5.6099999999999994</v>
      </c>
      <c r="AH178" s="204">
        <v>5.95</v>
      </c>
      <c r="AI178" s="204">
        <v>16.489999999999998</v>
      </c>
      <c r="AK178" s="205">
        <v>3.3</v>
      </c>
      <c r="AL178" s="30">
        <v>1.3</v>
      </c>
      <c r="AM178" s="211">
        <v>0</v>
      </c>
      <c r="AN178" s="204" t="s">
        <v>609</v>
      </c>
    </row>
    <row r="179" spans="1:44">
      <c r="A179" s="281" t="s">
        <v>977</v>
      </c>
      <c r="B179" s="204" t="s">
        <v>656</v>
      </c>
      <c r="C179" s="204" t="s">
        <v>603</v>
      </c>
      <c r="D179" s="204">
        <v>400</v>
      </c>
      <c r="E179" s="204">
        <v>100000</v>
      </c>
      <c r="F179" s="204">
        <v>12.1656</v>
      </c>
      <c r="G179" s="204">
        <v>-1.1448</v>
      </c>
      <c r="H179" s="204">
        <v>8.6199999999999999E-2</v>
      </c>
      <c r="I179" s="205">
        <v>0</v>
      </c>
      <c r="J179" s="205">
        <v>0</v>
      </c>
      <c r="K179" s="204" t="s">
        <v>551</v>
      </c>
      <c r="L179" s="204" t="s">
        <v>436</v>
      </c>
      <c r="M179" s="204">
        <v>567</v>
      </c>
      <c r="O179">
        <v>2013</v>
      </c>
      <c r="Q179" s="204" t="s">
        <v>604</v>
      </c>
      <c r="R179" s="204" t="s">
        <v>605</v>
      </c>
      <c r="S179" s="204" t="s">
        <v>335</v>
      </c>
      <c r="T179" s="204" t="s">
        <v>606</v>
      </c>
      <c r="U179" s="204" t="s">
        <v>349</v>
      </c>
      <c r="V179" s="204" t="s">
        <v>339</v>
      </c>
      <c r="W179" s="204" t="s">
        <v>340</v>
      </c>
      <c r="X179" s="204" t="s">
        <v>177</v>
      </c>
      <c r="Y179" s="204" t="s">
        <v>352</v>
      </c>
      <c r="AA179" s="204">
        <v>2</v>
      </c>
      <c r="AB179" s="204">
        <v>2.2999999999999998</v>
      </c>
      <c r="AC179" s="204">
        <v>2.7</v>
      </c>
      <c r="AD179" s="204">
        <v>3.8</v>
      </c>
      <c r="AE179" s="204">
        <v>4</v>
      </c>
      <c r="AF179" s="204">
        <v>5.9</v>
      </c>
      <c r="AG179" s="204">
        <v>6.6</v>
      </c>
      <c r="AH179" s="204">
        <v>7</v>
      </c>
      <c r="AI179" s="204">
        <v>19.399999999999999</v>
      </c>
      <c r="AK179" s="205">
        <v>3.3</v>
      </c>
      <c r="AL179" s="30">
        <v>1.3</v>
      </c>
      <c r="AM179" s="211">
        <v>0</v>
      </c>
      <c r="AN179" s="204" t="s">
        <v>610</v>
      </c>
    </row>
    <row r="180" spans="1:44">
      <c r="A180" s="281" t="s">
        <v>977</v>
      </c>
      <c r="B180" s="204" t="s">
        <v>657</v>
      </c>
      <c r="C180" s="204" t="s">
        <v>603</v>
      </c>
      <c r="D180" s="204">
        <v>400</v>
      </c>
      <c r="E180" s="204">
        <v>100000</v>
      </c>
      <c r="F180" s="204">
        <v>12.1656</v>
      </c>
      <c r="G180" s="204">
        <v>-1.1448</v>
      </c>
      <c r="H180" s="204">
        <v>8.6199999999999999E-2</v>
      </c>
      <c r="I180" s="205">
        <v>0</v>
      </c>
      <c r="J180" s="205">
        <v>0</v>
      </c>
      <c r="K180" s="204" t="s">
        <v>551</v>
      </c>
      <c r="L180" s="204" t="s">
        <v>436</v>
      </c>
      <c r="M180" s="26">
        <v>567</v>
      </c>
      <c r="O180">
        <v>2013</v>
      </c>
      <c r="Q180" s="204" t="s">
        <v>604</v>
      </c>
      <c r="R180" s="204" t="s">
        <v>605</v>
      </c>
      <c r="S180" s="204" t="s">
        <v>335</v>
      </c>
      <c r="T180" s="204" t="s">
        <v>606</v>
      </c>
      <c r="U180" s="204" t="s">
        <v>349</v>
      </c>
      <c r="V180" s="204" t="s">
        <v>339</v>
      </c>
      <c r="W180" s="204" t="s">
        <v>340</v>
      </c>
      <c r="X180" s="204" t="s">
        <v>177</v>
      </c>
      <c r="Y180" s="204" t="s">
        <v>352</v>
      </c>
      <c r="AA180" s="204">
        <v>2.7</v>
      </c>
      <c r="AB180" s="204">
        <v>3.105</v>
      </c>
      <c r="AC180" s="204">
        <v>3.6450000000000005</v>
      </c>
      <c r="AD180" s="204">
        <v>5.13</v>
      </c>
      <c r="AE180" s="204">
        <v>5.4</v>
      </c>
      <c r="AF180" s="204">
        <v>7.9650000000000007</v>
      </c>
      <c r="AG180" s="204">
        <v>8.91</v>
      </c>
      <c r="AH180" s="204">
        <v>9.4500000000000011</v>
      </c>
      <c r="AI180" s="204">
        <v>26.19</v>
      </c>
      <c r="AK180" s="205">
        <v>3.3</v>
      </c>
      <c r="AL180" s="30">
        <v>1.3</v>
      </c>
      <c r="AM180" s="211">
        <v>0</v>
      </c>
      <c r="AN180" s="204" t="s">
        <v>611</v>
      </c>
    </row>
    <row r="181" spans="1:44">
      <c r="A181" s="281" t="s">
        <v>977</v>
      </c>
      <c r="B181" s="204" t="s">
        <v>658</v>
      </c>
      <c r="C181" s="204" t="s">
        <v>603</v>
      </c>
      <c r="D181" s="204">
        <v>400</v>
      </c>
      <c r="E181" s="204">
        <v>100000</v>
      </c>
      <c r="F181" s="204">
        <v>12.1656</v>
      </c>
      <c r="G181" s="204">
        <v>-1.1448</v>
      </c>
      <c r="H181" s="204">
        <v>8.6199999999999999E-2</v>
      </c>
      <c r="I181" s="205">
        <v>0</v>
      </c>
      <c r="J181" s="205">
        <v>0</v>
      </c>
      <c r="K181" s="204" t="s">
        <v>551</v>
      </c>
      <c r="L181" s="204" t="s">
        <v>436</v>
      </c>
      <c r="M181" s="26">
        <v>567</v>
      </c>
      <c r="O181">
        <v>2013</v>
      </c>
      <c r="Q181" s="204" t="s">
        <v>604</v>
      </c>
      <c r="R181" s="204" t="s">
        <v>605</v>
      </c>
      <c r="S181" s="204" t="s">
        <v>335</v>
      </c>
      <c r="T181" s="204" t="s">
        <v>606</v>
      </c>
      <c r="U181" s="204" t="s">
        <v>349</v>
      </c>
      <c r="V181" s="204" t="s">
        <v>339</v>
      </c>
      <c r="W181" s="204" t="s">
        <v>340</v>
      </c>
      <c r="X181" s="204" t="s">
        <v>177</v>
      </c>
      <c r="Y181" s="204" t="s">
        <v>352</v>
      </c>
      <c r="AA181" s="204">
        <v>8.9</v>
      </c>
      <c r="AB181" s="204">
        <v>10.234999999999999</v>
      </c>
      <c r="AC181" s="204">
        <v>12.015000000000001</v>
      </c>
      <c r="AD181" s="204">
        <v>16.91</v>
      </c>
      <c r="AE181" s="204">
        <v>17.8</v>
      </c>
      <c r="AF181" s="204">
        <v>26.255000000000003</v>
      </c>
      <c r="AG181" s="204">
        <v>29.37</v>
      </c>
      <c r="AH181" s="204">
        <v>31.150000000000002</v>
      </c>
      <c r="AI181" s="204">
        <v>86.33</v>
      </c>
      <c r="AK181" s="205">
        <v>3.3</v>
      </c>
      <c r="AL181" s="30">
        <v>1.3</v>
      </c>
      <c r="AM181" s="211">
        <v>0</v>
      </c>
      <c r="AN181" s="204" t="s">
        <v>612</v>
      </c>
    </row>
    <row r="182" spans="1:44" s="204" customFormat="1">
      <c r="A182" s="281" t="s">
        <v>977</v>
      </c>
      <c r="B182" s="204" t="s">
        <v>659</v>
      </c>
      <c r="C182" s="204" t="s">
        <v>620</v>
      </c>
      <c r="D182" s="204">
        <v>10</v>
      </c>
      <c r="E182" s="204">
        <v>900</v>
      </c>
      <c r="F182" s="204">
        <v>8.2815999999999992</v>
      </c>
      <c r="G182" s="204">
        <v>-0.2918</v>
      </c>
      <c r="H182" s="204">
        <v>7.4300000000000005E-2</v>
      </c>
      <c r="I182" s="205">
        <v>0</v>
      </c>
      <c r="J182" s="205">
        <v>0</v>
      </c>
      <c r="K182" s="204" t="s">
        <v>551</v>
      </c>
      <c r="L182" s="204" t="s">
        <v>436</v>
      </c>
      <c r="M182" s="204">
        <v>567</v>
      </c>
      <c r="O182" s="204">
        <v>2013</v>
      </c>
      <c r="Q182" s="204" t="s">
        <v>604</v>
      </c>
      <c r="R182" s="204" t="s">
        <v>605</v>
      </c>
      <c r="S182" s="204" t="s">
        <v>335</v>
      </c>
      <c r="T182" s="204" t="s">
        <v>606</v>
      </c>
      <c r="U182" s="204" t="s">
        <v>349</v>
      </c>
      <c r="V182" s="204" t="s">
        <v>339</v>
      </c>
      <c r="W182" s="204" t="s">
        <v>340</v>
      </c>
      <c r="X182" s="204" t="s">
        <v>177</v>
      </c>
      <c r="Y182" s="204" t="s">
        <v>352</v>
      </c>
      <c r="Z182" s="205"/>
      <c r="AA182" s="204">
        <v>1</v>
      </c>
      <c r="AB182" s="204">
        <v>1.1499999999999999</v>
      </c>
      <c r="AC182" s="204">
        <v>1.35</v>
      </c>
      <c r="AD182" s="204">
        <v>1.9</v>
      </c>
      <c r="AE182" s="204">
        <v>2</v>
      </c>
      <c r="AF182" s="204">
        <v>2.95</v>
      </c>
      <c r="AG182" s="204">
        <v>3.3</v>
      </c>
      <c r="AH182" s="204">
        <v>3.5</v>
      </c>
      <c r="AI182" s="204">
        <v>9.6999999999999993</v>
      </c>
      <c r="AJ182" s="205"/>
      <c r="AK182" s="205">
        <v>3.3</v>
      </c>
      <c r="AL182" s="27">
        <v>1.3</v>
      </c>
      <c r="AM182" s="211">
        <v>0</v>
      </c>
      <c r="AN182" s="204" t="s">
        <v>623</v>
      </c>
      <c r="AR182" s="214"/>
    </row>
    <row r="183" spans="1:44" s="204" customFormat="1">
      <c r="A183" s="281" t="s">
        <v>977</v>
      </c>
      <c r="B183" s="204" t="s">
        <v>660</v>
      </c>
      <c r="C183" s="204" t="s">
        <v>621</v>
      </c>
      <c r="D183" s="204">
        <v>1</v>
      </c>
      <c r="E183" s="204">
        <v>200</v>
      </c>
      <c r="F183" s="204">
        <v>7.9360999999999997</v>
      </c>
      <c r="G183" s="204">
        <v>0.26985999999999999</v>
      </c>
      <c r="H183" s="204">
        <v>6.7180000000000004E-2</v>
      </c>
      <c r="I183" s="205">
        <v>0</v>
      </c>
      <c r="J183" s="205">
        <v>0</v>
      </c>
      <c r="K183" s="204" t="s">
        <v>551</v>
      </c>
      <c r="L183" s="204" t="s">
        <v>436</v>
      </c>
      <c r="M183" s="204">
        <v>567</v>
      </c>
      <c r="O183" s="204">
        <v>2013</v>
      </c>
      <c r="Q183" s="204" t="s">
        <v>605</v>
      </c>
      <c r="R183" s="204" t="s">
        <v>624</v>
      </c>
      <c r="S183" s="204" t="s">
        <v>333</v>
      </c>
      <c r="T183" s="204" t="s">
        <v>349</v>
      </c>
      <c r="Z183" s="205"/>
      <c r="AA183" s="204">
        <v>1</v>
      </c>
      <c r="AB183" s="204">
        <v>1.1499999999999999</v>
      </c>
      <c r="AC183" s="204">
        <v>1.5</v>
      </c>
      <c r="AD183" s="204">
        <v>2.2000000000000002</v>
      </c>
      <c r="AJ183" s="205"/>
      <c r="AK183" s="205">
        <v>3.3</v>
      </c>
      <c r="AL183" s="27">
        <v>1.3</v>
      </c>
      <c r="AM183" s="211">
        <v>0</v>
      </c>
      <c r="AN183" s="204" t="s">
        <v>622</v>
      </c>
      <c r="AR183" s="214"/>
    </row>
    <row r="184" spans="1:44">
      <c r="A184" s="281" t="s">
        <v>977</v>
      </c>
      <c r="B184" s="204" t="s">
        <v>616</v>
      </c>
      <c r="C184" s="204" t="s">
        <v>619</v>
      </c>
      <c r="D184" s="204">
        <v>1</v>
      </c>
      <c r="E184" s="204">
        <v>700</v>
      </c>
      <c r="F184">
        <v>5.9332000000000003</v>
      </c>
      <c r="G184">
        <v>0.16829</v>
      </c>
      <c r="H184">
        <v>-0.110056</v>
      </c>
      <c r="I184" s="204">
        <v>7.1413000000000004E-2</v>
      </c>
      <c r="J184" s="204">
        <v>-6.3787999999999996E-3</v>
      </c>
      <c r="K184" s="204" t="s">
        <v>551</v>
      </c>
      <c r="L184" s="204" t="s">
        <v>436</v>
      </c>
      <c r="M184" s="26">
        <v>567</v>
      </c>
      <c r="O184">
        <v>2013</v>
      </c>
      <c r="Q184" s="29" t="s">
        <v>613</v>
      </c>
      <c r="R184" s="30" t="s">
        <v>614</v>
      </c>
      <c r="S184" s="30" t="s">
        <v>615</v>
      </c>
      <c r="AA184" s="30">
        <v>1</v>
      </c>
      <c r="AB184" s="30">
        <v>1.4</v>
      </c>
      <c r="AC184" s="30">
        <v>1.8</v>
      </c>
      <c r="AK184" s="205">
        <v>3.3</v>
      </c>
      <c r="AL184" s="30">
        <v>1</v>
      </c>
      <c r="AM184" s="211">
        <v>0</v>
      </c>
      <c r="AN184" t="s">
        <v>618</v>
      </c>
    </row>
    <row r="185" spans="1:44">
      <c r="A185" s="281" t="s">
        <v>977</v>
      </c>
      <c r="B185" s="204" t="s">
        <v>617</v>
      </c>
      <c r="C185" s="204" t="s">
        <v>619</v>
      </c>
      <c r="D185" s="204">
        <v>1</v>
      </c>
      <c r="E185" s="204">
        <v>700</v>
      </c>
      <c r="F185" s="204">
        <v>5.9332000000000003</v>
      </c>
      <c r="G185" s="204">
        <v>0.16829</v>
      </c>
      <c r="H185" s="204">
        <v>-0.110056</v>
      </c>
      <c r="I185" s="204">
        <v>7.1413000000000004E-2</v>
      </c>
      <c r="J185" s="204">
        <v>-6.3787999999999996E-3</v>
      </c>
      <c r="K185" s="204" t="s">
        <v>551</v>
      </c>
      <c r="L185" s="204" t="s">
        <v>436</v>
      </c>
      <c r="M185" s="204">
        <v>567</v>
      </c>
      <c r="N185" s="204"/>
      <c r="O185" s="204">
        <v>2013</v>
      </c>
      <c r="P185" s="204"/>
      <c r="Q185" s="204" t="s">
        <v>613</v>
      </c>
      <c r="R185" s="204" t="s">
        <v>614</v>
      </c>
      <c r="S185" s="204" t="s">
        <v>615</v>
      </c>
      <c r="AA185" s="30">
        <v>0.9</v>
      </c>
      <c r="AB185" s="30">
        <v>1.3</v>
      </c>
      <c r="AC185" s="30">
        <v>1.7</v>
      </c>
      <c r="AK185" s="205">
        <v>3.3</v>
      </c>
      <c r="AL185" s="30">
        <v>1</v>
      </c>
      <c r="AM185" s="211">
        <v>0</v>
      </c>
      <c r="AN185" s="204" t="s">
        <v>618</v>
      </c>
    </row>
    <row r="186" spans="1:44">
      <c r="A186" s="281" t="s">
        <v>977</v>
      </c>
      <c r="B186" t="s">
        <v>634</v>
      </c>
      <c r="C186" t="s">
        <v>642</v>
      </c>
      <c r="D186">
        <v>1000</v>
      </c>
      <c r="E186">
        <v>100000</v>
      </c>
      <c r="F186">
        <v>11.4152</v>
      </c>
      <c r="G186">
        <v>-1.3805000000000001</v>
      </c>
      <c r="H186">
        <v>0.1139</v>
      </c>
      <c r="I186" s="204">
        <v>0</v>
      </c>
      <c r="J186" s="204">
        <v>0</v>
      </c>
      <c r="K186" s="204" t="s">
        <v>551</v>
      </c>
      <c r="L186" s="204" t="s">
        <v>436</v>
      </c>
      <c r="M186" s="204">
        <v>567</v>
      </c>
      <c r="O186" s="205">
        <v>2013</v>
      </c>
      <c r="Q186" s="29" t="s">
        <v>333</v>
      </c>
      <c r="R186" s="30" t="s">
        <v>582</v>
      </c>
      <c r="S186" s="30" t="s">
        <v>349</v>
      </c>
      <c r="T186" s="30" t="s">
        <v>351</v>
      </c>
      <c r="AA186" s="30">
        <v>1</v>
      </c>
      <c r="AB186" s="30">
        <v>1.8</v>
      </c>
      <c r="AC186" s="30">
        <v>2.5</v>
      </c>
      <c r="AD186" s="30">
        <v>5</v>
      </c>
      <c r="AK186" s="205">
        <v>2.15</v>
      </c>
      <c r="AL186" s="30">
        <v>1.61</v>
      </c>
      <c r="AM186" s="30">
        <v>0.05</v>
      </c>
      <c r="AN186" t="s">
        <v>638</v>
      </c>
    </row>
    <row r="187" spans="1:44">
      <c r="A187" s="281" t="s">
        <v>977</v>
      </c>
      <c r="B187" s="204" t="s">
        <v>625</v>
      </c>
      <c r="C187" s="204" t="s">
        <v>642</v>
      </c>
      <c r="D187" s="205">
        <v>1000</v>
      </c>
      <c r="E187" s="205">
        <v>100000</v>
      </c>
      <c r="F187" s="205">
        <v>11.4152</v>
      </c>
      <c r="G187" s="205">
        <v>-1.3805000000000001</v>
      </c>
      <c r="H187" s="205">
        <v>0.1139</v>
      </c>
      <c r="I187" s="205">
        <v>0</v>
      </c>
      <c r="J187" s="205">
        <v>0</v>
      </c>
      <c r="K187" s="204" t="s">
        <v>551</v>
      </c>
      <c r="L187" s="204" t="s">
        <v>436</v>
      </c>
      <c r="M187" s="204">
        <v>567</v>
      </c>
      <c r="O187" s="205">
        <v>2013</v>
      </c>
      <c r="Q187" s="205" t="s">
        <v>333</v>
      </c>
      <c r="R187" s="205" t="s">
        <v>582</v>
      </c>
      <c r="S187" s="205" t="s">
        <v>349</v>
      </c>
      <c r="T187" s="205" t="s">
        <v>351</v>
      </c>
      <c r="AA187" s="205">
        <v>1</v>
      </c>
      <c r="AB187" s="205">
        <v>1.8</v>
      </c>
      <c r="AC187" s="205">
        <v>2.5</v>
      </c>
      <c r="AD187" s="205">
        <v>5</v>
      </c>
      <c r="AK187" s="205">
        <v>2.15</v>
      </c>
      <c r="AL187" s="212">
        <v>1.61</v>
      </c>
      <c r="AM187" s="30">
        <v>0.05</v>
      </c>
      <c r="AN187" s="204" t="s">
        <v>638</v>
      </c>
    </row>
    <row r="188" spans="1:44">
      <c r="A188" s="281" t="s">
        <v>977</v>
      </c>
      <c r="B188" s="204" t="s">
        <v>626</v>
      </c>
      <c r="C188" s="204" t="s">
        <v>642</v>
      </c>
      <c r="D188" s="205">
        <v>1000</v>
      </c>
      <c r="E188" s="205">
        <v>100000</v>
      </c>
      <c r="F188" s="205">
        <v>11.4152</v>
      </c>
      <c r="G188" s="205">
        <v>-1.3805000000000001</v>
      </c>
      <c r="H188" s="205">
        <v>0.1139</v>
      </c>
      <c r="I188" s="205">
        <v>0</v>
      </c>
      <c r="J188" s="205">
        <v>0</v>
      </c>
      <c r="K188" s="204" t="s">
        <v>551</v>
      </c>
      <c r="L188" s="204" t="s">
        <v>436</v>
      </c>
      <c r="M188" s="204">
        <v>567</v>
      </c>
      <c r="O188" s="205">
        <v>2013</v>
      </c>
      <c r="Q188" s="205" t="s">
        <v>333</v>
      </c>
      <c r="R188" s="205" t="s">
        <v>582</v>
      </c>
      <c r="S188" s="205" t="s">
        <v>349</v>
      </c>
      <c r="T188" s="205" t="s">
        <v>351</v>
      </c>
      <c r="AA188" s="205">
        <v>1</v>
      </c>
      <c r="AB188" s="205">
        <v>1.8</v>
      </c>
      <c r="AC188" s="205">
        <v>2.5</v>
      </c>
      <c r="AD188" s="205">
        <v>5</v>
      </c>
      <c r="AK188" s="205">
        <v>2.15</v>
      </c>
      <c r="AL188" s="212">
        <v>1.61</v>
      </c>
      <c r="AM188" s="211">
        <v>0.05</v>
      </c>
      <c r="AN188" s="204" t="s">
        <v>638</v>
      </c>
    </row>
    <row r="189" spans="1:44">
      <c r="A189" s="281" t="s">
        <v>977</v>
      </c>
      <c r="B189" s="204" t="s">
        <v>627</v>
      </c>
      <c r="C189" s="204" t="s">
        <v>642</v>
      </c>
      <c r="D189" s="205">
        <v>1000</v>
      </c>
      <c r="E189" s="205">
        <v>100000</v>
      </c>
      <c r="F189" s="205">
        <v>11.4152</v>
      </c>
      <c r="G189" s="205">
        <v>-1.3805000000000001</v>
      </c>
      <c r="H189" s="205">
        <v>0.1139</v>
      </c>
      <c r="I189" s="205">
        <v>0</v>
      </c>
      <c r="J189" s="205">
        <v>0</v>
      </c>
      <c r="K189" s="204" t="s">
        <v>551</v>
      </c>
      <c r="L189" s="204" t="s">
        <v>436</v>
      </c>
      <c r="M189" s="204">
        <v>567</v>
      </c>
      <c r="O189" s="205">
        <v>2013</v>
      </c>
      <c r="Q189" s="205" t="s">
        <v>333</v>
      </c>
      <c r="R189" s="205" t="s">
        <v>582</v>
      </c>
      <c r="S189" s="205" t="s">
        <v>349</v>
      </c>
      <c r="T189" s="205" t="s">
        <v>351</v>
      </c>
      <c r="AA189" s="205">
        <v>1</v>
      </c>
      <c r="AB189" s="205">
        <v>1.8</v>
      </c>
      <c r="AC189" s="205">
        <v>2.5</v>
      </c>
      <c r="AD189" s="205">
        <v>5</v>
      </c>
      <c r="AK189" s="205">
        <v>2.15</v>
      </c>
      <c r="AL189" s="212">
        <v>1.61</v>
      </c>
      <c r="AM189" s="211">
        <v>0.05</v>
      </c>
      <c r="AN189" s="204" t="s">
        <v>638</v>
      </c>
    </row>
    <row r="190" spans="1:44">
      <c r="A190" s="281" t="s">
        <v>977</v>
      </c>
      <c r="B190" s="204" t="s">
        <v>628</v>
      </c>
      <c r="C190" s="204" t="s">
        <v>642</v>
      </c>
      <c r="D190" s="205">
        <v>1000</v>
      </c>
      <c r="E190" s="205">
        <v>100000</v>
      </c>
      <c r="F190" s="205">
        <v>11.4152</v>
      </c>
      <c r="G190" s="205">
        <v>-1.3805000000000001</v>
      </c>
      <c r="H190" s="205">
        <v>0.1139</v>
      </c>
      <c r="I190" s="205">
        <v>0</v>
      </c>
      <c r="J190" s="205">
        <v>0</v>
      </c>
      <c r="K190" s="204" t="s">
        <v>551</v>
      </c>
      <c r="L190" s="204" t="s">
        <v>436</v>
      </c>
      <c r="M190" s="204">
        <v>567</v>
      </c>
      <c r="O190" s="205">
        <v>2013</v>
      </c>
      <c r="Q190" s="205" t="s">
        <v>333</v>
      </c>
      <c r="R190" s="205" t="s">
        <v>582</v>
      </c>
      <c r="S190" s="205" t="s">
        <v>349</v>
      </c>
      <c r="T190" s="205" t="s">
        <v>351</v>
      </c>
      <c r="AA190" s="205">
        <v>1</v>
      </c>
      <c r="AB190" s="205">
        <v>1.8</v>
      </c>
      <c r="AC190" s="205">
        <v>2.5</v>
      </c>
      <c r="AD190" s="205">
        <v>5</v>
      </c>
      <c r="AK190" s="205">
        <v>2.15</v>
      </c>
      <c r="AL190" s="212">
        <v>1.61</v>
      </c>
      <c r="AM190" s="211">
        <v>0.05</v>
      </c>
      <c r="AN190" s="204" t="s">
        <v>638</v>
      </c>
    </row>
    <row r="191" spans="1:44">
      <c r="A191" s="281" t="s">
        <v>977</v>
      </c>
      <c r="B191" s="204" t="s">
        <v>635</v>
      </c>
      <c r="C191" s="204" t="s">
        <v>642</v>
      </c>
      <c r="D191" s="204">
        <v>1000</v>
      </c>
      <c r="E191" s="204">
        <v>20000</v>
      </c>
      <c r="F191">
        <v>12.166700000000001</v>
      </c>
      <c r="G191">
        <v>-1.6407</v>
      </c>
      <c r="H191">
        <v>0.1328</v>
      </c>
      <c r="I191" s="205">
        <v>0</v>
      </c>
      <c r="J191" s="205">
        <v>0</v>
      </c>
      <c r="K191" s="204" t="s">
        <v>551</v>
      </c>
      <c r="L191" s="204" t="s">
        <v>436</v>
      </c>
      <c r="M191" s="204">
        <v>567</v>
      </c>
      <c r="O191" s="205">
        <v>2013</v>
      </c>
      <c r="Q191" s="205" t="s">
        <v>333</v>
      </c>
      <c r="R191" s="205" t="s">
        <v>582</v>
      </c>
      <c r="S191" s="205" t="s">
        <v>349</v>
      </c>
      <c r="T191" s="205" t="s">
        <v>351</v>
      </c>
      <c r="AA191" s="205">
        <v>1</v>
      </c>
      <c r="AB191" s="205">
        <v>1.8</v>
      </c>
      <c r="AC191" s="205">
        <v>2.5</v>
      </c>
      <c r="AD191" s="205">
        <v>5</v>
      </c>
      <c r="AK191" s="205">
        <v>2.15</v>
      </c>
      <c r="AL191" s="212">
        <v>1.61</v>
      </c>
      <c r="AM191" s="211">
        <v>0.05</v>
      </c>
      <c r="AN191" s="204" t="s">
        <v>638</v>
      </c>
    </row>
    <row r="192" spans="1:44">
      <c r="A192" s="281" t="s">
        <v>977</v>
      </c>
      <c r="B192" s="204" t="s">
        <v>629</v>
      </c>
      <c r="C192" s="204" t="s">
        <v>642</v>
      </c>
      <c r="D192" s="205">
        <v>1000</v>
      </c>
      <c r="E192" s="205">
        <v>20000</v>
      </c>
      <c r="F192" s="205">
        <v>12.166700000000001</v>
      </c>
      <c r="G192" s="205">
        <v>-1.6407</v>
      </c>
      <c r="H192" s="205">
        <v>0.1328</v>
      </c>
      <c r="I192" s="205">
        <v>0</v>
      </c>
      <c r="J192" s="205">
        <v>0</v>
      </c>
      <c r="K192" s="204" t="s">
        <v>551</v>
      </c>
      <c r="L192" s="204" t="s">
        <v>436</v>
      </c>
      <c r="M192" s="204">
        <v>567</v>
      </c>
      <c r="O192" s="205">
        <v>2013</v>
      </c>
      <c r="Q192" s="205" t="s">
        <v>333</v>
      </c>
      <c r="R192" s="205" t="s">
        <v>582</v>
      </c>
      <c r="S192" s="205" t="s">
        <v>349</v>
      </c>
      <c r="T192" s="205" t="s">
        <v>351</v>
      </c>
      <c r="AA192" s="205">
        <v>1</v>
      </c>
      <c r="AB192" s="205">
        <v>1.8</v>
      </c>
      <c r="AC192" s="205">
        <v>2.5</v>
      </c>
      <c r="AD192" s="205">
        <v>5</v>
      </c>
      <c r="AK192" s="205">
        <v>2.15</v>
      </c>
      <c r="AL192" s="212">
        <v>1.61</v>
      </c>
      <c r="AM192" s="211">
        <v>0.05</v>
      </c>
      <c r="AN192" s="204" t="s">
        <v>638</v>
      </c>
    </row>
    <row r="193" spans="1:40">
      <c r="A193" s="281" t="s">
        <v>977</v>
      </c>
      <c r="B193" s="204" t="s">
        <v>630</v>
      </c>
      <c r="C193" s="204" t="s">
        <v>642</v>
      </c>
      <c r="D193" s="205">
        <v>1000</v>
      </c>
      <c r="E193" s="205">
        <v>20000</v>
      </c>
      <c r="F193" s="205">
        <v>12.166700000000001</v>
      </c>
      <c r="G193" s="205">
        <v>-1.6407</v>
      </c>
      <c r="H193" s="205">
        <v>0.1328</v>
      </c>
      <c r="I193" s="205">
        <v>0</v>
      </c>
      <c r="J193" s="205">
        <v>0</v>
      </c>
      <c r="K193" s="204" t="s">
        <v>551</v>
      </c>
      <c r="L193" s="204" t="s">
        <v>436</v>
      </c>
      <c r="M193" s="204">
        <v>567</v>
      </c>
      <c r="O193" s="205">
        <v>2013</v>
      </c>
      <c r="Q193" s="205" t="s">
        <v>333</v>
      </c>
      <c r="R193" s="205" t="s">
        <v>582</v>
      </c>
      <c r="S193" s="205" t="s">
        <v>349</v>
      </c>
      <c r="T193" s="205" t="s">
        <v>351</v>
      </c>
      <c r="AA193" s="205">
        <v>1</v>
      </c>
      <c r="AB193" s="205">
        <v>1.8</v>
      </c>
      <c r="AC193" s="205">
        <v>2.5</v>
      </c>
      <c r="AD193" s="205">
        <v>5</v>
      </c>
      <c r="AK193" s="205">
        <v>2.15</v>
      </c>
      <c r="AL193" s="212">
        <v>1.61</v>
      </c>
      <c r="AM193" s="211">
        <v>0.05</v>
      </c>
      <c r="AN193" s="204" t="s">
        <v>638</v>
      </c>
    </row>
    <row r="194" spans="1:40">
      <c r="A194" s="281" t="s">
        <v>977</v>
      </c>
      <c r="B194" s="204" t="s">
        <v>631</v>
      </c>
      <c r="C194" s="204" t="s">
        <v>642</v>
      </c>
      <c r="D194" s="205">
        <v>1000</v>
      </c>
      <c r="E194" s="205">
        <v>20000</v>
      </c>
      <c r="F194" s="205">
        <v>12.166700000000001</v>
      </c>
      <c r="G194" s="205">
        <v>-1.6407</v>
      </c>
      <c r="H194" s="205">
        <v>0.1328</v>
      </c>
      <c r="I194" s="205">
        <v>0</v>
      </c>
      <c r="J194" s="205">
        <v>0</v>
      </c>
      <c r="K194" s="204" t="s">
        <v>551</v>
      </c>
      <c r="L194" s="204" t="s">
        <v>436</v>
      </c>
      <c r="M194" s="204">
        <v>567</v>
      </c>
      <c r="O194" s="205">
        <v>2013</v>
      </c>
      <c r="Q194" s="205" t="s">
        <v>333</v>
      </c>
      <c r="R194" s="205" t="s">
        <v>582</v>
      </c>
      <c r="S194" s="205" t="s">
        <v>349</v>
      </c>
      <c r="T194" s="205" t="s">
        <v>351</v>
      </c>
      <c r="AA194" s="205">
        <v>1</v>
      </c>
      <c r="AB194" s="205">
        <v>1.8</v>
      </c>
      <c r="AC194" s="205">
        <v>2.5</v>
      </c>
      <c r="AD194" s="205">
        <v>5</v>
      </c>
      <c r="AK194" s="205">
        <v>2.15</v>
      </c>
      <c r="AL194" s="212">
        <v>1.61</v>
      </c>
      <c r="AM194" s="211">
        <v>0.05</v>
      </c>
      <c r="AN194" s="204" t="s">
        <v>638</v>
      </c>
    </row>
    <row r="195" spans="1:40">
      <c r="A195" s="281" t="s">
        <v>977</v>
      </c>
      <c r="B195" s="204" t="s">
        <v>636</v>
      </c>
      <c r="C195" s="204" t="s">
        <v>642</v>
      </c>
      <c r="D195" s="204">
        <v>1000</v>
      </c>
      <c r="E195" s="204">
        <v>800000</v>
      </c>
      <c r="F195">
        <v>9.6486999999999998</v>
      </c>
      <c r="G195">
        <v>-0.97565999999999997</v>
      </c>
      <c r="H195">
        <v>8.5319999999999993E-2</v>
      </c>
      <c r="I195" s="205">
        <v>0</v>
      </c>
      <c r="J195" s="205">
        <v>0</v>
      </c>
      <c r="K195" s="204" t="s">
        <v>551</v>
      </c>
      <c r="L195" s="204" t="s">
        <v>436</v>
      </c>
      <c r="M195" s="204">
        <v>567</v>
      </c>
      <c r="O195" s="205">
        <v>2013</v>
      </c>
      <c r="Q195" s="205" t="s">
        <v>333</v>
      </c>
      <c r="R195" s="205" t="s">
        <v>582</v>
      </c>
      <c r="S195" s="205" t="s">
        <v>349</v>
      </c>
      <c r="T195" s="205" t="s">
        <v>351</v>
      </c>
      <c r="AA195" s="205">
        <v>1</v>
      </c>
      <c r="AB195" s="205">
        <v>1.8</v>
      </c>
      <c r="AC195" s="205">
        <v>2.5</v>
      </c>
      <c r="AD195" s="205">
        <v>5</v>
      </c>
      <c r="AK195" s="205">
        <v>2.15</v>
      </c>
      <c r="AL195" s="212">
        <v>1.61</v>
      </c>
      <c r="AM195" s="211">
        <v>0.05</v>
      </c>
      <c r="AN195" s="204" t="s">
        <v>638</v>
      </c>
    </row>
    <row r="196" spans="1:40">
      <c r="A196" s="281" t="s">
        <v>977</v>
      </c>
      <c r="B196" s="204" t="s">
        <v>632</v>
      </c>
      <c r="C196" s="204" t="s">
        <v>642</v>
      </c>
      <c r="D196" s="205">
        <v>1000</v>
      </c>
      <c r="E196" s="205">
        <v>800000</v>
      </c>
      <c r="F196" s="205">
        <v>9.6486999999999998</v>
      </c>
      <c r="G196" s="205">
        <v>-0.97565999999999997</v>
      </c>
      <c r="H196" s="205">
        <v>8.5319999999999993E-2</v>
      </c>
      <c r="I196" s="205">
        <v>0</v>
      </c>
      <c r="J196" s="205">
        <v>0</v>
      </c>
      <c r="K196" s="204" t="s">
        <v>551</v>
      </c>
      <c r="L196" s="204" t="s">
        <v>436</v>
      </c>
      <c r="M196" s="204">
        <v>567</v>
      </c>
      <c r="O196" s="205">
        <v>2013</v>
      </c>
      <c r="Q196" s="205" t="s">
        <v>333</v>
      </c>
      <c r="R196" s="205" t="s">
        <v>582</v>
      </c>
      <c r="S196" s="205" t="s">
        <v>349</v>
      </c>
      <c r="T196" s="205" t="s">
        <v>351</v>
      </c>
      <c r="AA196" s="205">
        <v>1</v>
      </c>
      <c r="AB196" s="205">
        <v>1.8</v>
      </c>
      <c r="AC196" s="205">
        <v>2.5</v>
      </c>
      <c r="AD196" s="205">
        <v>5</v>
      </c>
      <c r="AK196" s="205">
        <v>2.15</v>
      </c>
      <c r="AL196" s="212">
        <v>1.61</v>
      </c>
      <c r="AM196" s="211">
        <v>0.05</v>
      </c>
      <c r="AN196" s="204" t="s">
        <v>638</v>
      </c>
    </row>
    <row r="197" spans="1:40">
      <c r="A197" s="281" t="s">
        <v>977</v>
      </c>
      <c r="B197" s="204" t="s">
        <v>633</v>
      </c>
      <c r="C197" s="204" t="s">
        <v>642</v>
      </c>
      <c r="D197" s="205">
        <v>1000</v>
      </c>
      <c r="E197" s="205">
        <v>800000</v>
      </c>
      <c r="F197" s="205">
        <v>9.6486999999999998</v>
      </c>
      <c r="G197" s="205">
        <v>-0.97565999999999997</v>
      </c>
      <c r="H197" s="205">
        <v>8.5319999999999993E-2</v>
      </c>
      <c r="I197" s="205">
        <v>0</v>
      </c>
      <c r="J197" s="205">
        <v>0</v>
      </c>
      <c r="K197" s="204" t="s">
        <v>551</v>
      </c>
      <c r="L197" s="204" t="s">
        <v>436</v>
      </c>
      <c r="M197" s="204">
        <v>567</v>
      </c>
      <c r="O197" s="205">
        <v>2013</v>
      </c>
      <c r="Q197" s="205" t="s">
        <v>333</v>
      </c>
      <c r="R197" s="205" t="s">
        <v>582</v>
      </c>
      <c r="S197" s="205" t="s">
        <v>349</v>
      </c>
      <c r="T197" s="205" t="s">
        <v>351</v>
      </c>
      <c r="AA197" s="205">
        <v>1</v>
      </c>
      <c r="AB197" s="205">
        <v>1.8</v>
      </c>
      <c r="AC197" s="205">
        <v>2.5</v>
      </c>
      <c r="AD197" s="205">
        <v>5</v>
      </c>
      <c r="AK197" s="205">
        <v>2.15</v>
      </c>
      <c r="AL197" s="212">
        <v>1.61</v>
      </c>
      <c r="AM197" s="211">
        <v>0.05</v>
      </c>
      <c r="AN197" s="204" t="s">
        <v>638</v>
      </c>
    </row>
    <row r="198" spans="1:40">
      <c r="A198" s="281" t="s">
        <v>977</v>
      </c>
      <c r="B198" s="204" t="s">
        <v>637</v>
      </c>
      <c r="C198" s="204" t="s">
        <v>642</v>
      </c>
      <c r="D198" s="204">
        <v>1000</v>
      </c>
      <c r="E198" s="204">
        <v>15000</v>
      </c>
      <c r="F198">
        <v>6.1632800000000003</v>
      </c>
      <c r="G198">
        <v>-0.28634999999999999</v>
      </c>
      <c r="H198">
        <v>4.8660000000000002E-2</v>
      </c>
      <c r="I198" s="205">
        <v>0</v>
      </c>
      <c r="J198" s="205">
        <v>0</v>
      </c>
      <c r="K198" s="204" t="s">
        <v>551</v>
      </c>
      <c r="L198" s="204" t="s">
        <v>436</v>
      </c>
      <c r="M198" s="204">
        <v>567</v>
      </c>
      <c r="O198" s="205">
        <v>2013</v>
      </c>
      <c r="Q198" s="205" t="s">
        <v>333</v>
      </c>
      <c r="R198" s="205" t="s">
        <v>582</v>
      </c>
      <c r="S198" s="205" t="s">
        <v>349</v>
      </c>
      <c r="T198" s="205" t="s">
        <v>351</v>
      </c>
      <c r="AA198" s="205">
        <v>1</v>
      </c>
      <c r="AB198" s="205">
        <v>1.8</v>
      </c>
      <c r="AC198" s="205">
        <v>2.5</v>
      </c>
      <c r="AD198" s="205">
        <v>5</v>
      </c>
      <c r="AK198" s="205">
        <v>2.15</v>
      </c>
      <c r="AL198" s="212">
        <v>1.61</v>
      </c>
      <c r="AM198" s="211">
        <v>0.05</v>
      </c>
      <c r="AN198" s="204" t="s">
        <v>638</v>
      </c>
    </row>
    <row r="199" spans="1:40">
      <c r="A199" s="281" t="s">
        <v>977</v>
      </c>
      <c r="B199" t="s">
        <v>640</v>
      </c>
      <c r="C199" t="s">
        <v>621</v>
      </c>
      <c r="D199">
        <v>5</v>
      </c>
      <c r="E199">
        <v>1000</v>
      </c>
      <c r="F199">
        <v>7.0186999999999999</v>
      </c>
      <c r="G199">
        <v>0.79</v>
      </c>
      <c r="H199">
        <v>0</v>
      </c>
      <c r="I199" s="205">
        <v>0</v>
      </c>
      <c r="J199" s="205">
        <v>0</v>
      </c>
      <c r="K199" s="204" t="s">
        <v>551</v>
      </c>
      <c r="L199" s="204" t="s">
        <v>436</v>
      </c>
      <c r="M199" s="204">
        <v>567</v>
      </c>
      <c r="O199" s="205">
        <v>2013</v>
      </c>
      <c r="Q199" s="29" t="s">
        <v>179</v>
      </c>
      <c r="R199" s="30" t="s">
        <v>333</v>
      </c>
      <c r="S199" s="205" t="s">
        <v>582</v>
      </c>
      <c r="T199" s="205" t="s">
        <v>349</v>
      </c>
      <c r="U199" s="205" t="s">
        <v>351</v>
      </c>
      <c r="V199" s="205"/>
      <c r="AA199" s="30">
        <v>0.6</v>
      </c>
      <c r="AB199" s="205">
        <v>1</v>
      </c>
      <c r="AC199" s="205">
        <v>1.8</v>
      </c>
      <c r="AD199" s="205">
        <v>2.5</v>
      </c>
      <c r="AE199" s="205">
        <v>5</v>
      </c>
      <c r="AF199" s="205"/>
      <c r="AK199" s="205">
        <v>2.15</v>
      </c>
      <c r="AL199" s="30">
        <v>1.49</v>
      </c>
      <c r="AM199" s="30">
        <v>0.1</v>
      </c>
      <c r="AN199" t="s">
        <v>663</v>
      </c>
    </row>
    <row r="200" spans="1:40">
      <c r="A200" s="281" t="s">
        <v>977</v>
      </c>
      <c r="B200" t="s">
        <v>641</v>
      </c>
      <c r="C200" s="204" t="s">
        <v>621</v>
      </c>
      <c r="D200">
        <v>1</v>
      </c>
      <c r="E200">
        <v>1000</v>
      </c>
      <c r="F200">
        <v>7.7175099999999999</v>
      </c>
      <c r="G200">
        <v>0.79320000000000002</v>
      </c>
      <c r="H200">
        <v>-1.29E-2</v>
      </c>
      <c r="I200" s="205">
        <v>0</v>
      </c>
      <c r="J200" s="205">
        <v>0</v>
      </c>
      <c r="K200" s="204" t="s">
        <v>551</v>
      </c>
      <c r="L200" s="204" t="s">
        <v>436</v>
      </c>
      <c r="M200" s="204">
        <v>567</v>
      </c>
      <c r="O200" s="205">
        <v>2013</v>
      </c>
      <c r="Q200" s="205" t="s">
        <v>333</v>
      </c>
      <c r="R200" s="205" t="s">
        <v>582</v>
      </c>
      <c r="S200" s="205" t="s">
        <v>349</v>
      </c>
      <c r="T200" s="205" t="s">
        <v>351</v>
      </c>
      <c r="U200" s="205"/>
      <c r="AA200" s="205">
        <v>1</v>
      </c>
      <c r="AB200" s="205">
        <v>1.8</v>
      </c>
      <c r="AC200" s="205">
        <v>2.5</v>
      </c>
      <c r="AD200" s="205">
        <v>5</v>
      </c>
      <c r="AE200" s="205"/>
      <c r="AK200" s="205">
        <v>2.15</v>
      </c>
      <c r="AL200" s="30">
        <v>1.49</v>
      </c>
      <c r="AM200" s="30">
        <v>0.1</v>
      </c>
      <c r="AN200" s="205" t="s">
        <v>639</v>
      </c>
    </row>
    <row r="201" spans="1:40">
      <c r="A201" s="281" t="s">
        <v>977</v>
      </c>
      <c r="B201" t="s">
        <v>666</v>
      </c>
      <c r="C201" t="s">
        <v>661</v>
      </c>
      <c r="D201" s="205">
        <v>100</v>
      </c>
      <c r="E201" s="205">
        <v>20000</v>
      </c>
      <c r="F201">
        <v>4.6761999999999997</v>
      </c>
      <c r="G201">
        <v>1.23</v>
      </c>
      <c r="H201">
        <v>0</v>
      </c>
      <c r="I201" s="205">
        <v>0</v>
      </c>
      <c r="J201" s="205">
        <v>0</v>
      </c>
      <c r="K201" s="205" t="s">
        <v>551</v>
      </c>
      <c r="L201" s="205" t="s">
        <v>436</v>
      </c>
      <c r="M201" s="205">
        <v>567</v>
      </c>
      <c r="N201" s="205"/>
      <c r="O201" s="205">
        <v>2013</v>
      </c>
      <c r="Q201" s="29" t="s">
        <v>604</v>
      </c>
      <c r="R201" s="30" t="s">
        <v>333</v>
      </c>
      <c r="S201" s="30" t="s">
        <v>349</v>
      </c>
      <c r="T201" s="30" t="s">
        <v>351</v>
      </c>
      <c r="AA201" s="30">
        <v>1</v>
      </c>
      <c r="AB201" s="30">
        <v>1</v>
      </c>
      <c r="AC201" s="30">
        <v>2.5</v>
      </c>
      <c r="AD201" s="30">
        <v>5</v>
      </c>
      <c r="AK201" s="205">
        <v>2.15</v>
      </c>
      <c r="AL201" s="212">
        <v>1.49</v>
      </c>
      <c r="AM201" s="211">
        <v>0.1</v>
      </c>
      <c r="AN201" t="s">
        <v>662</v>
      </c>
    </row>
    <row r="202" spans="1:40">
      <c r="A202" s="281" t="s">
        <v>977</v>
      </c>
      <c r="B202" s="205" t="s">
        <v>667</v>
      </c>
      <c r="C202" s="205" t="s">
        <v>661</v>
      </c>
      <c r="D202" s="205">
        <v>100</v>
      </c>
      <c r="E202" s="205">
        <v>20000</v>
      </c>
      <c r="F202" s="205">
        <v>4.6761999999999997</v>
      </c>
      <c r="G202" s="205">
        <v>1.23</v>
      </c>
      <c r="H202" s="205">
        <v>0</v>
      </c>
      <c r="I202" s="205">
        <v>0</v>
      </c>
      <c r="J202" s="205">
        <v>0</v>
      </c>
      <c r="K202" s="205" t="s">
        <v>551</v>
      </c>
      <c r="L202" s="205" t="s">
        <v>436</v>
      </c>
      <c r="M202" s="205">
        <v>567</v>
      </c>
      <c r="N202" s="205"/>
      <c r="O202" s="205">
        <v>2013</v>
      </c>
      <c r="Q202" s="205" t="s">
        <v>604</v>
      </c>
      <c r="R202" s="205" t="s">
        <v>333</v>
      </c>
      <c r="S202" s="205" t="s">
        <v>349</v>
      </c>
      <c r="T202" s="205" t="s">
        <v>351</v>
      </c>
      <c r="AA202" s="205">
        <v>1.1499999999999999</v>
      </c>
      <c r="AB202" s="205">
        <v>1.1499999999999999</v>
      </c>
      <c r="AC202" s="205">
        <v>2.875</v>
      </c>
      <c r="AD202" s="205">
        <v>5.75</v>
      </c>
      <c r="AK202" s="205">
        <v>2.15</v>
      </c>
      <c r="AL202" s="212">
        <v>1.49</v>
      </c>
      <c r="AM202" s="211">
        <v>0.1</v>
      </c>
      <c r="AN202" s="205" t="s">
        <v>664</v>
      </c>
    </row>
    <row r="203" spans="1:40">
      <c r="A203" s="281" t="s">
        <v>977</v>
      </c>
      <c r="B203" s="205" t="s">
        <v>668</v>
      </c>
      <c r="C203" s="205" t="s">
        <v>661</v>
      </c>
      <c r="D203" s="205">
        <v>100</v>
      </c>
      <c r="E203" s="205">
        <v>20000</v>
      </c>
      <c r="F203" s="205">
        <v>4.6761999999999997</v>
      </c>
      <c r="G203" s="205">
        <v>1.23</v>
      </c>
      <c r="H203" s="205">
        <v>0</v>
      </c>
      <c r="I203" s="205">
        <v>0</v>
      </c>
      <c r="J203" s="205">
        <v>0</v>
      </c>
      <c r="K203" s="205" t="s">
        <v>551</v>
      </c>
      <c r="L203" s="205" t="s">
        <v>436</v>
      </c>
      <c r="M203" s="205">
        <v>567</v>
      </c>
      <c r="N203" s="205"/>
      <c r="O203" s="205">
        <v>2013</v>
      </c>
      <c r="Q203" s="205" t="s">
        <v>604</v>
      </c>
      <c r="R203" s="205" t="s">
        <v>333</v>
      </c>
      <c r="S203" s="205" t="s">
        <v>349</v>
      </c>
      <c r="T203" s="205" t="s">
        <v>351</v>
      </c>
      <c r="AA203" s="205">
        <v>1.25</v>
      </c>
      <c r="AB203" s="205">
        <v>1.25</v>
      </c>
      <c r="AC203" s="205">
        <v>3.125</v>
      </c>
      <c r="AD203" s="205">
        <v>6.25</v>
      </c>
      <c r="AK203" s="205">
        <v>2.15</v>
      </c>
      <c r="AL203" s="212">
        <v>1.49</v>
      </c>
      <c r="AM203" s="211">
        <v>0.1</v>
      </c>
      <c r="AN203" s="205" t="s">
        <v>665</v>
      </c>
    </row>
    <row r="204" spans="1:40">
      <c r="A204" s="281" t="s">
        <v>977</v>
      </c>
      <c r="B204" s="205" t="s">
        <v>669</v>
      </c>
      <c r="C204" s="205" t="s">
        <v>661</v>
      </c>
      <c r="D204" s="205">
        <v>200</v>
      </c>
      <c r="E204" s="205">
        <v>30000</v>
      </c>
      <c r="F204" s="205">
        <v>9.1553000000000004</v>
      </c>
      <c r="G204" s="205">
        <v>0.63</v>
      </c>
      <c r="H204">
        <v>0</v>
      </c>
      <c r="I204" s="205">
        <v>0</v>
      </c>
      <c r="J204" s="205">
        <v>0</v>
      </c>
      <c r="K204" s="205" t="s">
        <v>551</v>
      </c>
      <c r="L204" s="205" t="s">
        <v>436</v>
      </c>
      <c r="M204" s="205">
        <v>567</v>
      </c>
      <c r="N204" s="205"/>
      <c r="O204" s="205">
        <v>2013</v>
      </c>
      <c r="Q204" s="205" t="s">
        <v>604</v>
      </c>
      <c r="R204" s="205" t="s">
        <v>333</v>
      </c>
      <c r="S204" s="205" t="s">
        <v>349</v>
      </c>
      <c r="T204" s="205" t="s">
        <v>351</v>
      </c>
      <c r="AA204" s="205">
        <v>1</v>
      </c>
      <c r="AB204" s="205">
        <v>1</v>
      </c>
      <c r="AC204" s="205">
        <v>2.5</v>
      </c>
      <c r="AD204" s="205">
        <v>5</v>
      </c>
      <c r="AK204" s="205">
        <v>2.15</v>
      </c>
      <c r="AL204" s="212">
        <v>1.49</v>
      </c>
      <c r="AM204" s="211">
        <v>0.1</v>
      </c>
      <c r="AN204" s="205" t="s">
        <v>662</v>
      </c>
    </row>
    <row r="205" spans="1:40">
      <c r="A205" s="281" t="s">
        <v>977</v>
      </c>
      <c r="B205" s="205" t="s">
        <v>670</v>
      </c>
      <c r="C205" s="205" t="s">
        <v>661</v>
      </c>
      <c r="D205" s="205">
        <v>200</v>
      </c>
      <c r="E205" s="205">
        <v>30000</v>
      </c>
      <c r="F205" s="205">
        <v>9.1553000000000004</v>
      </c>
      <c r="G205" s="205">
        <v>0.63</v>
      </c>
      <c r="H205" s="205">
        <v>0</v>
      </c>
      <c r="I205" s="205">
        <v>0</v>
      </c>
      <c r="J205" s="205">
        <v>0</v>
      </c>
      <c r="K205" s="205" t="s">
        <v>551</v>
      </c>
      <c r="L205" s="205" t="s">
        <v>436</v>
      </c>
      <c r="M205" s="205">
        <v>567</v>
      </c>
      <c r="N205" s="205"/>
      <c r="O205" s="205">
        <v>2013</v>
      </c>
      <c r="Q205" s="205" t="s">
        <v>604</v>
      </c>
      <c r="R205" s="205" t="s">
        <v>333</v>
      </c>
      <c r="S205" s="205" t="s">
        <v>349</v>
      </c>
      <c r="T205" s="205" t="s">
        <v>351</v>
      </c>
      <c r="AA205" s="205">
        <v>1.1499999999999999</v>
      </c>
      <c r="AB205" s="205">
        <v>1.1499999999999999</v>
      </c>
      <c r="AC205" s="205">
        <v>2.875</v>
      </c>
      <c r="AD205" s="205">
        <v>5.75</v>
      </c>
      <c r="AK205" s="205">
        <v>2.15</v>
      </c>
      <c r="AL205" s="212">
        <v>1.49</v>
      </c>
      <c r="AM205" s="211">
        <v>0.1</v>
      </c>
      <c r="AN205" s="205" t="s">
        <v>664</v>
      </c>
    </row>
    <row r="206" spans="1:40">
      <c r="A206" s="281" t="s">
        <v>977</v>
      </c>
      <c r="B206" s="205" t="s">
        <v>671</v>
      </c>
      <c r="C206" s="205" t="s">
        <v>661</v>
      </c>
      <c r="D206" s="205">
        <v>200</v>
      </c>
      <c r="E206" s="205">
        <v>30000</v>
      </c>
      <c r="F206" s="205">
        <v>9.1553000000000004</v>
      </c>
      <c r="G206" s="205">
        <v>0.63</v>
      </c>
      <c r="H206" s="205">
        <v>0</v>
      </c>
      <c r="I206" s="205">
        <v>0</v>
      </c>
      <c r="J206" s="205">
        <v>0</v>
      </c>
      <c r="K206" s="205" t="s">
        <v>551</v>
      </c>
      <c r="L206" s="205" t="s">
        <v>436</v>
      </c>
      <c r="M206" s="205">
        <v>567</v>
      </c>
      <c r="N206" s="205"/>
      <c r="O206" s="205">
        <v>2013</v>
      </c>
      <c r="Q206" s="205" t="s">
        <v>604</v>
      </c>
      <c r="R206" s="205" t="s">
        <v>333</v>
      </c>
      <c r="S206" s="205" t="s">
        <v>349</v>
      </c>
      <c r="T206" s="205" t="s">
        <v>351</v>
      </c>
      <c r="AA206" s="205">
        <v>1.25</v>
      </c>
      <c r="AB206" s="205">
        <v>1.25</v>
      </c>
      <c r="AC206" s="205">
        <v>3.125</v>
      </c>
      <c r="AD206" s="205">
        <v>6.25</v>
      </c>
      <c r="AK206" s="205">
        <v>2.15</v>
      </c>
      <c r="AL206" s="212">
        <v>1.49</v>
      </c>
      <c r="AM206" s="211">
        <v>0.1</v>
      </c>
      <c r="AN206" s="205" t="s">
        <v>665</v>
      </c>
    </row>
    <row r="207" spans="1:40">
      <c r="A207" s="281" t="s">
        <v>977</v>
      </c>
      <c r="B207" s="205" t="s">
        <v>672</v>
      </c>
      <c r="C207" s="205" t="s">
        <v>661</v>
      </c>
      <c r="D207" s="205">
        <v>10</v>
      </c>
      <c r="E207" s="205">
        <v>750</v>
      </c>
      <c r="F207">
        <v>8.2495999999999992</v>
      </c>
      <c r="G207">
        <v>0.72430000000000005</v>
      </c>
      <c r="H207">
        <v>0</v>
      </c>
      <c r="I207" s="205">
        <v>0</v>
      </c>
      <c r="J207" s="205">
        <v>0</v>
      </c>
      <c r="K207" s="205" t="s">
        <v>551</v>
      </c>
      <c r="L207" s="205" t="s">
        <v>436</v>
      </c>
      <c r="M207" s="205">
        <v>567</v>
      </c>
      <c r="N207" s="205"/>
      <c r="O207" s="205">
        <v>2013</v>
      </c>
      <c r="Q207" s="205" t="s">
        <v>604</v>
      </c>
      <c r="R207" s="205" t="s">
        <v>333</v>
      </c>
      <c r="S207" s="205" t="s">
        <v>349</v>
      </c>
      <c r="T207" s="205" t="s">
        <v>351</v>
      </c>
      <c r="AA207" s="205">
        <v>1</v>
      </c>
      <c r="AB207" s="205">
        <v>1</v>
      </c>
      <c r="AC207" s="205">
        <v>2.5</v>
      </c>
      <c r="AD207" s="205">
        <v>5</v>
      </c>
      <c r="AK207" s="205">
        <v>2.15</v>
      </c>
      <c r="AL207" s="212">
        <v>1.49</v>
      </c>
      <c r="AM207" s="211">
        <v>0.1</v>
      </c>
      <c r="AN207" s="205" t="s">
        <v>662</v>
      </c>
    </row>
    <row r="208" spans="1:40">
      <c r="A208" s="281" t="s">
        <v>977</v>
      </c>
      <c r="B208" s="205" t="s">
        <v>673</v>
      </c>
      <c r="C208" s="205" t="s">
        <v>661</v>
      </c>
      <c r="D208" s="205">
        <v>10</v>
      </c>
      <c r="E208" s="205">
        <v>750</v>
      </c>
      <c r="F208" s="205">
        <v>8.2495999999999992</v>
      </c>
      <c r="G208" s="205">
        <v>0.72430000000000005</v>
      </c>
      <c r="H208" s="205">
        <v>0</v>
      </c>
      <c r="I208" s="205">
        <v>0</v>
      </c>
      <c r="J208" s="205">
        <v>0</v>
      </c>
      <c r="K208" s="205" t="s">
        <v>551</v>
      </c>
      <c r="L208" s="205" t="s">
        <v>436</v>
      </c>
      <c r="M208" s="205">
        <v>567</v>
      </c>
      <c r="N208" s="205"/>
      <c r="O208" s="205">
        <v>2013</v>
      </c>
      <c r="Q208" s="205" t="s">
        <v>604</v>
      </c>
      <c r="R208" s="205" t="s">
        <v>333</v>
      </c>
      <c r="S208" s="205" t="s">
        <v>349</v>
      </c>
      <c r="T208" s="205" t="s">
        <v>351</v>
      </c>
      <c r="AA208" s="205">
        <v>1.1499999999999999</v>
      </c>
      <c r="AB208" s="205">
        <v>1.1499999999999999</v>
      </c>
      <c r="AC208" s="205">
        <v>2.875</v>
      </c>
      <c r="AD208" s="205">
        <v>5.75</v>
      </c>
      <c r="AK208" s="205">
        <v>2.15</v>
      </c>
      <c r="AL208" s="212">
        <v>1.49</v>
      </c>
      <c r="AM208" s="211">
        <v>0.1</v>
      </c>
      <c r="AN208" s="205" t="s">
        <v>664</v>
      </c>
    </row>
    <row r="209" spans="1:44">
      <c r="A209" s="281" t="s">
        <v>977</v>
      </c>
      <c r="B209" s="205" t="s">
        <v>674</v>
      </c>
      <c r="C209" s="205" t="s">
        <v>661</v>
      </c>
      <c r="D209" s="205">
        <v>10</v>
      </c>
      <c r="E209" s="205">
        <v>750</v>
      </c>
      <c r="F209" s="205">
        <v>8.2495999999999992</v>
      </c>
      <c r="G209" s="205">
        <v>0.72430000000000005</v>
      </c>
      <c r="H209" s="205">
        <v>0</v>
      </c>
      <c r="I209" s="205">
        <v>0</v>
      </c>
      <c r="J209" s="205">
        <v>0</v>
      </c>
      <c r="K209" s="205" t="s">
        <v>551</v>
      </c>
      <c r="L209" s="205" t="s">
        <v>436</v>
      </c>
      <c r="M209" s="205">
        <v>567</v>
      </c>
      <c r="N209" s="205"/>
      <c r="O209" s="205">
        <v>2013</v>
      </c>
      <c r="Q209" s="205" t="s">
        <v>604</v>
      </c>
      <c r="R209" s="205" t="s">
        <v>333</v>
      </c>
      <c r="S209" s="205" t="s">
        <v>349</v>
      </c>
      <c r="T209" s="205" t="s">
        <v>351</v>
      </c>
      <c r="AA209" s="205">
        <v>1.25</v>
      </c>
      <c r="AB209" s="205">
        <v>1.25</v>
      </c>
      <c r="AC209" s="205">
        <v>3.125</v>
      </c>
      <c r="AD209" s="205">
        <v>6.25</v>
      </c>
      <c r="AK209" s="205">
        <v>2.15</v>
      </c>
      <c r="AL209" s="212">
        <v>1.49</v>
      </c>
      <c r="AM209" s="211">
        <v>0.1</v>
      </c>
      <c r="AN209" s="205" t="s">
        <v>665</v>
      </c>
    </row>
    <row r="210" spans="1:44" s="206" customFormat="1">
      <c r="AR210" s="214"/>
    </row>
    <row r="211" spans="1:44" s="29" customFormat="1">
      <c r="B211" s="29" t="s">
        <v>737</v>
      </c>
      <c r="I211" s="204"/>
      <c r="J211" s="204"/>
      <c r="R211" s="30"/>
      <c r="S211" s="30"/>
      <c r="T211" s="30"/>
      <c r="U211" s="30"/>
      <c r="V211" s="30"/>
      <c r="W211" s="30"/>
      <c r="X211" s="30"/>
      <c r="Y211" s="30"/>
      <c r="Z211" s="205"/>
      <c r="AA211" s="30"/>
      <c r="AB211" s="30"/>
      <c r="AC211" s="30"/>
      <c r="AD211" s="30"/>
      <c r="AE211" s="30"/>
      <c r="AF211" s="30"/>
      <c r="AG211" s="30"/>
      <c r="AH211" s="30"/>
      <c r="AI211" s="30"/>
      <c r="AJ211" s="205"/>
      <c r="AL211" s="30"/>
      <c r="AM211" s="30"/>
      <c r="AR211" s="214"/>
    </row>
    <row r="212" spans="1:44" s="29" customFormat="1">
      <c r="A212" s="281" t="s">
        <v>737</v>
      </c>
      <c r="B212" s="29" t="s">
        <v>232</v>
      </c>
      <c r="C212" s="29" t="s">
        <v>233</v>
      </c>
      <c r="D212" s="29">
        <v>200</v>
      </c>
      <c r="E212" s="29">
        <v>5000</v>
      </c>
      <c r="F212" s="29">
        <v>4450</v>
      </c>
      <c r="G212" s="29">
        <v>57</v>
      </c>
      <c r="H212" s="29">
        <v>0.8</v>
      </c>
      <c r="I212" s="204"/>
      <c r="J212" s="204"/>
      <c r="K212" s="29" t="s">
        <v>295</v>
      </c>
      <c r="L212" s="197" t="s">
        <v>437</v>
      </c>
      <c r="M212" s="29">
        <v>532.9</v>
      </c>
      <c r="N212" s="29">
        <v>2281.6</v>
      </c>
      <c r="O212" s="29">
        <v>2010</v>
      </c>
      <c r="Q212" s="31" t="s">
        <v>333</v>
      </c>
      <c r="R212" s="31" t="s">
        <v>334</v>
      </c>
      <c r="S212" s="31" t="s">
        <v>335</v>
      </c>
      <c r="T212" s="31" t="s">
        <v>336</v>
      </c>
      <c r="U212" s="31" t="s">
        <v>337</v>
      </c>
      <c r="V212" s="31" t="s">
        <v>338</v>
      </c>
      <c r="W212" s="31" t="s">
        <v>339</v>
      </c>
      <c r="X212" s="31" t="s">
        <v>340</v>
      </c>
      <c r="Y212" s="31" t="s">
        <v>341</v>
      </c>
      <c r="Z212" s="31"/>
      <c r="AA212" s="31">
        <v>1</v>
      </c>
      <c r="AB212" s="31">
        <v>1.07</v>
      </c>
      <c r="AC212" s="31">
        <v>1.1000000000000001</v>
      </c>
      <c r="AD212" s="31">
        <v>1.3</v>
      </c>
      <c r="AE212" s="31">
        <v>1.3</v>
      </c>
      <c r="AF212" s="31">
        <v>1.5</v>
      </c>
      <c r="AG212" s="31">
        <v>1.55</v>
      </c>
      <c r="AH212" s="31">
        <v>1.65</v>
      </c>
      <c r="AI212" s="31">
        <v>1.7</v>
      </c>
      <c r="AJ212" s="31"/>
      <c r="AK212" s="31">
        <v>2.15</v>
      </c>
      <c r="AL212" s="212">
        <v>1.49</v>
      </c>
      <c r="AM212" s="211">
        <v>0.1</v>
      </c>
      <c r="AN212" s="31"/>
      <c r="AR212" s="214"/>
    </row>
    <row r="213" spans="1:44" s="29" customFormat="1">
      <c r="A213" s="281" t="s">
        <v>737</v>
      </c>
      <c r="B213" s="29" t="s">
        <v>234</v>
      </c>
      <c r="C213" s="29" t="s">
        <v>223</v>
      </c>
      <c r="D213" s="29">
        <v>75</v>
      </c>
      <c r="E213" s="29">
        <v>30000</v>
      </c>
      <c r="F213" s="29">
        <v>580000</v>
      </c>
      <c r="G213" s="29">
        <v>20000</v>
      </c>
      <c r="H213" s="29">
        <v>0.6</v>
      </c>
      <c r="I213" s="204"/>
      <c r="J213" s="204"/>
      <c r="K213" s="29" t="s">
        <v>295</v>
      </c>
      <c r="L213" s="197" t="s">
        <v>437</v>
      </c>
      <c r="M213" s="29">
        <v>532.9</v>
      </c>
      <c r="N213" s="29">
        <v>2281.6</v>
      </c>
      <c r="O213" s="29">
        <v>2010</v>
      </c>
      <c r="Q213" s="31" t="s">
        <v>333</v>
      </c>
      <c r="R213" s="31" t="s">
        <v>334</v>
      </c>
      <c r="S213" s="31" t="s">
        <v>335</v>
      </c>
      <c r="T213" s="31" t="s">
        <v>336</v>
      </c>
      <c r="U213" s="31" t="s">
        <v>337</v>
      </c>
      <c r="V213" s="31" t="s">
        <v>338</v>
      </c>
      <c r="W213" s="31" t="s">
        <v>339</v>
      </c>
      <c r="X213" s="31" t="s">
        <v>340</v>
      </c>
      <c r="Y213" s="31" t="s">
        <v>341</v>
      </c>
      <c r="Z213" s="31"/>
      <c r="AA213" s="31">
        <v>1</v>
      </c>
      <c r="AB213" s="31">
        <v>1.07</v>
      </c>
      <c r="AC213" s="31">
        <v>1.1000000000000001</v>
      </c>
      <c r="AD213" s="31">
        <v>1.3</v>
      </c>
      <c r="AE213" s="31">
        <v>1.3</v>
      </c>
      <c r="AF213" s="31">
        <v>1.5</v>
      </c>
      <c r="AG213" s="31">
        <v>1.55</v>
      </c>
      <c r="AH213" s="31">
        <v>1.65</v>
      </c>
      <c r="AI213" s="31">
        <v>1.7</v>
      </c>
      <c r="AJ213" s="31"/>
      <c r="AK213" s="31">
        <v>2.15</v>
      </c>
      <c r="AL213" s="212">
        <v>1.49</v>
      </c>
      <c r="AM213" s="211">
        <v>0.1</v>
      </c>
      <c r="AR213" s="214"/>
    </row>
    <row r="214" spans="1:44" s="29" customFormat="1">
      <c r="A214" s="281" t="s">
        <v>737</v>
      </c>
      <c r="B214" s="29" t="s">
        <v>235</v>
      </c>
      <c r="C214" s="29" t="s">
        <v>223</v>
      </c>
      <c r="D214" s="29">
        <v>93</v>
      </c>
      <c r="E214" s="29">
        <v>16800</v>
      </c>
      <c r="F214" s="29">
        <v>260000</v>
      </c>
      <c r="G214" s="29">
        <v>2700</v>
      </c>
      <c r="H214" s="29">
        <v>0.75</v>
      </c>
      <c r="I214" s="204"/>
      <c r="J214" s="204"/>
      <c r="K214" s="29" t="s">
        <v>295</v>
      </c>
      <c r="L214" s="197" t="s">
        <v>437</v>
      </c>
      <c r="M214" s="29">
        <v>532.9</v>
      </c>
      <c r="N214" s="29">
        <v>2281.6</v>
      </c>
      <c r="O214" s="29">
        <v>2010</v>
      </c>
      <c r="Q214" s="31" t="s">
        <v>333</v>
      </c>
      <c r="R214" s="31" t="s">
        <v>334</v>
      </c>
      <c r="S214" s="31" t="s">
        <v>335</v>
      </c>
      <c r="T214" s="31" t="s">
        <v>336</v>
      </c>
      <c r="U214" s="31" t="s">
        <v>337</v>
      </c>
      <c r="V214" s="31" t="s">
        <v>338</v>
      </c>
      <c r="W214" s="31" t="s">
        <v>339</v>
      </c>
      <c r="X214" s="31" t="s">
        <v>340</v>
      </c>
      <c r="Y214" s="31" t="s">
        <v>341</v>
      </c>
      <c r="Z214" s="31"/>
      <c r="AA214" s="31">
        <v>1</v>
      </c>
      <c r="AB214" s="31">
        <v>1.07</v>
      </c>
      <c r="AC214" s="31">
        <v>1.1000000000000001</v>
      </c>
      <c r="AD214" s="31">
        <v>1.3</v>
      </c>
      <c r="AE214" s="31">
        <v>1.3</v>
      </c>
      <c r="AF214" s="31">
        <v>1.5</v>
      </c>
      <c r="AG214" s="31">
        <v>1.55</v>
      </c>
      <c r="AH214" s="31">
        <v>1.65</v>
      </c>
      <c r="AI214" s="31">
        <v>1.7</v>
      </c>
      <c r="AJ214" s="31"/>
      <c r="AK214" s="31">
        <v>2.15</v>
      </c>
      <c r="AL214" s="212">
        <v>1.49</v>
      </c>
      <c r="AM214" s="211">
        <v>0.1</v>
      </c>
      <c r="AR214" s="214"/>
    </row>
    <row r="215" spans="1:44" s="29" customFormat="1">
      <c r="A215" s="281" t="s">
        <v>737</v>
      </c>
      <c r="B215" s="29" t="s">
        <v>272</v>
      </c>
      <c r="C215" s="29" t="s">
        <v>273</v>
      </c>
      <c r="D215" s="29">
        <v>0.2</v>
      </c>
      <c r="E215" s="29">
        <v>126</v>
      </c>
      <c r="F215" s="29">
        <v>8000</v>
      </c>
      <c r="G215" s="29">
        <v>240</v>
      </c>
      <c r="H215" s="29">
        <v>0.9</v>
      </c>
      <c r="I215" s="204"/>
      <c r="J215" s="204"/>
      <c r="K215" s="29" t="s">
        <v>295</v>
      </c>
      <c r="L215" s="197" t="s">
        <v>437</v>
      </c>
      <c r="M215" s="29">
        <v>532.9</v>
      </c>
      <c r="N215" s="29">
        <v>2281.6</v>
      </c>
      <c r="O215" s="29">
        <v>2010</v>
      </c>
      <c r="Q215" s="31" t="s">
        <v>333</v>
      </c>
      <c r="R215" s="31" t="s">
        <v>334</v>
      </c>
      <c r="S215" s="31" t="s">
        <v>335</v>
      </c>
      <c r="T215" s="31" t="s">
        <v>336</v>
      </c>
      <c r="U215" s="31" t="s">
        <v>337</v>
      </c>
      <c r="V215" s="31" t="s">
        <v>338</v>
      </c>
      <c r="W215" s="31" t="s">
        <v>339</v>
      </c>
      <c r="X215" s="31" t="s">
        <v>340</v>
      </c>
      <c r="Y215" s="31" t="s">
        <v>341</v>
      </c>
      <c r="Z215" s="31"/>
      <c r="AA215" s="31">
        <v>1</v>
      </c>
      <c r="AB215" s="31">
        <v>1.07</v>
      </c>
      <c r="AC215" s="31">
        <v>1.1000000000000001</v>
      </c>
      <c r="AD215" s="31">
        <v>1.3</v>
      </c>
      <c r="AE215" s="31">
        <v>1.3</v>
      </c>
      <c r="AF215" s="31">
        <v>1.5</v>
      </c>
      <c r="AG215" s="31">
        <v>1.55</v>
      </c>
      <c r="AH215" s="31">
        <v>1.65</v>
      </c>
      <c r="AI215" s="31">
        <v>1.7</v>
      </c>
      <c r="AJ215" s="31"/>
      <c r="AK215" s="31">
        <v>3.3</v>
      </c>
      <c r="AL215" s="31">
        <v>1.3</v>
      </c>
      <c r="AM215" s="31">
        <v>0</v>
      </c>
      <c r="AR215" s="214"/>
    </row>
    <row r="216" spans="1:44" s="29" customFormat="1">
      <c r="A216" s="281" t="s">
        <v>737</v>
      </c>
      <c r="B216" s="29" t="s">
        <v>274</v>
      </c>
      <c r="C216" s="29" t="s">
        <v>231</v>
      </c>
      <c r="D216" s="29">
        <v>1</v>
      </c>
      <c r="E216" s="29">
        <v>2500</v>
      </c>
      <c r="F216" s="29">
        <v>-1100</v>
      </c>
      <c r="G216" s="29">
        <v>2100</v>
      </c>
      <c r="H216" s="29">
        <v>0.6</v>
      </c>
      <c r="I216" s="204"/>
      <c r="J216" s="204"/>
      <c r="K216" s="29" t="s">
        <v>295</v>
      </c>
      <c r="L216" s="197" t="s">
        <v>437</v>
      </c>
      <c r="M216" s="29">
        <v>532.9</v>
      </c>
      <c r="N216" s="29">
        <v>2281.6</v>
      </c>
      <c r="O216" s="29">
        <v>2010</v>
      </c>
      <c r="Q216" s="31" t="s">
        <v>333</v>
      </c>
      <c r="R216" s="31" t="s">
        <v>334</v>
      </c>
      <c r="S216" s="31" t="s">
        <v>335</v>
      </c>
      <c r="T216" s="31" t="s">
        <v>336</v>
      </c>
      <c r="U216" s="31" t="s">
        <v>337</v>
      </c>
      <c r="V216" s="31" t="s">
        <v>338</v>
      </c>
      <c r="W216" s="31" t="s">
        <v>339</v>
      </c>
      <c r="X216" s="31" t="s">
        <v>340</v>
      </c>
      <c r="Y216" s="31" t="s">
        <v>341</v>
      </c>
      <c r="Z216" s="31"/>
      <c r="AA216" s="31">
        <v>1</v>
      </c>
      <c r="AB216" s="31">
        <v>1.07</v>
      </c>
      <c r="AC216" s="31">
        <v>1.1000000000000001</v>
      </c>
      <c r="AD216" s="31">
        <v>1.3</v>
      </c>
      <c r="AE216" s="31">
        <v>1.3</v>
      </c>
      <c r="AF216" s="31">
        <v>1.5</v>
      </c>
      <c r="AG216" s="31">
        <v>1.55</v>
      </c>
      <c r="AH216" s="31">
        <v>1.65</v>
      </c>
      <c r="AI216" s="31">
        <v>1.7</v>
      </c>
      <c r="AJ216" s="31"/>
      <c r="AK216" s="31">
        <v>3.3</v>
      </c>
      <c r="AL216" s="31">
        <v>1.3</v>
      </c>
      <c r="AM216" s="31">
        <v>0</v>
      </c>
      <c r="AR216" s="214"/>
    </row>
    <row r="217" spans="1:44" s="29" customFormat="1">
      <c r="A217" s="281" t="s">
        <v>737</v>
      </c>
      <c r="B217" s="29" t="s">
        <v>275</v>
      </c>
      <c r="C217" s="29" t="s">
        <v>231</v>
      </c>
      <c r="D217" s="29">
        <v>100</v>
      </c>
      <c r="E217" s="29">
        <v>20000</v>
      </c>
      <c r="F217" s="29">
        <v>-14000</v>
      </c>
      <c r="G217" s="29">
        <v>1900</v>
      </c>
      <c r="H217" s="29">
        <v>0.75</v>
      </c>
      <c r="I217" s="204"/>
      <c r="J217" s="204"/>
      <c r="K217" s="29" t="s">
        <v>295</v>
      </c>
      <c r="L217" s="197" t="s">
        <v>437</v>
      </c>
      <c r="M217" s="29">
        <v>532.9</v>
      </c>
      <c r="N217" s="29">
        <v>2281.6</v>
      </c>
      <c r="O217" s="29">
        <v>2010</v>
      </c>
      <c r="Q217" s="31" t="s">
        <v>333</v>
      </c>
      <c r="R217" s="31" t="s">
        <v>334</v>
      </c>
      <c r="S217" s="31" t="s">
        <v>335</v>
      </c>
      <c r="T217" s="31" t="s">
        <v>336</v>
      </c>
      <c r="U217" s="31" t="s">
        <v>337</v>
      </c>
      <c r="V217" s="31" t="s">
        <v>338</v>
      </c>
      <c r="W217" s="31" t="s">
        <v>339</v>
      </c>
      <c r="X217" s="31" t="s">
        <v>340</v>
      </c>
      <c r="Y217" s="31" t="s">
        <v>341</v>
      </c>
      <c r="Z217" s="31"/>
      <c r="AA217" s="31">
        <v>1</v>
      </c>
      <c r="AB217" s="31">
        <v>1.07</v>
      </c>
      <c r="AC217" s="31">
        <v>1.1000000000000001</v>
      </c>
      <c r="AD217" s="31">
        <v>1.3</v>
      </c>
      <c r="AE217" s="31">
        <v>1.3</v>
      </c>
      <c r="AF217" s="31">
        <v>1.5</v>
      </c>
      <c r="AG217" s="31">
        <v>1.55</v>
      </c>
      <c r="AH217" s="31">
        <v>1.65</v>
      </c>
      <c r="AI217" s="31">
        <v>1.7</v>
      </c>
      <c r="AJ217" s="31"/>
      <c r="AK217" s="31">
        <v>3.3</v>
      </c>
      <c r="AL217" s="31">
        <v>1.3</v>
      </c>
      <c r="AM217" s="31">
        <v>0</v>
      </c>
      <c r="AR217" s="214"/>
    </row>
    <row r="218" spans="1:44" s="29" customFormat="1">
      <c r="I218" s="204"/>
      <c r="J218" s="204"/>
      <c r="R218" s="30"/>
      <c r="S218" s="30"/>
      <c r="T218" s="30"/>
      <c r="U218" s="30"/>
      <c r="V218" s="30"/>
      <c r="W218" s="30"/>
      <c r="X218" s="30"/>
      <c r="Y218" s="30"/>
      <c r="Z218" s="205"/>
      <c r="AJ218" s="205"/>
      <c r="AL218" s="30"/>
      <c r="AM218" s="30"/>
      <c r="AR218" s="214"/>
    </row>
    <row r="219" spans="1:44" s="29" customFormat="1">
      <c r="B219" s="29" t="s">
        <v>766</v>
      </c>
      <c r="I219" s="204"/>
      <c r="J219" s="204"/>
      <c r="R219" s="30"/>
      <c r="S219" s="30"/>
      <c r="T219" s="30"/>
      <c r="U219" s="30"/>
      <c r="V219" s="30"/>
      <c r="W219" s="30"/>
      <c r="X219" s="30"/>
      <c r="Y219" s="30"/>
      <c r="Z219" s="205"/>
      <c r="AA219" s="30"/>
      <c r="AB219" s="30"/>
      <c r="AC219" s="30"/>
      <c r="AD219" s="30"/>
      <c r="AE219" s="30"/>
      <c r="AF219" s="30"/>
      <c r="AG219" s="30"/>
      <c r="AH219" s="30"/>
      <c r="AI219" s="30"/>
      <c r="AJ219" s="205"/>
      <c r="AL219" s="30"/>
      <c r="AM219" s="30"/>
      <c r="AR219" s="214"/>
    </row>
    <row r="220" spans="1:44" s="29" customFormat="1">
      <c r="A220" s="281" t="s">
        <v>766</v>
      </c>
      <c r="B220" s="29" t="s">
        <v>276</v>
      </c>
      <c r="C220" s="29" t="s">
        <v>277</v>
      </c>
      <c r="D220" s="29">
        <v>0.5</v>
      </c>
      <c r="E220" s="29">
        <v>100</v>
      </c>
      <c r="F220" s="29">
        <v>61500</v>
      </c>
      <c r="G220" s="29">
        <v>32500</v>
      </c>
      <c r="H220" s="29">
        <v>0.8</v>
      </c>
      <c r="I220" s="204"/>
      <c r="J220" s="204"/>
      <c r="K220" s="29" t="s">
        <v>295</v>
      </c>
      <c r="L220" s="197" t="s">
        <v>437</v>
      </c>
      <c r="M220" s="210">
        <v>532.9</v>
      </c>
      <c r="N220" s="29">
        <v>2281.6</v>
      </c>
      <c r="O220" s="29">
        <v>2010</v>
      </c>
      <c r="P220" s="29" t="s">
        <v>253</v>
      </c>
      <c r="Q220" s="31" t="s">
        <v>333</v>
      </c>
      <c r="R220" s="31" t="s">
        <v>334</v>
      </c>
      <c r="S220" s="31" t="s">
        <v>335</v>
      </c>
      <c r="T220" s="31" t="s">
        <v>336</v>
      </c>
      <c r="U220" s="31" t="s">
        <v>337</v>
      </c>
      <c r="V220" s="31" t="s">
        <v>338</v>
      </c>
      <c r="W220" s="31" t="s">
        <v>339</v>
      </c>
      <c r="X220" s="31" t="s">
        <v>340</v>
      </c>
      <c r="Y220" s="31" t="s">
        <v>341</v>
      </c>
      <c r="Z220" s="31" t="s">
        <v>1708</v>
      </c>
      <c r="AA220" s="30">
        <v>0.76923076923076916</v>
      </c>
      <c r="AB220" s="30">
        <v>0.82307692307692315</v>
      </c>
      <c r="AC220" s="30">
        <v>0.84615384615384615</v>
      </c>
      <c r="AD220" s="30">
        <v>1</v>
      </c>
      <c r="AE220" s="30">
        <v>1</v>
      </c>
      <c r="AF220" s="30">
        <v>1.1538461538461537</v>
      </c>
      <c r="AG220" s="30">
        <v>1.1923076923076923</v>
      </c>
      <c r="AH220" s="30">
        <v>1.2692307692307692</v>
      </c>
      <c r="AI220" s="30">
        <v>1.3076923076923077</v>
      </c>
      <c r="AJ220" s="349">
        <v>1</v>
      </c>
      <c r="AK220" s="29" t="s">
        <v>160</v>
      </c>
      <c r="AL220" s="30">
        <v>1.7</v>
      </c>
      <c r="AM220" s="30">
        <v>0.3</v>
      </c>
      <c r="AR220" s="214"/>
    </row>
    <row r="221" spans="1:44" s="29" customFormat="1">
      <c r="A221" s="281" t="s">
        <v>766</v>
      </c>
      <c r="B221" s="29" t="s">
        <v>278</v>
      </c>
      <c r="C221" s="29" t="s">
        <v>277</v>
      </c>
      <c r="D221" s="29">
        <v>0.5</v>
      </c>
      <c r="E221" s="29">
        <v>25</v>
      </c>
      <c r="F221" s="29">
        <v>12800</v>
      </c>
      <c r="G221" s="29">
        <v>88200</v>
      </c>
      <c r="H221" s="29">
        <v>0.4</v>
      </c>
      <c r="I221" s="204"/>
      <c r="J221" s="204"/>
      <c r="K221" s="29" t="s">
        <v>295</v>
      </c>
      <c r="L221" s="197" t="s">
        <v>437</v>
      </c>
      <c r="M221" s="29">
        <v>532.9</v>
      </c>
      <c r="N221" s="29">
        <v>2281.6</v>
      </c>
      <c r="O221" s="29">
        <v>2010</v>
      </c>
      <c r="Q221" s="31" t="s">
        <v>749</v>
      </c>
      <c r="R221" s="31"/>
      <c r="S221" s="31"/>
      <c r="T221" s="31"/>
      <c r="U221" s="31"/>
      <c r="V221" s="31"/>
      <c r="W221" s="31"/>
      <c r="X221" s="31"/>
      <c r="Y221" s="31"/>
      <c r="Z221" s="31"/>
      <c r="AA221" s="31">
        <v>1</v>
      </c>
      <c r="AB221" s="31"/>
      <c r="AC221" s="31"/>
      <c r="AD221" s="31"/>
      <c r="AE221" s="31"/>
      <c r="AF221" s="31"/>
      <c r="AG221" s="31"/>
      <c r="AH221" s="31"/>
      <c r="AI221" s="31"/>
      <c r="AJ221" s="31"/>
      <c r="AK221" s="29" t="s">
        <v>160</v>
      </c>
      <c r="AL221" s="31">
        <v>1.7</v>
      </c>
      <c r="AM221" s="31">
        <v>0.3</v>
      </c>
      <c r="AR221" s="214"/>
    </row>
    <row r="222" spans="1:44" s="29" customFormat="1">
      <c r="I222" s="204"/>
      <c r="J222" s="204"/>
      <c r="R222" s="30"/>
      <c r="S222" s="30"/>
      <c r="T222" s="30"/>
      <c r="U222" s="30"/>
      <c r="V222" s="30"/>
      <c r="W222" s="30"/>
      <c r="X222" s="30"/>
      <c r="Y222" s="30"/>
      <c r="Z222" s="205"/>
      <c r="AA222" s="30"/>
      <c r="AB222" s="30"/>
      <c r="AC222" s="30"/>
      <c r="AD222" s="30"/>
      <c r="AE222" s="30"/>
      <c r="AF222" s="30"/>
      <c r="AG222" s="30"/>
      <c r="AH222" s="30"/>
      <c r="AI222" s="30"/>
      <c r="AJ222" s="205"/>
      <c r="AL222" s="30"/>
      <c r="AM222" s="30"/>
      <c r="AR222" s="214"/>
    </row>
    <row r="223" spans="1:44">
      <c r="B223" t="s">
        <v>520</v>
      </c>
      <c r="P223" s="205"/>
    </row>
    <row r="224" spans="1:44">
      <c r="A224" t="s">
        <v>520</v>
      </c>
      <c r="B224" t="s">
        <v>521</v>
      </c>
      <c r="C224" t="s">
        <v>525</v>
      </c>
      <c r="D224">
        <v>6</v>
      </c>
      <c r="E224">
        <v>40</v>
      </c>
      <c r="F224">
        <v>0</v>
      </c>
      <c r="G224">
        <v>6575</v>
      </c>
      <c r="H224">
        <v>0.34</v>
      </c>
      <c r="K224" s="200" t="s">
        <v>295</v>
      </c>
      <c r="L224" s="200" t="s">
        <v>436</v>
      </c>
      <c r="M224" s="31">
        <v>567</v>
      </c>
      <c r="N224" s="31"/>
      <c r="O224" s="31">
        <v>2013</v>
      </c>
      <c r="P224" s="205" t="s">
        <v>333</v>
      </c>
      <c r="Q224" s="205" t="s">
        <v>333</v>
      </c>
      <c r="R224" s="205" t="s">
        <v>178</v>
      </c>
      <c r="S224" s="205" t="s">
        <v>349</v>
      </c>
      <c r="T224" s="205" t="s">
        <v>177</v>
      </c>
      <c r="U224" s="205" t="s">
        <v>340</v>
      </c>
      <c r="V224" s="205" t="s">
        <v>707</v>
      </c>
      <c r="W224" s="205" t="s">
        <v>352</v>
      </c>
      <c r="X224" s="205"/>
      <c r="Y224" s="205"/>
      <c r="AA224" s="205">
        <v>1</v>
      </c>
      <c r="AB224" s="205">
        <v>1.2</v>
      </c>
      <c r="AC224" s="205">
        <v>2</v>
      </c>
      <c r="AD224" s="205">
        <v>2.5</v>
      </c>
      <c r="AE224" s="205">
        <v>2.7</v>
      </c>
      <c r="AF224" s="205">
        <v>3</v>
      </c>
      <c r="AG224" s="205">
        <v>6</v>
      </c>
      <c r="AH224" s="200"/>
      <c r="AI224" s="200"/>
      <c r="AK224" s="205">
        <v>1.73</v>
      </c>
      <c r="AL224" s="200">
        <v>1.85</v>
      </c>
      <c r="AM224" s="200">
        <v>0.05</v>
      </c>
      <c r="AN224" s="200"/>
    </row>
    <row r="225" spans="1:40">
      <c r="A225" s="200" t="s">
        <v>520</v>
      </c>
      <c r="B225" t="s">
        <v>522</v>
      </c>
      <c r="C225" s="200" t="s">
        <v>525</v>
      </c>
      <c r="D225">
        <v>32</v>
      </c>
      <c r="E225">
        <v>60</v>
      </c>
      <c r="F225">
        <v>0</v>
      </c>
      <c r="G225">
        <v>1588</v>
      </c>
      <c r="H225">
        <v>0.71</v>
      </c>
      <c r="K225" s="200" t="s">
        <v>295</v>
      </c>
      <c r="L225" s="200" t="s">
        <v>436</v>
      </c>
      <c r="M225" s="31">
        <v>567</v>
      </c>
      <c r="N225" s="31"/>
      <c r="O225" s="31">
        <v>2013</v>
      </c>
      <c r="P225" s="205" t="s">
        <v>333</v>
      </c>
      <c r="Q225" s="205" t="s">
        <v>333</v>
      </c>
      <c r="R225" s="205" t="s">
        <v>178</v>
      </c>
      <c r="S225" s="205" t="s">
        <v>349</v>
      </c>
      <c r="T225" s="205" t="s">
        <v>177</v>
      </c>
      <c r="U225" s="205" t="s">
        <v>340</v>
      </c>
      <c r="V225" s="205" t="s">
        <v>707</v>
      </c>
      <c r="W225" s="205" t="s">
        <v>352</v>
      </c>
      <c r="X225" s="205"/>
      <c r="Y225" s="205"/>
      <c r="AA225" s="205">
        <v>1</v>
      </c>
      <c r="AB225" s="205">
        <v>1.2</v>
      </c>
      <c r="AC225" s="205">
        <v>2</v>
      </c>
      <c r="AD225" s="205">
        <v>2.5</v>
      </c>
      <c r="AE225" s="205">
        <v>2.7</v>
      </c>
      <c r="AF225" s="205">
        <v>3</v>
      </c>
      <c r="AG225" s="205">
        <v>6</v>
      </c>
      <c r="AH225" s="200"/>
      <c r="AI225" s="200"/>
      <c r="AK225" s="205">
        <v>1.73</v>
      </c>
      <c r="AL225" s="200">
        <v>1.85</v>
      </c>
      <c r="AM225" s="200">
        <v>0.05</v>
      </c>
      <c r="AN225" s="200"/>
    </row>
    <row r="226" spans="1:40">
      <c r="A226" s="200" t="s">
        <v>520</v>
      </c>
      <c r="B226" s="200" t="s">
        <v>523</v>
      </c>
      <c r="C226" s="200" t="s">
        <v>525</v>
      </c>
      <c r="D226">
        <v>32</v>
      </c>
      <c r="E226">
        <v>192</v>
      </c>
      <c r="F226">
        <v>0</v>
      </c>
      <c r="G226">
        <v>1395</v>
      </c>
      <c r="H226">
        <v>0.78</v>
      </c>
      <c r="K226" s="200" t="s">
        <v>295</v>
      </c>
      <c r="L226" s="200" t="s">
        <v>436</v>
      </c>
      <c r="M226" s="31">
        <v>567</v>
      </c>
      <c r="N226" s="31"/>
      <c r="O226" s="31">
        <v>2013</v>
      </c>
      <c r="P226" s="205" t="s">
        <v>333</v>
      </c>
      <c r="Q226" s="205" t="s">
        <v>333</v>
      </c>
      <c r="R226" s="205" t="s">
        <v>178</v>
      </c>
      <c r="S226" s="205" t="s">
        <v>349</v>
      </c>
      <c r="T226" s="205" t="s">
        <v>177</v>
      </c>
      <c r="U226" s="205" t="s">
        <v>340</v>
      </c>
      <c r="V226" s="205" t="s">
        <v>707</v>
      </c>
      <c r="W226" s="205" t="s">
        <v>352</v>
      </c>
      <c r="X226" s="205"/>
      <c r="Y226" s="205"/>
      <c r="AA226" s="205">
        <v>1</v>
      </c>
      <c r="AB226" s="205">
        <v>1.2</v>
      </c>
      <c r="AC226" s="205">
        <v>2</v>
      </c>
      <c r="AD226" s="205">
        <v>2.5</v>
      </c>
      <c r="AE226" s="205">
        <v>2.7</v>
      </c>
      <c r="AF226" s="205">
        <v>3</v>
      </c>
      <c r="AG226" s="205">
        <v>6</v>
      </c>
      <c r="AH226" s="200"/>
      <c r="AI226" s="200"/>
      <c r="AK226" s="205">
        <v>1.73</v>
      </c>
      <c r="AL226" s="200">
        <v>1.85</v>
      </c>
      <c r="AM226" s="200">
        <v>0.05</v>
      </c>
      <c r="AN226" s="200"/>
    </row>
    <row r="227" spans="1:40">
      <c r="A227" s="200" t="s">
        <v>520</v>
      </c>
      <c r="B227" s="200" t="s">
        <v>524</v>
      </c>
      <c r="C227" s="200" t="s">
        <v>525</v>
      </c>
      <c r="D227">
        <v>48</v>
      </c>
      <c r="E227">
        <v>192</v>
      </c>
      <c r="F227">
        <v>0</v>
      </c>
      <c r="G227">
        <v>1010</v>
      </c>
      <c r="H227">
        <v>0.91</v>
      </c>
      <c r="K227" s="200" t="s">
        <v>295</v>
      </c>
      <c r="L227" s="200" t="s">
        <v>436</v>
      </c>
      <c r="M227" s="31">
        <v>567</v>
      </c>
      <c r="N227" s="31"/>
      <c r="O227" s="31">
        <v>2013</v>
      </c>
      <c r="P227" s="205" t="s">
        <v>333</v>
      </c>
      <c r="Q227" s="205" t="s">
        <v>333</v>
      </c>
      <c r="R227" s="205" t="s">
        <v>178</v>
      </c>
      <c r="S227" s="205" t="s">
        <v>349</v>
      </c>
      <c r="T227" s="205" t="s">
        <v>177</v>
      </c>
      <c r="U227" s="205" t="s">
        <v>340</v>
      </c>
      <c r="V227" s="205" t="s">
        <v>707</v>
      </c>
      <c r="W227" s="205" t="s">
        <v>352</v>
      </c>
      <c r="X227" s="205"/>
      <c r="Y227" s="205"/>
      <c r="AA227" s="205">
        <v>1</v>
      </c>
      <c r="AB227" s="205">
        <v>1.2</v>
      </c>
      <c r="AC227" s="205">
        <v>2</v>
      </c>
      <c r="AD227" s="205">
        <v>2.5</v>
      </c>
      <c r="AE227" s="205">
        <v>2.7</v>
      </c>
      <c r="AF227" s="205">
        <v>3</v>
      </c>
      <c r="AG227" s="205">
        <v>6</v>
      </c>
      <c r="AH227" s="200"/>
      <c r="AI227" s="200"/>
      <c r="AK227" s="205">
        <v>1.73</v>
      </c>
      <c r="AL227" s="200">
        <v>1.85</v>
      </c>
      <c r="AM227" s="200">
        <v>0.05</v>
      </c>
      <c r="AN227" s="200"/>
    </row>
    <row r="229" spans="1:40">
      <c r="B229" t="s">
        <v>740</v>
      </c>
    </row>
    <row r="230" spans="1:40">
      <c r="A230" t="s">
        <v>976</v>
      </c>
      <c r="B230" t="s">
        <v>526</v>
      </c>
      <c r="C230" t="s">
        <v>533</v>
      </c>
      <c r="D230">
        <v>800</v>
      </c>
      <c r="E230">
        <v>80000</v>
      </c>
      <c r="F230">
        <v>10.858700000000001</v>
      </c>
      <c r="G230">
        <v>-0.49149999999999999</v>
      </c>
      <c r="H230">
        <v>3.6479999999999999E-2</v>
      </c>
      <c r="I230" s="205">
        <v>0</v>
      </c>
      <c r="J230" s="205">
        <v>0</v>
      </c>
      <c r="K230" s="201" t="s">
        <v>551</v>
      </c>
      <c r="L230" s="200" t="s">
        <v>436</v>
      </c>
      <c r="M230" s="31">
        <v>567</v>
      </c>
      <c r="N230" s="31"/>
      <c r="O230" s="31">
        <v>2013</v>
      </c>
      <c r="P230" s="200"/>
      <c r="Q230" s="205" t="s">
        <v>333</v>
      </c>
      <c r="R230" s="205" t="s">
        <v>178</v>
      </c>
      <c r="S230" s="205" t="s">
        <v>349</v>
      </c>
      <c r="T230" s="205" t="s">
        <v>177</v>
      </c>
      <c r="U230" s="205" t="s">
        <v>340</v>
      </c>
      <c r="V230" s="205" t="s">
        <v>707</v>
      </c>
      <c r="W230" s="205" t="s">
        <v>352</v>
      </c>
      <c r="X230" s="205"/>
      <c r="Y230" s="205"/>
      <c r="AA230" s="205">
        <v>1</v>
      </c>
      <c r="AB230" s="205">
        <v>1.2</v>
      </c>
      <c r="AC230" s="205">
        <v>2</v>
      </c>
      <c r="AD230" s="205">
        <v>2.5</v>
      </c>
      <c r="AE230" s="205">
        <v>2.7</v>
      </c>
      <c r="AF230" s="205">
        <v>3</v>
      </c>
      <c r="AG230" s="205">
        <v>6</v>
      </c>
      <c r="AH230" s="200"/>
      <c r="AI230" s="200"/>
      <c r="AK230" s="200">
        <v>1</v>
      </c>
      <c r="AL230" s="200">
        <v>1</v>
      </c>
      <c r="AM230" s="200">
        <v>0.125</v>
      </c>
      <c r="AN230" s="200" t="s">
        <v>503</v>
      </c>
    </row>
    <row r="231" spans="1:40">
      <c r="A231" s="281" t="s">
        <v>976</v>
      </c>
      <c r="B231" t="s">
        <v>527</v>
      </c>
      <c r="C231" s="200" t="s">
        <v>533</v>
      </c>
      <c r="D231">
        <v>800</v>
      </c>
      <c r="E231">
        <v>240000</v>
      </c>
      <c r="F231">
        <v>11.5525</v>
      </c>
      <c r="G231">
        <v>-0.59809999999999997</v>
      </c>
      <c r="H231">
        <v>4.4510000000000001E-2</v>
      </c>
      <c r="I231" s="205">
        <v>0</v>
      </c>
      <c r="J231" s="205">
        <v>0</v>
      </c>
      <c r="K231" s="201" t="s">
        <v>551</v>
      </c>
      <c r="L231" s="200" t="s">
        <v>436</v>
      </c>
      <c r="M231" s="31">
        <v>567</v>
      </c>
      <c r="N231" s="31"/>
      <c r="O231" s="31">
        <v>2013</v>
      </c>
      <c r="P231" s="200"/>
      <c r="Q231" s="205" t="s">
        <v>333</v>
      </c>
      <c r="R231" s="205" t="s">
        <v>178</v>
      </c>
      <c r="S231" s="205" t="s">
        <v>349</v>
      </c>
      <c r="T231" s="205" t="s">
        <v>177</v>
      </c>
      <c r="U231" s="205" t="s">
        <v>340</v>
      </c>
      <c r="V231" s="205" t="s">
        <v>707</v>
      </c>
      <c r="W231" s="205" t="s">
        <v>352</v>
      </c>
      <c r="X231" s="205"/>
      <c r="Y231" s="205"/>
      <c r="AA231" s="205">
        <v>1</v>
      </c>
      <c r="AB231" s="205">
        <v>1.2</v>
      </c>
      <c r="AC231" s="205">
        <v>2</v>
      </c>
      <c r="AD231" s="205">
        <v>2.5</v>
      </c>
      <c r="AE231" s="205">
        <v>2.7</v>
      </c>
      <c r="AF231" s="205">
        <v>3</v>
      </c>
      <c r="AG231" s="205">
        <v>6</v>
      </c>
      <c r="AH231" s="200"/>
      <c r="AI231" s="200"/>
      <c r="AK231" s="200">
        <v>1</v>
      </c>
      <c r="AL231" s="212">
        <v>1</v>
      </c>
      <c r="AM231" s="211">
        <v>0.125</v>
      </c>
      <c r="AN231" s="200" t="s">
        <v>503</v>
      </c>
    </row>
    <row r="232" spans="1:40">
      <c r="A232" s="281" t="s">
        <v>976</v>
      </c>
      <c r="B232" t="s">
        <v>528</v>
      </c>
      <c r="C232" s="200" t="s">
        <v>533</v>
      </c>
      <c r="D232">
        <v>800</v>
      </c>
      <c r="E232">
        <v>80000</v>
      </c>
      <c r="F232">
        <v>0</v>
      </c>
      <c r="G232">
        <v>7938</v>
      </c>
      <c r="H232">
        <v>0.11</v>
      </c>
      <c r="K232" s="200" t="s">
        <v>295</v>
      </c>
      <c r="L232" s="200" t="s">
        <v>436</v>
      </c>
      <c r="M232" s="31">
        <v>567</v>
      </c>
      <c r="N232" s="31"/>
      <c r="O232" s="31">
        <v>2013</v>
      </c>
      <c r="P232" s="200"/>
      <c r="Q232" s="205" t="s">
        <v>333</v>
      </c>
      <c r="R232" s="205" t="s">
        <v>178</v>
      </c>
      <c r="S232" s="205" t="s">
        <v>349</v>
      </c>
      <c r="T232" s="205" t="s">
        <v>177</v>
      </c>
      <c r="U232" s="205" t="s">
        <v>340</v>
      </c>
      <c r="V232" s="205" t="s">
        <v>707</v>
      </c>
      <c r="W232" s="205" t="s">
        <v>352</v>
      </c>
      <c r="X232" s="205"/>
      <c r="Y232" s="205"/>
      <c r="AA232" s="205">
        <v>1</v>
      </c>
      <c r="AB232" s="205">
        <v>1.2</v>
      </c>
      <c r="AC232" s="205">
        <v>2</v>
      </c>
      <c r="AD232" s="205">
        <v>2.5</v>
      </c>
      <c r="AE232" s="205">
        <v>2.7</v>
      </c>
      <c r="AF232" s="205">
        <v>3</v>
      </c>
      <c r="AG232" s="205">
        <v>6</v>
      </c>
      <c r="AH232" s="200"/>
      <c r="AI232" s="200"/>
      <c r="AK232" s="205">
        <v>2.2999999999999998</v>
      </c>
      <c r="AL232" s="212">
        <v>2.0499999999999998</v>
      </c>
      <c r="AM232" s="211">
        <v>0.125</v>
      </c>
      <c r="AN232" s="200"/>
    </row>
    <row r="233" spans="1:40">
      <c r="A233" s="281" t="s">
        <v>976</v>
      </c>
      <c r="B233" t="s">
        <v>529</v>
      </c>
      <c r="C233" s="200" t="s">
        <v>533</v>
      </c>
      <c r="D233">
        <v>80</v>
      </c>
      <c r="E233">
        <v>40000</v>
      </c>
      <c r="F233">
        <v>9.6126000000000005</v>
      </c>
      <c r="G233">
        <v>-1.453E-2</v>
      </c>
      <c r="H233">
        <v>1.0189999999999999E-2</v>
      </c>
      <c r="I233" s="205">
        <v>0</v>
      </c>
      <c r="J233" s="205">
        <v>0</v>
      </c>
      <c r="K233" s="201" t="s">
        <v>551</v>
      </c>
      <c r="L233" s="200" t="s">
        <v>436</v>
      </c>
      <c r="M233" s="31">
        <v>567</v>
      </c>
      <c r="N233" s="31"/>
      <c r="O233" s="31">
        <v>2013</v>
      </c>
      <c r="P233" s="200"/>
      <c r="Q233" s="205" t="s">
        <v>333</v>
      </c>
      <c r="R233" s="205" t="s">
        <v>178</v>
      </c>
      <c r="S233" s="205" t="s">
        <v>349</v>
      </c>
      <c r="T233" s="205" t="s">
        <v>177</v>
      </c>
      <c r="U233" s="205" t="s">
        <v>340</v>
      </c>
      <c r="V233" s="205" t="s">
        <v>707</v>
      </c>
      <c r="W233" s="205" t="s">
        <v>352</v>
      </c>
      <c r="X233" s="205"/>
      <c r="Y233" s="205"/>
      <c r="AA233" s="205">
        <v>1</v>
      </c>
      <c r="AB233" s="205">
        <v>1.2</v>
      </c>
      <c r="AC233" s="205">
        <v>2</v>
      </c>
      <c r="AD233" s="205">
        <v>2.5</v>
      </c>
      <c r="AE233" s="205">
        <v>2.7</v>
      </c>
      <c r="AF233" s="205">
        <v>3</v>
      </c>
      <c r="AG233" s="205">
        <v>6</v>
      </c>
      <c r="AH233" s="200"/>
      <c r="AI233" s="200"/>
      <c r="AK233" s="200">
        <v>1</v>
      </c>
      <c r="AL233" s="212">
        <v>1</v>
      </c>
      <c r="AM233" s="211">
        <v>0.125</v>
      </c>
      <c r="AN233" s="200" t="s">
        <v>503</v>
      </c>
    </row>
    <row r="234" spans="1:40">
      <c r="A234" s="281" t="s">
        <v>976</v>
      </c>
      <c r="B234" t="s">
        <v>530</v>
      </c>
      <c r="C234" s="200" t="s">
        <v>533</v>
      </c>
      <c r="D234">
        <v>8</v>
      </c>
      <c r="E234">
        <v>800</v>
      </c>
      <c r="F234">
        <v>10.9186</v>
      </c>
      <c r="G234">
        <v>0</v>
      </c>
      <c r="H234">
        <v>2.0990000000000002E-2</v>
      </c>
      <c r="I234" s="205">
        <v>0</v>
      </c>
      <c r="J234" s="205">
        <v>0</v>
      </c>
      <c r="K234" s="201" t="s">
        <v>551</v>
      </c>
      <c r="L234" s="200" t="s">
        <v>436</v>
      </c>
      <c r="M234" s="31">
        <v>567</v>
      </c>
      <c r="N234" s="31"/>
      <c r="O234" s="31">
        <v>2013</v>
      </c>
      <c r="P234" s="200"/>
      <c r="Q234" s="205" t="s">
        <v>333</v>
      </c>
      <c r="R234" s="205" t="s">
        <v>178</v>
      </c>
      <c r="S234" s="205" t="s">
        <v>349</v>
      </c>
      <c r="T234" s="205" t="s">
        <v>177</v>
      </c>
      <c r="U234" s="205" t="s">
        <v>340</v>
      </c>
      <c r="V234" s="205" t="s">
        <v>707</v>
      </c>
      <c r="W234" s="205" t="s">
        <v>352</v>
      </c>
      <c r="X234" s="205"/>
      <c r="Y234" s="205"/>
      <c r="AA234" s="205">
        <v>1</v>
      </c>
      <c r="AB234" s="205">
        <v>1.2</v>
      </c>
      <c r="AC234" s="205">
        <v>2</v>
      </c>
      <c r="AD234" s="205">
        <v>2.5</v>
      </c>
      <c r="AE234" s="205">
        <v>2.7</v>
      </c>
      <c r="AF234" s="205">
        <v>3</v>
      </c>
      <c r="AG234" s="205">
        <v>6</v>
      </c>
      <c r="AH234" s="200"/>
      <c r="AI234" s="200"/>
      <c r="AK234" s="200">
        <v>1</v>
      </c>
      <c r="AL234" s="212">
        <v>1</v>
      </c>
      <c r="AM234" s="211">
        <v>0.125</v>
      </c>
      <c r="AN234" s="200" t="s">
        <v>503</v>
      </c>
    </row>
    <row r="235" spans="1:40">
      <c r="A235" s="281" t="s">
        <v>976</v>
      </c>
      <c r="B235" t="s">
        <v>531</v>
      </c>
      <c r="C235" s="200" t="s">
        <v>533</v>
      </c>
      <c r="D235">
        <v>8000</v>
      </c>
      <c r="E235">
        <v>140000</v>
      </c>
      <c r="F235">
        <v>0</v>
      </c>
      <c r="G235">
        <v>130</v>
      </c>
      <c r="H235">
        <v>0.59</v>
      </c>
      <c r="K235" s="200" t="s">
        <v>295</v>
      </c>
      <c r="L235" s="200" t="s">
        <v>436</v>
      </c>
      <c r="M235" s="31">
        <v>567</v>
      </c>
      <c r="N235" s="31"/>
      <c r="O235" s="31">
        <v>2013</v>
      </c>
      <c r="P235" s="200"/>
      <c r="Q235" s="205" t="s">
        <v>333</v>
      </c>
      <c r="R235" s="205" t="s">
        <v>178</v>
      </c>
      <c r="S235" s="205" t="s">
        <v>349</v>
      </c>
      <c r="T235" s="205" t="s">
        <v>177</v>
      </c>
      <c r="U235" s="205" t="s">
        <v>340</v>
      </c>
      <c r="V235" s="205" t="s">
        <v>707</v>
      </c>
      <c r="W235" s="205" t="s">
        <v>352</v>
      </c>
      <c r="X235" s="205"/>
      <c r="Y235" s="205"/>
      <c r="AA235" s="205">
        <v>1</v>
      </c>
      <c r="AB235" s="205">
        <v>1.2</v>
      </c>
      <c r="AC235" s="205">
        <v>2</v>
      </c>
      <c r="AD235" s="205">
        <v>2.5</v>
      </c>
      <c r="AE235" s="205">
        <v>2.7</v>
      </c>
      <c r="AF235" s="205">
        <v>3</v>
      </c>
      <c r="AG235" s="205">
        <v>6</v>
      </c>
      <c r="AH235" s="200"/>
      <c r="AI235" s="200"/>
      <c r="AK235" s="205">
        <v>2.2999999999999998</v>
      </c>
      <c r="AL235" s="212">
        <v>2.0499999999999998</v>
      </c>
      <c r="AM235" s="211">
        <v>0.125</v>
      </c>
      <c r="AN235" s="200"/>
    </row>
    <row r="236" spans="1:40">
      <c r="A236" s="281" t="s">
        <v>976</v>
      </c>
      <c r="B236" t="s">
        <v>532</v>
      </c>
      <c r="C236" s="200" t="s">
        <v>533</v>
      </c>
      <c r="D236">
        <v>800</v>
      </c>
      <c r="E236">
        <v>8000</v>
      </c>
      <c r="F236">
        <v>9.2827999999999999</v>
      </c>
      <c r="G236">
        <v>0.105</v>
      </c>
      <c r="H236">
        <v>1.8849999999999999E-2</v>
      </c>
      <c r="I236" s="204">
        <v>0</v>
      </c>
      <c r="J236" s="204">
        <v>0</v>
      </c>
      <c r="K236" s="201" t="s">
        <v>551</v>
      </c>
      <c r="L236" s="200" t="s">
        <v>436</v>
      </c>
      <c r="M236" s="31">
        <v>567</v>
      </c>
      <c r="N236" s="31"/>
      <c r="O236" s="31">
        <v>2013</v>
      </c>
      <c r="P236" s="200"/>
      <c r="Q236" s="205" t="s">
        <v>333</v>
      </c>
      <c r="R236" s="205" t="s">
        <v>178</v>
      </c>
      <c r="S236" s="205" t="s">
        <v>349</v>
      </c>
      <c r="T236" s="205" t="s">
        <v>177</v>
      </c>
      <c r="U236" s="205" t="s">
        <v>340</v>
      </c>
      <c r="V236" s="205" t="s">
        <v>707</v>
      </c>
      <c r="W236" s="205" t="s">
        <v>352</v>
      </c>
      <c r="X236" s="205"/>
      <c r="Y236" s="205"/>
      <c r="AA236" s="205">
        <v>1</v>
      </c>
      <c r="AB236" s="205">
        <v>1.2</v>
      </c>
      <c r="AC236" s="205">
        <v>2</v>
      </c>
      <c r="AD236" s="205">
        <v>2.5</v>
      </c>
      <c r="AE236" s="205">
        <v>2.7</v>
      </c>
      <c r="AF236" s="205">
        <v>3</v>
      </c>
      <c r="AG236" s="205">
        <v>6</v>
      </c>
      <c r="AH236" s="200"/>
      <c r="AI236" s="200"/>
      <c r="AK236" s="200">
        <v>1</v>
      </c>
      <c r="AL236" s="212">
        <v>1</v>
      </c>
      <c r="AM236" s="211">
        <v>0.125</v>
      </c>
      <c r="AN236" s="200" t="s">
        <v>503</v>
      </c>
    </row>
    <row r="237" spans="1:40">
      <c r="M237" s="31"/>
      <c r="N237" s="31"/>
      <c r="O237" s="31"/>
    </row>
    <row r="238" spans="1:40">
      <c r="B238" t="s">
        <v>741</v>
      </c>
      <c r="M238" s="31"/>
      <c r="N238" s="31"/>
      <c r="O238" s="31"/>
    </row>
    <row r="239" spans="1:40">
      <c r="A239" s="281" t="s">
        <v>741</v>
      </c>
      <c r="B239" t="s">
        <v>534</v>
      </c>
      <c r="C239" t="s">
        <v>535</v>
      </c>
      <c r="D239">
        <v>25</v>
      </c>
      <c r="E239">
        <v>1200</v>
      </c>
      <c r="F239">
        <v>0</v>
      </c>
      <c r="G239">
        <v>11910</v>
      </c>
      <c r="H239">
        <v>0.6</v>
      </c>
      <c r="K239" s="201" t="s">
        <v>295</v>
      </c>
      <c r="L239" s="201" t="s">
        <v>436</v>
      </c>
      <c r="M239" s="31">
        <v>567</v>
      </c>
      <c r="N239" s="31"/>
      <c r="O239" s="31">
        <v>2013</v>
      </c>
      <c r="Q239" s="205" t="s">
        <v>333</v>
      </c>
      <c r="R239" s="205" t="s">
        <v>178</v>
      </c>
      <c r="S239" s="205" t="s">
        <v>349</v>
      </c>
      <c r="T239" s="205" t="s">
        <v>177</v>
      </c>
      <c r="U239" s="205" t="s">
        <v>340</v>
      </c>
      <c r="V239" s="205" t="s">
        <v>707</v>
      </c>
      <c r="W239" s="205" t="s">
        <v>352</v>
      </c>
      <c r="X239" s="205"/>
      <c r="Y239" s="205"/>
      <c r="AA239" s="205">
        <v>1</v>
      </c>
      <c r="AB239" s="205">
        <v>1.2</v>
      </c>
      <c r="AC239" s="205">
        <v>2</v>
      </c>
      <c r="AD239" s="205">
        <v>2.5</v>
      </c>
      <c r="AE239" s="205">
        <v>2.7</v>
      </c>
      <c r="AF239" s="205">
        <v>3</v>
      </c>
      <c r="AG239" s="205">
        <v>6</v>
      </c>
      <c r="AK239" s="205">
        <v>1.39</v>
      </c>
      <c r="AL239" s="30">
        <v>1.83</v>
      </c>
      <c r="AM239" s="30">
        <v>0.45</v>
      </c>
      <c r="AN239" t="s">
        <v>713</v>
      </c>
    </row>
    <row r="240" spans="1:40">
      <c r="A240" s="281" t="s">
        <v>741</v>
      </c>
      <c r="B240" t="s">
        <v>536</v>
      </c>
      <c r="C240" s="201" t="s">
        <v>535</v>
      </c>
      <c r="D240">
        <v>10</v>
      </c>
      <c r="E240">
        <v>200</v>
      </c>
      <c r="F240">
        <v>0</v>
      </c>
      <c r="G240">
        <v>2610</v>
      </c>
      <c r="H240">
        <v>0.89</v>
      </c>
      <c r="K240" s="201" t="s">
        <v>295</v>
      </c>
      <c r="L240" s="201" t="s">
        <v>436</v>
      </c>
      <c r="M240" s="31">
        <v>567</v>
      </c>
      <c r="N240" s="31"/>
      <c r="O240" s="31">
        <v>2013</v>
      </c>
      <c r="Q240" s="205" t="s">
        <v>333</v>
      </c>
      <c r="R240" s="205" t="s">
        <v>178</v>
      </c>
      <c r="S240" s="205" t="s">
        <v>349</v>
      </c>
      <c r="T240" s="205" t="s">
        <v>177</v>
      </c>
      <c r="U240" s="205" t="s">
        <v>340</v>
      </c>
      <c r="V240" s="205" t="s">
        <v>707</v>
      </c>
      <c r="W240" s="205" t="s">
        <v>352</v>
      </c>
      <c r="X240" s="205"/>
      <c r="Y240" s="205"/>
      <c r="AA240" s="205">
        <v>1</v>
      </c>
      <c r="AB240" s="205">
        <v>1.2</v>
      </c>
      <c r="AC240" s="205">
        <v>2</v>
      </c>
      <c r="AD240" s="205">
        <v>2.5</v>
      </c>
      <c r="AE240" s="205">
        <v>2.7</v>
      </c>
      <c r="AF240" s="205">
        <v>3</v>
      </c>
      <c r="AG240" s="205">
        <v>6</v>
      </c>
      <c r="AK240" s="205">
        <v>1.39</v>
      </c>
      <c r="AL240" s="212">
        <v>1.83</v>
      </c>
      <c r="AM240" s="211">
        <v>0.45</v>
      </c>
      <c r="AN240" s="205" t="s">
        <v>714</v>
      </c>
    </row>
    <row r="241" spans="1:44">
      <c r="A241" s="281" t="s">
        <v>741</v>
      </c>
      <c r="B241" t="s">
        <v>537</v>
      </c>
      <c r="C241" s="201" t="s">
        <v>535</v>
      </c>
      <c r="D241">
        <v>20</v>
      </c>
      <c r="E241">
        <v>300</v>
      </c>
      <c r="F241">
        <v>0</v>
      </c>
      <c r="G241">
        <v>2041</v>
      </c>
      <c r="H241">
        <v>1.05</v>
      </c>
      <c r="K241" s="201" t="s">
        <v>295</v>
      </c>
      <c r="L241" s="201" t="s">
        <v>436</v>
      </c>
      <c r="M241" s="31">
        <v>567</v>
      </c>
      <c r="N241" s="31"/>
      <c r="O241" s="31">
        <v>2013</v>
      </c>
      <c r="Q241" s="205" t="s">
        <v>333</v>
      </c>
      <c r="R241" s="205" t="s">
        <v>178</v>
      </c>
      <c r="S241" s="205" t="s">
        <v>349</v>
      </c>
      <c r="T241" s="205" t="s">
        <v>177</v>
      </c>
      <c r="U241" s="205" t="s">
        <v>340</v>
      </c>
      <c r="V241" s="205" t="s">
        <v>707</v>
      </c>
      <c r="W241" s="205" t="s">
        <v>352</v>
      </c>
      <c r="X241" s="205"/>
      <c r="Y241" s="205"/>
      <c r="AA241" s="205">
        <v>1</v>
      </c>
      <c r="AB241" s="205">
        <v>1.2</v>
      </c>
      <c r="AC241" s="205">
        <v>2</v>
      </c>
      <c r="AD241" s="205">
        <v>2.5</v>
      </c>
      <c r="AE241" s="205">
        <v>2.7</v>
      </c>
      <c r="AF241" s="205">
        <v>3</v>
      </c>
      <c r="AG241" s="205">
        <v>6</v>
      </c>
      <c r="AK241" s="205">
        <v>1.39</v>
      </c>
      <c r="AL241" s="212">
        <v>1.83</v>
      </c>
      <c r="AM241" s="211">
        <v>0.45</v>
      </c>
      <c r="AN241" s="205" t="s">
        <v>715</v>
      </c>
    </row>
    <row r="242" spans="1:44">
      <c r="A242" s="281" t="s">
        <v>741</v>
      </c>
      <c r="B242" t="s">
        <v>538</v>
      </c>
      <c r="C242" s="201" t="s">
        <v>535</v>
      </c>
      <c r="D242">
        <v>2</v>
      </c>
      <c r="E242">
        <v>200</v>
      </c>
      <c r="F242">
        <v>0</v>
      </c>
      <c r="G242">
        <v>4310</v>
      </c>
      <c r="H242">
        <v>0.78</v>
      </c>
      <c r="K242" s="201" t="s">
        <v>295</v>
      </c>
      <c r="L242" s="201" t="s">
        <v>436</v>
      </c>
      <c r="M242" s="31">
        <v>567</v>
      </c>
      <c r="N242" s="31"/>
      <c r="O242" s="31">
        <v>2013</v>
      </c>
      <c r="Q242" s="205" t="s">
        <v>333</v>
      </c>
      <c r="R242" s="205" t="s">
        <v>178</v>
      </c>
      <c r="S242" s="205" t="s">
        <v>349</v>
      </c>
      <c r="T242" s="205" t="s">
        <v>177</v>
      </c>
      <c r="U242" s="205" t="s">
        <v>340</v>
      </c>
      <c r="V242" s="205" t="s">
        <v>707</v>
      </c>
      <c r="W242" s="205" t="s">
        <v>352</v>
      </c>
      <c r="X242" s="205"/>
      <c r="Y242" s="205"/>
      <c r="AA242" s="205">
        <v>1</v>
      </c>
      <c r="AB242" s="205">
        <v>1.2</v>
      </c>
      <c r="AC242" s="205">
        <v>2</v>
      </c>
      <c r="AD242" s="205">
        <v>2.5</v>
      </c>
      <c r="AE242" s="205">
        <v>2.7</v>
      </c>
      <c r="AF242" s="205">
        <v>3</v>
      </c>
      <c r="AG242" s="205">
        <v>6</v>
      </c>
      <c r="AK242" s="205">
        <v>1.39</v>
      </c>
      <c r="AL242" s="212">
        <v>1.83</v>
      </c>
      <c r="AM242" s="211">
        <v>0.45</v>
      </c>
      <c r="AN242" s="205" t="s">
        <v>716</v>
      </c>
    </row>
    <row r="243" spans="1:44">
      <c r="A243" s="281" t="s">
        <v>741</v>
      </c>
      <c r="B243" t="s">
        <v>539</v>
      </c>
      <c r="C243" s="201" t="s">
        <v>535</v>
      </c>
      <c r="D243">
        <v>1</v>
      </c>
      <c r="E243">
        <v>30</v>
      </c>
      <c r="F243">
        <v>0</v>
      </c>
      <c r="G243" s="201">
        <v>64640</v>
      </c>
      <c r="H243" s="201">
        <v>0.69</v>
      </c>
      <c r="K243" s="201" t="s">
        <v>295</v>
      </c>
      <c r="L243" s="201" t="s">
        <v>436</v>
      </c>
      <c r="M243" s="31">
        <v>567</v>
      </c>
      <c r="N243" s="31"/>
      <c r="O243" s="31">
        <v>2013</v>
      </c>
      <c r="Q243" s="205" t="s">
        <v>333</v>
      </c>
      <c r="R243" s="205" t="s">
        <v>178</v>
      </c>
      <c r="S243" s="205" t="s">
        <v>349</v>
      </c>
      <c r="T243" s="205" t="s">
        <v>177</v>
      </c>
      <c r="U243" s="205" t="s">
        <v>340</v>
      </c>
      <c r="V243" s="205" t="s">
        <v>707</v>
      </c>
      <c r="W243" s="205" t="s">
        <v>352</v>
      </c>
      <c r="X243" s="205"/>
      <c r="Y243" s="205"/>
      <c r="AA243" s="205">
        <v>1</v>
      </c>
      <c r="AB243" s="205">
        <v>1.2</v>
      </c>
      <c r="AC243" s="205">
        <v>2</v>
      </c>
      <c r="AD243" s="205">
        <v>2.5</v>
      </c>
      <c r="AE243" s="205">
        <v>2.7</v>
      </c>
      <c r="AF243" s="205">
        <v>3</v>
      </c>
      <c r="AG243" s="205">
        <v>6</v>
      </c>
      <c r="AK243" s="205">
        <v>1.39</v>
      </c>
      <c r="AL243" s="212">
        <v>1.83</v>
      </c>
      <c r="AM243" s="211">
        <v>0.45</v>
      </c>
      <c r="AN243" s="205" t="s">
        <v>717</v>
      </c>
    </row>
    <row r="244" spans="1:44">
      <c r="A244" s="281" t="s">
        <v>741</v>
      </c>
      <c r="B244" t="s">
        <v>540</v>
      </c>
      <c r="C244" s="201" t="s">
        <v>535</v>
      </c>
      <c r="D244">
        <v>1</v>
      </c>
      <c r="E244">
        <v>5</v>
      </c>
      <c r="F244">
        <v>0</v>
      </c>
      <c r="G244">
        <v>38560</v>
      </c>
      <c r="H244">
        <v>0.39</v>
      </c>
      <c r="K244" s="201" t="s">
        <v>295</v>
      </c>
      <c r="L244" s="201" t="s">
        <v>436</v>
      </c>
      <c r="M244" s="31">
        <v>567</v>
      </c>
      <c r="N244" s="31"/>
      <c r="O244" s="31">
        <v>2013</v>
      </c>
      <c r="Q244" s="205" t="s">
        <v>333</v>
      </c>
      <c r="R244" s="205" t="s">
        <v>178</v>
      </c>
      <c r="S244" s="205" t="s">
        <v>349</v>
      </c>
      <c r="T244" s="205" t="s">
        <v>177</v>
      </c>
      <c r="U244" s="205" t="s">
        <v>340</v>
      </c>
      <c r="V244" s="205" t="s">
        <v>707</v>
      </c>
      <c r="W244" s="205" t="s">
        <v>352</v>
      </c>
      <c r="X244" s="205"/>
      <c r="Y244" s="205"/>
      <c r="AA244" s="205">
        <v>1</v>
      </c>
      <c r="AB244" s="205">
        <v>1.2</v>
      </c>
      <c r="AC244" s="205">
        <v>2</v>
      </c>
      <c r="AD244" s="205">
        <v>2.5</v>
      </c>
      <c r="AE244" s="205">
        <v>2.7</v>
      </c>
      <c r="AF244" s="205">
        <v>3</v>
      </c>
      <c r="AG244" s="205">
        <v>6</v>
      </c>
      <c r="AK244" s="205">
        <v>1.39</v>
      </c>
      <c r="AL244" s="212">
        <v>1.83</v>
      </c>
      <c r="AM244" s="211">
        <v>0.45</v>
      </c>
      <c r="AN244" s="205" t="s">
        <v>718</v>
      </c>
    </row>
    <row r="245" spans="1:44" s="211" customFormat="1">
      <c r="M245" s="31"/>
      <c r="N245" s="31"/>
      <c r="O245" s="31"/>
      <c r="AR245" s="214"/>
    </row>
    <row r="246" spans="1:44" s="211" customFormat="1">
      <c r="B246" s="211" t="s">
        <v>787</v>
      </c>
      <c r="M246" s="31"/>
      <c r="N246" s="31"/>
      <c r="O246" s="31"/>
      <c r="AR246" s="214"/>
    </row>
    <row r="247" spans="1:44" s="29" customFormat="1">
      <c r="A247" s="281" t="s">
        <v>787</v>
      </c>
      <c r="B247" s="29" t="s">
        <v>240</v>
      </c>
      <c r="C247" s="29" t="s">
        <v>241</v>
      </c>
      <c r="D247" s="29">
        <v>30</v>
      </c>
      <c r="E247" s="29">
        <v>400</v>
      </c>
      <c r="F247" s="29">
        <v>68400</v>
      </c>
      <c r="G247" s="29">
        <v>730</v>
      </c>
      <c r="H247" s="29">
        <v>1</v>
      </c>
      <c r="I247" s="204"/>
      <c r="J247" s="204"/>
      <c r="K247" s="29" t="s">
        <v>295</v>
      </c>
      <c r="L247" s="197" t="s">
        <v>437</v>
      </c>
      <c r="M247" s="29">
        <v>532.9</v>
      </c>
      <c r="N247" s="29">
        <v>2281.6</v>
      </c>
      <c r="O247" s="29">
        <v>2010</v>
      </c>
      <c r="Q247" s="31" t="s">
        <v>333</v>
      </c>
      <c r="R247" s="31" t="s">
        <v>334</v>
      </c>
      <c r="S247" s="31" t="s">
        <v>335</v>
      </c>
      <c r="T247" s="31" t="s">
        <v>336</v>
      </c>
      <c r="U247" s="31" t="s">
        <v>337</v>
      </c>
      <c r="V247" s="31" t="s">
        <v>338</v>
      </c>
      <c r="W247" s="31" t="s">
        <v>339</v>
      </c>
      <c r="X247" s="31" t="s">
        <v>340</v>
      </c>
      <c r="Y247" s="31" t="s">
        <v>341</v>
      </c>
      <c r="Z247" s="31"/>
      <c r="AA247" s="31">
        <v>1</v>
      </c>
      <c r="AB247" s="31">
        <v>1.07</v>
      </c>
      <c r="AC247" s="31">
        <v>1.1000000000000001</v>
      </c>
      <c r="AD247" s="31">
        <v>1.3</v>
      </c>
      <c r="AE247" s="31">
        <v>1.3</v>
      </c>
      <c r="AF247" s="31">
        <v>1.5</v>
      </c>
      <c r="AG247" s="31">
        <v>1.55</v>
      </c>
      <c r="AH247" s="31">
        <v>1.65</v>
      </c>
      <c r="AI247" s="31">
        <v>1.7</v>
      </c>
      <c r="AJ247" s="31"/>
      <c r="AK247" s="31">
        <v>1.39</v>
      </c>
      <c r="AL247" s="212">
        <v>1.83</v>
      </c>
      <c r="AM247" s="31">
        <v>0.45</v>
      </c>
      <c r="AR247" s="214"/>
    </row>
    <row r="248" spans="1:44" s="29" customFormat="1">
      <c r="A248" s="281" t="s">
        <v>787</v>
      </c>
      <c r="B248" s="29" t="s">
        <v>242</v>
      </c>
      <c r="C248" s="29" t="s">
        <v>243</v>
      </c>
      <c r="D248" s="29">
        <v>200</v>
      </c>
      <c r="E248" s="29">
        <v>4000</v>
      </c>
      <c r="F248" s="29">
        <v>16000</v>
      </c>
      <c r="G248" s="29">
        <v>670</v>
      </c>
      <c r="H248" s="29">
        <v>0.5</v>
      </c>
      <c r="I248" s="204"/>
      <c r="J248" s="204"/>
      <c r="K248" s="29" t="s">
        <v>295</v>
      </c>
      <c r="L248" s="197" t="s">
        <v>437</v>
      </c>
      <c r="M248" s="29">
        <v>532.9</v>
      </c>
      <c r="N248" s="29">
        <v>2281.6</v>
      </c>
      <c r="O248" s="29">
        <v>2010</v>
      </c>
      <c r="Q248" s="31" t="s">
        <v>333</v>
      </c>
      <c r="R248" s="31" t="s">
        <v>334</v>
      </c>
      <c r="S248" s="31" t="s">
        <v>335</v>
      </c>
      <c r="T248" s="31" t="s">
        <v>336</v>
      </c>
      <c r="U248" s="31" t="s">
        <v>337</v>
      </c>
      <c r="V248" s="31" t="s">
        <v>338</v>
      </c>
      <c r="W248" s="31" t="s">
        <v>339</v>
      </c>
      <c r="X248" s="31" t="s">
        <v>340</v>
      </c>
      <c r="Y248" s="31" t="s">
        <v>341</v>
      </c>
      <c r="Z248" s="31"/>
      <c r="AA248" s="31">
        <v>1</v>
      </c>
      <c r="AB248" s="31">
        <v>1.07</v>
      </c>
      <c r="AC248" s="31">
        <v>1.1000000000000001</v>
      </c>
      <c r="AD248" s="31">
        <v>1.3</v>
      </c>
      <c r="AE248" s="31">
        <v>1.3</v>
      </c>
      <c r="AF248" s="31">
        <v>1.5</v>
      </c>
      <c r="AG248" s="31">
        <v>1.55</v>
      </c>
      <c r="AH248" s="31">
        <v>1.65</v>
      </c>
      <c r="AI248" s="31">
        <v>1.7</v>
      </c>
      <c r="AJ248" s="31"/>
      <c r="AK248" s="31">
        <v>1.39</v>
      </c>
      <c r="AL248" s="212">
        <v>1.83</v>
      </c>
      <c r="AM248" s="31">
        <v>0.45</v>
      </c>
      <c r="AR248" s="214"/>
    </row>
    <row r="249" spans="1:44" s="29" customFormat="1">
      <c r="A249" s="281" t="s">
        <v>787</v>
      </c>
      <c r="B249" s="29" t="s">
        <v>244</v>
      </c>
      <c r="C249" s="29" t="s">
        <v>241</v>
      </c>
      <c r="D249" s="29">
        <v>100</v>
      </c>
      <c r="E249" s="29">
        <v>600</v>
      </c>
      <c r="F249" s="29">
        <v>-8000</v>
      </c>
      <c r="G249" s="29">
        <v>62000</v>
      </c>
      <c r="H249" s="29">
        <v>0.5</v>
      </c>
      <c r="I249" s="204"/>
      <c r="J249" s="204"/>
      <c r="K249" s="29" t="s">
        <v>295</v>
      </c>
      <c r="L249" s="197" t="s">
        <v>437</v>
      </c>
      <c r="M249" s="29">
        <v>532.9</v>
      </c>
      <c r="N249" s="29">
        <v>2281.6</v>
      </c>
      <c r="O249" s="29">
        <v>2010</v>
      </c>
      <c r="Q249" s="31" t="s">
        <v>333</v>
      </c>
      <c r="R249" s="31" t="s">
        <v>334</v>
      </c>
      <c r="S249" s="31" t="s">
        <v>335</v>
      </c>
      <c r="T249" s="31" t="s">
        <v>336</v>
      </c>
      <c r="U249" s="31" t="s">
        <v>337</v>
      </c>
      <c r="V249" s="31" t="s">
        <v>338</v>
      </c>
      <c r="W249" s="31" t="s">
        <v>339</v>
      </c>
      <c r="X249" s="31" t="s">
        <v>340</v>
      </c>
      <c r="Y249" s="31" t="s">
        <v>341</v>
      </c>
      <c r="Z249" s="31"/>
      <c r="AA249" s="31">
        <v>1</v>
      </c>
      <c r="AB249" s="31">
        <v>1.07</v>
      </c>
      <c r="AC249" s="31">
        <v>1.1000000000000001</v>
      </c>
      <c r="AD249" s="31">
        <v>1.3</v>
      </c>
      <c r="AE249" s="31">
        <v>1.3</v>
      </c>
      <c r="AF249" s="31">
        <v>1.5</v>
      </c>
      <c r="AG249" s="31">
        <v>1.55</v>
      </c>
      <c r="AH249" s="31">
        <v>1.65</v>
      </c>
      <c r="AI249" s="31">
        <v>1.7</v>
      </c>
      <c r="AJ249" s="31"/>
      <c r="AK249" s="31">
        <v>1.39</v>
      </c>
      <c r="AL249" s="212">
        <v>1.83</v>
      </c>
      <c r="AM249" s="31">
        <v>0.45</v>
      </c>
      <c r="AR249" s="214"/>
    </row>
    <row r="250" spans="1:44" s="29" customFormat="1">
      <c r="A250" s="281" t="s">
        <v>787</v>
      </c>
      <c r="B250" s="29" t="s">
        <v>245</v>
      </c>
      <c r="C250" s="29" t="s">
        <v>241</v>
      </c>
      <c r="D250" s="29">
        <v>200</v>
      </c>
      <c r="E250" s="29">
        <v>3000</v>
      </c>
      <c r="F250" s="29">
        <v>5000</v>
      </c>
      <c r="G250" s="29">
        <v>5100</v>
      </c>
      <c r="H250" s="29">
        <v>0.7</v>
      </c>
      <c r="I250" s="204"/>
      <c r="J250" s="204"/>
      <c r="K250" s="29" t="s">
        <v>295</v>
      </c>
      <c r="L250" s="197" t="s">
        <v>437</v>
      </c>
      <c r="M250" s="29">
        <v>532.9</v>
      </c>
      <c r="N250" s="29">
        <v>2281.6</v>
      </c>
      <c r="O250" s="29">
        <v>2010</v>
      </c>
      <c r="Q250" s="31" t="s">
        <v>333</v>
      </c>
      <c r="R250" s="31" t="s">
        <v>334</v>
      </c>
      <c r="S250" s="31" t="s">
        <v>335</v>
      </c>
      <c r="T250" s="31" t="s">
        <v>336</v>
      </c>
      <c r="U250" s="31" t="s">
        <v>337</v>
      </c>
      <c r="V250" s="31" t="s">
        <v>338</v>
      </c>
      <c r="W250" s="31" t="s">
        <v>339</v>
      </c>
      <c r="X250" s="31" t="s">
        <v>340</v>
      </c>
      <c r="Y250" s="31" t="s">
        <v>341</v>
      </c>
      <c r="Z250" s="31"/>
      <c r="AA250" s="31">
        <v>1</v>
      </c>
      <c r="AB250" s="31">
        <v>1.07</v>
      </c>
      <c r="AC250" s="31">
        <v>1.1000000000000001</v>
      </c>
      <c r="AD250" s="31">
        <v>1.3</v>
      </c>
      <c r="AE250" s="31">
        <v>1.3</v>
      </c>
      <c r="AF250" s="31">
        <v>1.5</v>
      </c>
      <c r="AG250" s="31">
        <v>1.55</v>
      </c>
      <c r="AH250" s="31">
        <v>1.65</v>
      </c>
      <c r="AI250" s="31">
        <v>1.7</v>
      </c>
      <c r="AJ250" s="31"/>
      <c r="AK250" s="31">
        <v>1.39</v>
      </c>
      <c r="AL250" s="212">
        <v>1.83</v>
      </c>
      <c r="AM250" s="31">
        <v>0.45</v>
      </c>
      <c r="AR250" s="214"/>
    </row>
    <row r="251" spans="1:44" s="29" customFormat="1">
      <c r="A251" s="281" t="s">
        <v>787</v>
      </c>
      <c r="B251" s="29" t="s">
        <v>246</v>
      </c>
      <c r="C251" s="29" t="s">
        <v>241</v>
      </c>
      <c r="D251" s="29">
        <v>0.7</v>
      </c>
      <c r="E251" s="29">
        <v>60</v>
      </c>
      <c r="F251" s="29">
        <v>-23000</v>
      </c>
      <c r="G251" s="29">
        <v>242000</v>
      </c>
      <c r="H251" s="29">
        <v>0.4</v>
      </c>
      <c r="I251" s="204"/>
      <c r="J251" s="204"/>
      <c r="K251" s="29" t="s">
        <v>295</v>
      </c>
      <c r="L251" s="197" t="s">
        <v>437</v>
      </c>
      <c r="M251" s="29">
        <v>532.9</v>
      </c>
      <c r="N251" s="29">
        <v>2281.6</v>
      </c>
      <c r="O251" s="29">
        <v>2010</v>
      </c>
      <c r="Q251" s="31" t="s">
        <v>333</v>
      </c>
      <c r="R251" s="31" t="s">
        <v>334</v>
      </c>
      <c r="S251" s="31" t="s">
        <v>335</v>
      </c>
      <c r="T251" s="31" t="s">
        <v>336</v>
      </c>
      <c r="U251" s="31" t="s">
        <v>337</v>
      </c>
      <c r="V251" s="31" t="s">
        <v>338</v>
      </c>
      <c r="W251" s="31" t="s">
        <v>339</v>
      </c>
      <c r="X251" s="31" t="s">
        <v>340</v>
      </c>
      <c r="Y251" s="31" t="s">
        <v>341</v>
      </c>
      <c r="Z251" s="31"/>
      <c r="AA251" s="31">
        <v>1</v>
      </c>
      <c r="AB251" s="31">
        <v>1.07</v>
      </c>
      <c r="AC251" s="31">
        <v>1.1000000000000001</v>
      </c>
      <c r="AD251" s="31">
        <v>1.3</v>
      </c>
      <c r="AE251" s="31">
        <v>1.3</v>
      </c>
      <c r="AF251" s="31">
        <v>1.5</v>
      </c>
      <c r="AG251" s="31">
        <v>1.55</v>
      </c>
      <c r="AH251" s="31">
        <v>1.65</v>
      </c>
      <c r="AI251" s="31">
        <v>1.7</v>
      </c>
      <c r="AJ251" s="31"/>
      <c r="AK251" s="31">
        <v>2.2999999999999998</v>
      </c>
      <c r="AL251" s="212">
        <v>1.83</v>
      </c>
      <c r="AM251" s="31">
        <v>0.45</v>
      </c>
      <c r="AR251" s="214"/>
    </row>
    <row r="253" spans="1:44">
      <c r="B253" t="s">
        <v>764</v>
      </c>
    </row>
    <row r="254" spans="1:44">
      <c r="A254" s="281" t="s">
        <v>764</v>
      </c>
      <c r="B254" t="s">
        <v>541</v>
      </c>
      <c r="C254" t="s">
        <v>548</v>
      </c>
      <c r="D254">
        <v>80</v>
      </c>
      <c r="E254">
        <v>8000</v>
      </c>
      <c r="F254">
        <v>0</v>
      </c>
      <c r="G254">
        <v>3810</v>
      </c>
      <c r="H254">
        <v>0.57999999999999996</v>
      </c>
      <c r="K254" s="201" t="s">
        <v>295</v>
      </c>
      <c r="L254" s="201" t="s">
        <v>436</v>
      </c>
      <c r="M254" s="31">
        <v>567</v>
      </c>
      <c r="N254" s="31"/>
      <c r="O254" s="31">
        <v>2013</v>
      </c>
      <c r="Q254" s="205" t="s">
        <v>333</v>
      </c>
      <c r="R254" s="205"/>
      <c r="S254" s="205"/>
      <c r="T254" s="205"/>
      <c r="U254" s="205"/>
      <c r="V254" s="205"/>
      <c r="W254" s="205"/>
      <c r="X254" s="205"/>
      <c r="Y254" s="205"/>
      <c r="AA254" s="205">
        <v>1</v>
      </c>
      <c r="AB254" s="205"/>
      <c r="AC254" s="205"/>
      <c r="AD254" s="205"/>
      <c r="AE254" s="205"/>
      <c r="AF254" s="205"/>
      <c r="AG254" s="205"/>
      <c r="AK254" s="29" t="s">
        <v>160</v>
      </c>
      <c r="AL254" s="30">
        <v>2.12</v>
      </c>
      <c r="AM254" s="30">
        <v>0.1</v>
      </c>
      <c r="AN254" t="s">
        <v>333</v>
      </c>
    </row>
    <row r="255" spans="1:44">
      <c r="A255" s="281" t="s">
        <v>764</v>
      </c>
      <c r="B255" t="s">
        <v>542</v>
      </c>
      <c r="C255" s="201" t="s">
        <v>548</v>
      </c>
      <c r="D255">
        <v>8000</v>
      </c>
      <c r="E255">
        <v>125000</v>
      </c>
      <c r="F255">
        <v>0</v>
      </c>
      <c r="G255">
        <v>2720</v>
      </c>
      <c r="H255">
        <v>0.57999999999999996</v>
      </c>
      <c r="K255" s="201" t="s">
        <v>295</v>
      </c>
      <c r="L255" s="201" t="s">
        <v>436</v>
      </c>
      <c r="M255" s="31">
        <v>567</v>
      </c>
      <c r="N255" s="31"/>
      <c r="O255" s="31">
        <v>2013</v>
      </c>
      <c r="Q255" s="205" t="s">
        <v>550</v>
      </c>
      <c r="R255" s="205"/>
      <c r="S255" s="205"/>
      <c r="T255" s="205"/>
      <c r="U255" s="205"/>
      <c r="V255" s="205"/>
      <c r="W255" s="205"/>
      <c r="X255" s="205"/>
      <c r="Y255" s="205"/>
      <c r="AA255" s="205">
        <v>1</v>
      </c>
      <c r="AB255" s="205"/>
      <c r="AC255" s="205"/>
      <c r="AD255" s="205"/>
      <c r="AE255" s="205"/>
      <c r="AF255" s="205"/>
      <c r="AG255" s="205"/>
      <c r="AK255" s="29" t="s">
        <v>160</v>
      </c>
      <c r="AL255" s="212">
        <v>2.12</v>
      </c>
      <c r="AM255" s="30">
        <v>0.1</v>
      </c>
      <c r="AN255" t="s">
        <v>550</v>
      </c>
    </row>
    <row r="256" spans="1:44">
      <c r="A256" s="281" t="s">
        <v>764</v>
      </c>
      <c r="B256" t="s">
        <v>543</v>
      </c>
      <c r="C256" s="201" t="s">
        <v>548</v>
      </c>
      <c r="D256">
        <v>80</v>
      </c>
      <c r="E256">
        <v>8000</v>
      </c>
      <c r="F256">
        <v>0</v>
      </c>
      <c r="G256" s="201">
        <v>3460</v>
      </c>
      <c r="H256">
        <v>0.57999999999999996</v>
      </c>
      <c r="K256" s="201" t="s">
        <v>295</v>
      </c>
      <c r="L256" s="201" t="s">
        <v>436</v>
      </c>
      <c r="M256" s="31">
        <v>567</v>
      </c>
      <c r="N256" s="31"/>
      <c r="O256" s="31">
        <v>2013</v>
      </c>
      <c r="Q256" s="205" t="s">
        <v>333</v>
      </c>
      <c r="R256" s="205"/>
      <c r="S256" s="205"/>
      <c r="T256" s="205"/>
      <c r="U256" s="205"/>
      <c r="V256" s="205"/>
      <c r="W256" s="205"/>
      <c r="X256" s="205"/>
      <c r="Y256" s="205"/>
      <c r="AA256" s="205">
        <v>1</v>
      </c>
      <c r="AB256" s="205"/>
      <c r="AC256" s="205"/>
      <c r="AD256" s="205"/>
      <c r="AE256" s="205"/>
      <c r="AF256" s="205"/>
      <c r="AG256" s="205"/>
      <c r="AK256" s="29" t="s">
        <v>160</v>
      </c>
      <c r="AL256" s="212">
        <v>2.12</v>
      </c>
      <c r="AM256" s="211">
        <v>0.1</v>
      </c>
      <c r="AN256" t="s">
        <v>333</v>
      </c>
    </row>
    <row r="257" spans="1:44">
      <c r="A257" s="281" t="s">
        <v>764</v>
      </c>
      <c r="B257" t="s">
        <v>544</v>
      </c>
      <c r="C257" s="201" t="s">
        <v>548</v>
      </c>
      <c r="D257">
        <v>8000</v>
      </c>
      <c r="E257">
        <v>125000</v>
      </c>
      <c r="F257">
        <v>0</v>
      </c>
      <c r="G257" s="201">
        <v>2450</v>
      </c>
      <c r="H257" s="201">
        <v>0.57999999999999996</v>
      </c>
      <c r="K257" s="201" t="s">
        <v>295</v>
      </c>
      <c r="L257" s="201" t="s">
        <v>436</v>
      </c>
      <c r="M257" s="31">
        <v>567</v>
      </c>
      <c r="N257" s="31"/>
      <c r="O257" s="31">
        <v>2013</v>
      </c>
      <c r="Q257" s="205" t="s">
        <v>550</v>
      </c>
      <c r="R257" s="205"/>
      <c r="S257" s="205"/>
      <c r="T257" s="205"/>
      <c r="U257" s="205"/>
      <c r="V257" s="205"/>
      <c r="W257" s="205"/>
      <c r="X257" s="205"/>
      <c r="Y257" s="205"/>
      <c r="AA257" s="205">
        <v>1</v>
      </c>
      <c r="AB257" s="205"/>
      <c r="AC257" s="205"/>
      <c r="AD257" s="205"/>
      <c r="AE257" s="205"/>
      <c r="AF257" s="205"/>
      <c r="AG257" s="205"/>
      <c r="AK257" s="29" t="s">
        <v>160</v>
      </c>
      <c r="AL257" s="212">
        <v>2.12</v>
      </c>
      <c r="AM257" s="211">
        <v>0.1</v>
      </c>
      <c r="AN257" t="s">
        <v>550</v>
      </c>
    </row>
    <row r="258" spans="1:44">
      <c r="A258" s="281" t="s">
        <v>764</v>
      </c>
      <c r="B258" t="s">
        <v>763</v>
      </c>
      <c r="C258" t="s">
        <v>549</v>
      </c>
      <c r="D258">
        <v>130</v>
      </c>
      <c r="E258">
        <v>800</v>
      </c>
      <c r="F258">
        <v>0</v>
      </c>
      <c r="G258">
        <v>5445</v>
      </c>
      <c r="H258">
        <v>0.52</v>
      </c>
      <c r="K258" s="201" t="s">
        <v>295</v>
      </c>
      <c r="L258" s="201" t="s">
        <v>436</v>
      </c>
      <c r="M258" s="31">
        <v>567</v>
      </c>
      <c r="N258" s="31"/>
      <c r="O258" s="31">
        <v>2013</v>
      </c>
      <c r="P258" s="205" t="s">
        <v>333</v>
      </c>
      <c r="Q258" s="205" t="s">
        <v>333</v>
      </c>
      <c r="R258" s="205" t="s">
        <v>178</v>
      </c>
      <c r="S258" s="205" t="s">
        <v>349</v>
      </c>
      <c r="T258" s="205" t="s">
        <v>177</v>
      </c>
      <c r="U258" s="205" t="s">
        <v>340</v>
      </c>
      <c r="V258" s="205" t="s">
        <v>707</v>
      </c>
      <c r="W258" s="205" t="s">
        <v>352</v>
      </c>
      <c r="X258" s="205"/>
      <c r="Y258" s="205"/>
      <c r="AA258" s="205">
        <v>1</v>
      </c>
      <c r="AB258" s="205">
        <v>1.2</v>
      </c>
      <c r="AC258" s="205">
        <v>2</v>
      </c>
      <c r="AD258" s="205">
        <v>2.5</v>
      </c>
      <c r="AE258" s="205">
        <v>2.7</v>
      </c>
      <c r="AF258" s="205">
        <v>3</v>
      </c>
      <c r="AG258" s="205">
        <v>6</v>
      </c>
      <c r="AK258" s="205">
        <v>2.3199999999999998</v>
      </c>
      <c r="AL258" s="30">
        <v>1.69</v>
      </c>
      <c r="AM258" s="30">
        <v>0.6</v>
      </c>
      <c r="AN258" s="201"/>
    </row>
    <row r="259" spans="1:44">
      <c r="A259" s="281" t="s">
        <v>764</v>
      </c>
      <c r="B259" t="s">
        <v>545</v>
      </c>
      <c r="C259" s="201" t="s">
        <v>549</v>
      </c>
      <c r="D259">
        <v>30</v>
      </c>
      <c r="E259">
        <v>2500</v>
      </c>
      <c r="F259">
        <v>0</v>
      </c>
      <c r="G259" s="201">
        <v>1385</v>
      </c>
      <c r="H259" s="201">
        <v>0.71</v>
      </c>
      <c r="K259" s="201" t="s">
        <v>295</v>
      </c>
      <c r="L259" s="201" t="s">
        <v>436</v>
      </c>
      <c r="M259" s="31">
        <v>567</v>
      </c>
      <c r="N259" s="31"/>
      <c r="O259" s="31">
        <v>2013</v>
      </c>
      <c r="P259" s="205" t="s">
        <v>333</v>
      </c>
      <c r="Q259" s="205" t="s">
        <v>333</v>
      </c>
      <c r="R259" s="205" t="s">
        <v>178</v>
      </c>
      <c r="S259" s="205" t="s">
        <v>349</v>
      </c>
      <c r="T259" s="205" t="s">
        <v>177</v>
      </c>
      <c r="U259" s="205" t="s">
        <v>340</v>
      </c>
      <c r="V259" s="205" t="s">
        <v>707</v>
      </c>
      <c r="W259" s="205" t="s">
        <v>352</v>
      </c>
      <c r="X259" s="205"/>
      <c r="Y259" s="205"/>
      <c r="AA259" s="205">
        <v>1</v>
      </c>
      <c r="AB259" s="205">
        <v>1.2</v>
      </c>
      <c r="AC259" s="205">
        <v>2</v>
      </c>
      <c r="AD259" s="205">
        <v>2.5</v>
      </c>
      <c r="AE259" s="205">
        <v>2.7</v>
      </c>
      <c r="AF259" s="205">
        <v>3</v>
      </c>
      <c r="AG259" s="205">
        <v>6</v>
      </c>
      <c r="AK259" s="205">
        <v>2.3199999999999998</v>
      </c>
      <c r="AL259" s="212">
        <v>1.69</v>
      </c>
      <c r="AM259" s="30">
        <v>0.6</v>
      </c>
      <c r="AN259" s="201"/>
    </row>
    <row r="260" spans="1:44">
      <c r="A260" s="281" t="s">
        <v>764</v>
      </c>
      <c r="B260" t="s">
        <v>546</v>
      </c>
      <c r="C260" s="201" t="s">
        <v>549</v>
      </c>
      <c r="D260">
        <v>10</v>
      </c>
      <c r="E260">
        <v>800</v>
      </c>
      <c r="F260">
        <v>11.795999999999999</v>
      </c>
      <c r="G260">
        <v>-0.1905</v>
      </c>
      <c r="H260">
        <v>5.5399999999999998E-2</v>
      </c>
      <c r="I260" s="204">
        <v>0</v>
      </c>
      <c r="J260" s="204">
        <v>0</v>
      </c>
      <c r="K260" s="201" t="s">
        <v>551</v>
      </c>
      <c r="L260" s="201" t="s">
        <v>436</v>
      </c>
      <c r="M260" s="205">
        <v>567</v>
      </c>
      <c r="N260" s="205"/>
      <c r="O260" s="205">
        <v>2013</v>
      </c>
      <c r="P260" s="205" t="s">
        <v>333</v>
      </c>
      <c r="Q260" s="205" t="s">
        <v>333</v>
      </c>
      <c r="R260" s="205" t="s">
        <v>178</v>
      </c>
      <c r="S260" s="205" t="s">
        <v>349</v>
      </c>
      <c r="T260" s="205" t="s">
        <v>177</v>
      </c>
      <c r="U260" s="205" t="s">
        <v>340</v>
      </c>
      <c r="V260" s="205" t="s">
        <v>707</v>
      </c>
      <c r="W260" s="205" t="s">
        <v>352</v>
      </c>
      <c r="X260" s="349" t="s">
        <v>1709</v>
      </c>
      <c r="Y260" s="205"/>
      <c r="AA260" s="205">
        <v>1</v>
      </c>
      <c r="AB260" s="205">
        <v>1.2</v>
      </c>
      <c r="AC260" s="205">
        <v>2</v>
      </c>
      <c r="AD260" s="205">
        <v>2.5</v>
      </c>
      <c r="AE260" s="205">
        <v>2.7</v>
      </c>
      <c r="AF260" s="205">
        <v>3</v>
      </c>
      <c r="AG260" s="205">
        <v>6</v>
      </c>
      <c r="AH260" s="349">
        <v>1.25</v>
      </c>
      <c r="AK260" s="205">
        <v>2.3199999999999998</v>
      </c>
      <c r="AL260" s="212">
        <v>1.69</v>
      </c>
      <c r="AM260" s="211">
        <v>0.2</v>
      </c>
      <c r="AN260" s="201"/>
    </row>
    <row r="261" spans="1:44">
      <c r="A261" s="281" t="s">
        <v>764</v>
      </c>
      <c r="B261" t="s">
        <v>547</v>
      </c>
      <c r="C261" s="201" t="s">
        <v>549</v>
      </c>
      <c r="D261">
        <v>100</v>
      </c>
      <c r="E261">
        <v>1100</v>
      </c>
      <c r="F261">
        <v>0</v>
      </c>
      <c r="G261" s="201">
        <v>28010</v>
      </c>
      <c r="H261" s="201">
        <v>0.48</v>
      </c>
      <c r="K261" s="201" t="s">
        <v>295</v>
      </c>
      <c r="L261" s="201" t="s">
        <v>436</v>
      </c>
      <c r="M261" s="205">
        <v>567</v>
      </c>
      <c r="N261" s="205"/>
      <c r="O261" s="205">
        <v>2013</v>
      </c>
      <c r="P261" s="205" t="s">
        <v>333</v>
      </c>
      <c r="Q261" s="205" t="s">
        <v>333</v>
      </c>
      <c r="R261" s="205" t="s">
        <v>178</v>
      </c>
      <c r="S261" s="205" t="s">
        <v>349</v>
      </c>
      <c r="T261" s="205" t="s">
        <v>177</v>
      </c>
      <c r="U261" s="205" t="s">
        <v>340</v>
      </c>
      <c r="V261" s="205" t="s">
        <v>707</v>
      </c>
      <c r="W261" s="205" t="s">
        <v>352</v>
      </c>
      <c r="X261" s="205"/>
      <c r="Y261" s="205"/>
      <c r="AA261" s="205">
        <v>1</v>
      </c>
      <c r="AB261" s="205">
        <v>1.2</v>
      </c>
      <c r="AC261" s="205">
        <v>2</v>
      </c>
      <c r="AD261" s="205">
        <v>2.5</v>
      </c>
      <c r="AE261" s="205">
        <v>2.7</v>
      </c>
      <c r="AF261" s="205">
        <v>3</v>
      </c>
      <c r="AG261" s="205">
        <v>6</v>
      </c>
      <c r="AK261" s="205">
        <v>2.3199999999999998</v>
      </c>
      <c r="AL261" s="212">
        <v>1.69</v>
      </c>
      <c r="AM261" s="30">
        <v>0.1</v>
      </c>
      <c r="AN261" s="201"/>
    </row>
    <row r="262" spans="1:44">
      <c r="A262" s="281" t="s">
        <v>764</v>
      </c>
      <c r="B262" t="s">
        <v>552</v>
      </c>
      <c r="C262" t="s">
        <v>553</v>
      </c>
      <c r="D262">
        <v>8000</v>
      </c>
      <c r="E262">
        <v>800000</v>
      </c>
      <c r="F262">
        <v>0</v>
      </c>
      <c r="G262">
        <v>1.7999999999999999E-2</v>
      </c>
      <c r="H262">
        <v>1.33</v>
      </c>
      <c r="K262" s="201" t="s">
        <v>295</v>
      </c>
      <c r="L262" s="201" t="s">
        <v>436</v>
      </c>
      <c r="M262" s="205">
        <v>567</v>
      </c>
      <c r="N262" s="205"/>
      <c r="O262" s="205">
        <v>2013</v>
      </c>
      <c r="P262" s="205" t="s">
        <v>333</v>
      </c>
      <c r="Q262" s="205" t="s">
        <v>333</v>
      </c>
      <c r="R262" s="205" t="s">
        <v>178</v>
      </c>
      <c r="S262" s="205" t="s">
        <v>349</v>
      </c>
      <c r="T262" s="205" t="s">
        <v>177</v>
      </c>
      <c r="U262" s="205" t="s">
        <v>340</v>
      </c>
      <c r="V262" s="205" t="s">
        <v>707</v>
      </c>
      <c r="W262" s="205" t="s">
        <v>352</v>
      </c>
      <c r="X262" s="205"/>
      <c r="Y262" s="205"/>
      <c r="AA262" s="205">
        <v>1</v>
      </c>
      <c r="AB262" s="205">
        <v>1.2</v>
      </c>
      <c r="AC262" s="205">
        <v>2</v>
      </c>
      <c r="AD262" s="205">
        <v>2.5</v>
      </c>
      <c r="AE262" s="205">
        <v>2.7</v>
      </c>
      <c r="AF262" s="205">
        <v>3</v>
      </c>
      <c r="AG262" s="205">
        <v>6</v>
      </c>
      <c r="AH262" s="201"/>
      <c r="AI262" s="201"/>
      <c r="AK262" s="201" t="s">
        <v>160</v>
      </c>
      <c r="AL262" s="201">
        <v>2.12</v>
      </c>
      <c r="AM262" s="27">
        <v>0.1</v>
      </c>
      <c r="AN262" s="201"/>
    </row>
    <row r="263" spans="1:44">
      <c r="A263" s="281" t="s">
        <v>764</v>
      </c>
      <c r="B263" t="s">
        <v>554</v>
      </c>
      <c r="C263" t="s">
        <v>555</v>
      </c>
      <c r="D263">
        <v>8</v>
      </c>
      <c r="E263">
        <v>1200</v>
      </c>
      <c r="F263">
        <v>0</v>
      </c>
      <c r="G263">
        <v>275</v>
      </c>
      <c r="H263">
        <v>0.5</v>
      </c>
      <c r="K263" s="201" t="s">
        <v>295</v>
      </c>
      <c r="L263" s="201" t="s">
        <v>436</v>
      </c>
      <c r="M263" s="205">
        <v>567</v>
      </c>
      <c r="N263" s="205"/>
      <c r="O263" s="205">
        <v>2013</v>
      </c>
      <c r="P263" s="205" t="s">
        <v>333</v>
      </c>
      <c r="Q263" s="205" t="s">
        <v>333</v>
      </c>
      <c r="R263" s="205" t="s">
        <v>178</v>
      </c>
      <c r="S263" s="205" t="s">
        <v>349</v>
      </c>
      <c r="T263" s="205" t="s">
        <v>177</v>
      </c>
      <c r="U263" s="205" t="s">
        <v>340</v>
      </c>
      <c r="V263" s="205" t="s">
        <v>707</v>
      </c>
      <c r="W263" s="205" t="s">
        <v>352</v>
      </c>
      <c r="X263" s="205"/>
      <c r="Y263" s="205"/>
      <c r="AA263" s="205">
        <v>1</v>
      </c>
      <c r="AB263" s="205">
        <v>1.2</v>
      </c>
      <c r="AC263" s="205">
        <v>2</v>
      </c>
      <c r="AD263" s="205">
        <v>2.5</v>
      </c>
      <c r="AE263" s="205">
        <v>2.7</v>
      </c>
      <c r="AF263" s="205">
        <v>3</v>
      </c>
      <c r="AG263" s="205">
        <v>6</v>
      </c>
      <c r="AH263" s="201"/>
      <c r="AI263" s="201"/>
      <c r="AK263" s="201" t="s">
        <v>160</v>
      </c>
      <c r="AL263" s="27">
        <v>2.12</v>
      </c>
      <c r="AM263" s="27">
        <v>0.1</v>
      </c>
      <c r="AN263" s="201"/>
    </row>
    <row r="264" spans="1:44">
      <c r="A264" s="281" t="s">
        <v>764</v>
      </c>
      <c r="B264" t="s">
        <v>556</v>
      </c>
      <c r="C264" t="s">
        <v>562</v>
      </c>
      <c r="D264">
        <v>20</v>
      </c>
      <c r="E264">
        <v>43</v>
      </c>
      <c r="F264">
        <v>0</v>
      </c>
      <c r="G264">
        <v>2270</v>
      </c>
      <c r="H264">
        <v>0.95</v>
      </c>
      <c r="K264" s="201" t="s">
        <v>295</v>
      </c>
      <c r="L264" s="201" t="s">
        <v>436</v>
      </c>
      <c r="M264" s="205">
        <v>567</v>
      </c>
      <c r="N264" s="205"/>
      <c r="O264" s="205">
        <v>2013</v>
      </c>
      <c r="P264" s="205" t="s">
        <v>349</v>
      </c>
      <c r="Q264" s="205" t="s">
        <v>333</v>
      </c>
      <c r="R264" s="205" t="s">
        <v>178</v>
      </c>
      <c r="S264" s="205" t="s">
        <v>349</v>
      </c>
      <c r="T264" s="205" t="s">
        <v>177</v>
      </c>
      <c r="U264" s="205" t="s">
        <v>340</v>
      </c>
      <c r="V264" s="205" t="s">
        <v>707</v>
      </c>
      <c r="W264" s="205" t="s">
        <v>352</v>
      </c>
      <c r="X264" s="205"/>
      <c r="Y264" s="205"/>
      <c r="AA264" s="205">
        <v>0.5</v>
      </c>
      <c r="AB264" s="205">
        <v>0.6</v>
      </c>
      <c r="AC264" s="205">
        <v>1</v>
      </c>
      <c r="AD264" s="205">
        <v>1.25</v>
      </c>
      <c r="AE264" s="205">
        <v>1.35</v>
      </c>
      <c r="AF264" s="205">
        <v>1.5</v>
      </c>
      <c r="AG264" s="205">
        <v>3</v>
      </c>
      <c r="AK264" s="205">
        <v>2.0299999999999998</v>
      </c>
      <c r="AL264" s="30">
        <v>1.54</v>
      </c>
      <c r="AM264" s="30">
        <v>7.4999999999999997E-2</v>
      </c>
      <c r="AN264" s="201" t="s">
        <v>349</v>
      </c>
    </row>
    <row r="265" spans="1:44">
      <c r="A265" s="281" t="s">
        <v>764</v>
      </c>
      <c r="B265" t="s">
        <v>557</v>
      </c>
      <c r="C265" s="201" t="s">
        <v>562</v>
      </c>
      <c r="D265">
        <v>20</v>
      </c>
      <c r="E265">
        <v>43</v>
      </c>
      <c r="F265">
        <v>0</v>
      </c>
      <c r="G265">
        <v>975</v>
      </c>
      <c r="H265">
        <v>1</v>
      </c>
      <c r="K265" s="201" t="s">
        <v>295</v>
      </c>
      <c r="L265" s="201" t="s">
        <v>436</v>
      </c>
      <c r="M265" s="205">
        <v>567</v>
      </c>
      <c r="N265" s="205"/>
      <c r="O265" s="205">
        <v>2013</v>
      </c>
      <c r="P265" s="205" t="s">
        <v>349</v>
      </c>
      <c r="Q265" s="205" t="s">
        <v>333</v>
      </c>
      <c r="R265" s="205" t="s">
        <v>178</v>
      </c>
      <c r="S265" s="205" t="s">
        <v>349</v>
      </c>
      <c r="T265" s="205" t="s">
        <v>177</v>
      </c>
      <c r="U265" s="205" t="s">
        <v>340</v>
      </c>
      <c r="V265" s="205" t="s">
        <v>707</v>
      </c>
      <c r="W265" s="205" t="s">
        <v>352</v>
      </c>
      <c r="X265" s="205"/>
      <c r="Y265" s="205"/>
      <c r="AA265" s="205">
        <v>0.5</v>
      </c>
      <c r="AB265" s="205">
        <v>0.6</v>
      </c>
      <c r="AC265" s="205">
        <v>1</v>
      </c>
      <c r="AD265" s="205">
        <v>1.25</v>
      </c>
      <c r="AE265" s="205">
        <v>1.35</v>
      </c>
      <c r="AF265" s="205">
        <v>1.5</v>
      </c>
      <c r="AG265" s="205">
        <v>3</v>
      </c>
      <c r="AH265" s="201"/>
      <c r="AI265" s="201"/>
      <c r="AK265" s="205">
        <v>2.0299999999999998</v>
      </c>
      <c r="AL265" s="212">
        <v>1.54</v>
      </c>
      <c r="AM265" s="211">
        <v>7.4999999999999997E-2</v>
      </c>
      <c r="AN265" s="201" t="s">
        <v>349</v>
      </c>
    </row>
    <row r="266" spans="1:44">
      <c r="A266" s="281" t="s">
        <v>764</v>
      </c>
      <c r="B266" t="s">
        <v>558</v>
      </c>
      <c r="C266" s="201" t="s">
        <v>562</v>
      </c>
      <c r="D266">
        <v>20</v>
      </c>
      <c r="E266">
        <v>70</v>
      </c>
      <c r="F266">
        <v>0</v>
      </c>
      <c r="G266" s="201">
        <v>6180</v>
      </c>
      <c r="H266" s="201">
        <v>0.94</v>
      </c>
      <c r="K266" s="201" t="s">
        <v>295</v>
      </c>
      <c r="L266" s="201" t="s">
        <v>436</v>
      </c>
      <c r="M266" s="205">
        <v>567</v>
      </c>
      <c r="N266" s="205"/>
      <c r="O266" s="205">
        <v>2013</v>
      </c>
      <c r="P266" s="205" t="s">
        <v>349</v>
      </c>
      <c r="Q266" s="205" t="s">
        <v>333</v>
      </c>
      <c r="R266" s="205" t="s">
        <v>178</v>
      </c>
      <c r="S266" s="205" t="s">
        <v>349</v>
      </c>
      <c r="T266" s="205" t="s">
        <v>177</v>
      </c>
      <c r="U266" s="205" t="s">
        <v>340</v>
      </c>
      <c r="V266" s="205" t="s">
        <v>707</v>
      </c>
      <c r="W266" s="205" t="s">
        <v>352</v>
      </c>
      <c r="X266" s="205"/>
      <c r="Y266" s="205"/>
      <c r="AA266" s="205">
        <v>0.5</v>
      </c>
      <c r="AB266" s="205">
        <v>0.6</v>
      </c>
      <c r="AC266" s="205">
        <v>1</v>
      </c>
      <c r="AD266" s="205">
        <v>1.25</v>
      </c>
      <c r="AE266" s="205">
        <v>1.35</v>
      </c>
      <c r="AF266" s="205">
        <v>1.5</v>
      </c>
      <c r="AG266" s="205">
        <v>3</v>
      </c>
      <c r="AH266" s="201"/>
      <c r="AI266" s="201"/>
      <c r="AK266" s="205">
        <v>2.0299999999999998</v>
      </c>
      <c r="AL266" s="212">
        <v>1.54</v>
      </c>
      <c r="AM266" s="211">
        <v>7.4999999999999997E-2</v>
      </c>
      <c r="AN266" s="201" t="s">
        <v>349</v>
      </c>
    </row>
    <row r="267" spans="1:44">
      <c r="A267" s="281" t="s">
        <v>764</v>
      </c>
      <c r="B267" t="s">
        <v>559</v>
      </c>
      <c r="C267" s="201" t="s">
        <v>562</v>
      </c>
      <c r="D267">
        <v>20</v>
      </c>
      <c r="E267">
        <v>43</v>
      </c>
      <c r="F267">
        <v>0</v>
      </c>
      <c r="G267" s="201">
        <v>2440</v>
      </c>
      <c r="H267" s="201">
        <v>1.1100000000000001</v>
      </c>
      <c r="K267" s="201" t="s">
        <v>295</v>
      </c>
      <c r="L267" s="201" t="s">
        <v>436</v>
      </c>
      <c r="M267" s="205">
        <v>567</v>
      </c>
      <c r="N267" s="205"/>
      <c r="O267" s="205">
        <v>2013</v>
      </c>
      <c r="P267" s="205" t="s">
        <v>349</v>
      </c>
      <c r="Q267" s="205" t="s">
        <v>333</v>
      </c>
      <c r="R267" s="205" t="s">
        <v>178</v>
      </c>
      <c r="S267" s="205" t="s">
        <v>349</v>
      </c>
      <c r="T267" s="205" t="s">
        <v>177</v>
      </c>
      <c r="U267" s="205" t="s">
        <v>340</v>
      </c>
      <c r="V267" s="205" t="s">
        <v>707</v>
      </c>
      <c r="W267" s="205" t="s">
        <v>352</v>
      </c>
      <c r="X267" s="205"/>
      <c r="Y267" s="205"/>
      <c r="AA267" s="205">
        <v>0.5</v>
      </c>
      <c r="AB267" s="205">
        <v>0.6</v>
      </c>
      <c r="AC267" s="205">
        <v>1</v>
      </c>
      <c r="AD267" s="205">
        <v>1.25</v>
      </c>
      <c r="AE267" s="205">
        <v>1.35</v>
      </c>
      <c r="AF267" s="205">
        <v>1.5</v>
      </c>
      <c r="AG267" s="205">
        <v>3</v>
      </c>
      <c r="AH267" s="201"/>
      <c r="AI267" s="201"/>
      <c r="AK267" s="205">
        <v>2.0299999999999998</v>
      </c>
      <c r="AL267" s="212">
        <v>1.54</v>
      </c>
      <c r="AM267" s="211">
        <v>7.4999999999999997E-2</v>
      </c>
      <c r="AN267" s="201" t="s">
        <v>349</v>
      </c>
    </row>
    <row r="268" spans="1:44">
      <c r="A268" s="281" t="s">
        <v>764</v>
      </c>
      <c r="B268" t="s">
        <v>560</v>
      </c>
      <c r="C268" t="s">
        <v>563</v>
      </c>
      <c r="D268">
        <v>1</v>
      </c>
      <c r="E268">
        <v>20</v>
      </c>
      <c r="F268">
        <v>0</v>
      </c>
      <c r="G268">
        <v>170100</v>
      </c>
      <c r="H268">
        <v>0.3</v>
      </c>
      <c r="K268" s="201" t="s">
        <v>295</v>
      </c>
      <c r="L268" s="201" t="s">
        <v>436</v>
      </c>
      <c r="M268" s="205">
        <v>567</v>
      </c>
      <c r="N268" s="205"/>
      <c r="O268" s="205">
        <v>2013</v>
      </c>
      <c r="P268" s="205" t="s">
        <v>349</v>
      </c>
      <c r="Q268" s="205" t="s">
        <v>333</v>
      </c>
      <c r="R268" s="205" t="s">
        <v>178</v>
      </c>
      <c r="S268" s="205" t="s">
        <v>349</v>
      </c>
      <c r="T268" s="205" t="s">
        <v>177</v>
      </c>
      <c r="U268" s="205" t="s">
        <v>340</v>
      </c>
      <c r="V268" s="205" t="s">
        <v>707</v>
      </c>
      <c r="W268" s="205" t="s">
        <v>352</v>
      </c>
      <c r="X268" s="205"/>
      <c r="Y268" s="205"/>
      <c r="AA268" s="205">
        <v>0.5</v>
      </c>
      <c r="AB268" s="205">
        <v>0.6</v>
      </c>
      <c r="AC268" s="205">
        <v>1</v>
      </c>
      <c r="AD268" s="205">
        <v>1.25</v>
      </c>
      <c r="AE268" s="205">
        <v>1.35</v>
      </c>
      <c r="AF268" s="205">
        <v>1.5</v>
      </c>
      <c r="AG268" s="205">
        <v>3</v>
      </c>
      <c r="AH268" s="201"/>
      <c r="AI268" s="201"/>
      <c r="AK268" s="205">
        <v>2.0299999999999998</v>
      </c>
      <c r="AL268" s="212">
        <v>1.54</v>
      </c>
      <c r="AM268" s="211">
        <v>7.4999999999999997E-2</v>
      </c>
      <c r="AN268" s="201" t="s">
        <v>349</v>
      </c>
    </row>
    <row r="269" spans="1:44">
      <c r="A269" s="281" t="s">
        <v>764</v>
      </c>
      <c r="B269" t="s">
        <v>561</v>
      </c>
      <c r="C269" s="201" t="s">
        <v>563</v>
      </c>
      <c r="D269">
        <v>2</v>
      </c>
      <c r="E269">
        <v>40</v>
      </c>
      <c r="F269">
        <v>0</v>
      </c>
      <c r="G269">
        <v>68040</v>
      </c>
      <c r="H269">
        <v>0.5</v>
      </c>
      <c r="K269" s="201" t="s">
        <v>295</v>
      </c>
      <c r="L269" s="201" t="s">
        <v>436</v>
      </c>
      <c r="M269" s="205">
        <v>567</v>
      </c>
      <c r="N269" s="205"/>
      <c r="O269" s="205">
        <v>2013</v>
      </c>
      <c r="P269" s="205" t="s">
        <v>349</v>
      </c>
      <c r="Q269" s="205" t="s">
        <v>333</v>
      </c>
      <c r="R269" s="205" t="s">
        <v>178</v>
      </c>
      <c r="S269" s="205" t="s">
        <v>349</v>
      </c>
      <c r="T269" s="205" t="s">
        <v>177</v>
      </c>
      <c r="U269" s="205" t="s">
        <v>340</v>
      </c>
      <c r="V269" s="205" t="s">
        <v>707</v>
      </c>
      <c r="W269" s="205" t="s">
        <v>352</v>
      </c>
      <c r="X269" s="205"/>
      <c r="Y269" s="205"/>
      <c r="AA269" s="205">
        <v>0.5</v>
      </c>
      <c r="AB269" s="205">
        <v>0.6</v>
      </c>
      <c r="AC269" s="205">
        <v>1</v>
      </c>
      <c r="AD269" s="205">
        <v>1.25</v>
      </c>
      <c r="AE269" s="205">
        <v>1.35</v>
      </c>
      <c r="AF269" s="205">
        <v>1.5</v>
      </c>
      <c r="AG269" s="205">
        <v>3</v>
      </c>
      <c r="AH269" s="201"/>
      <c r="AI269" s="201"/>
      <c r="AK269" s="205">
        <v>2.0299999999999998</v>
      </c>
      <c r="AL269" s="212">
        <v>1.54</v>
      </c>
      <c r="AM269" s="211">
        <v>7.4999999999999997E-2</v>
      </c>
      <c r="AN269" s="201" t="s">
        <v>349</v>
      </c>
    </row>
    <row r="270" spans="1:44">
      <c r="Q270" s="205"/>
      <c r="R270" s="205"/>
      <c r="S270" s="205"/>
      <c r="T270" s="205"/>
      <c r="U270" s="205"/>
      <c r="V270" s="205"/>
      <c r="W270" s="205"/>
      <c r="X270" s="205"/>
      <c r="Y270" s="205"/>
      <c r="AA270" s="205"/>
      <c r="AB270" s="205"/>
      <c r="AC270" s="205"/>
      <c r="AD270" s="205"/>
      <c r="AE270" s="205"/>
      <c r="AF270" s="205"/>
      <c r="AG270" s="205"/>
    </row>
    <row r="271" spans="1:44" s="29" customFormat="1">
      <c r="B271" s="29" t="s">
        <v>742</v>
      </c>
      <c r="I271" s="204"/>
      <c r="J271" s="204"/>
      <c r="R271" s="30"/>
      <c r="S271" s="30"/>
      <c r="T271" s="30"/>
      <c r="U271" s="30"/>
      <c r="V271" s="30"/>
      <c r="W271" s="30"/>
      <c r="X271" s="30"/>
      <c r="Y271" s="30"/>
      <c r="Z271" s="205"/>
      <c r="AA271" s="30"/>
      <c r="AB271" s="30"/>
      <c r="AC271" s="30"/>
      <c r="AD271" s="30"/>
      <c r="AE271" s="30"/>
      <c r="AF271" s="30"/>
      <c r="AG271" s="30"/>
      <c r="AH271" s="30"/>
      <c r="AI271" s="30"/>
      <c r="AJ271" s="205"/>
      <c r="AL271" s="30"/>
      <c r="AM271" s="30"/>
      <c r="AR271" s="214"/>
    </row>
    <row r="272" spans="1:44" s="29" customFormat="1">
      <c r="A272" s="281" t="s">
        <v>742</v>
      </c>
      <c r="B272" s="29" t="s">
        <v>785</v>
      </c>
      <c r="C272" s="29" t="s">
        <v>302</v>
      </c>
      <c r="D272" s="29">
        <v>0.5</v>
      </c>
      <c r="E272" s="29">
        <v>15</v>
      </c>
      <c r="F272" s="29">
        <v>0</v>
      </c>
      <c r="G272" s="29">
        <v>29380.891365988631</v>
      </c>
      <c r="H272" s="29">
        <v>0.5525481665568498</v>
      </c>
      <c r="I272" s="204"/>
      <c r="J272" s="204"/>
      <c r="K272" s="29" t="s">
        <v>295</v>
      </c>
      <c r="L272" s="29" t="s">
        <v>462</v>
      </c>
      <c r="M272" s="29">
        <v>400</v>
      </c>
      <c r="O272" s="29">
        <v>2004</v>
      </c>
      <c r="Q272" s="29" t="s">
        <v>333</v>
      </c>
      <c r="R272" s="30" t="s">
        <v>348</v>
      </c>
      <c r="S272" s="30" t="s">
        <v>349</v>
      </c>
      <c r="T272" s="30"/>
      <c r="U272" s="30"/>
      <c r="V272" s="30"/>
      <c r="W272" s="30"/>
      <c r="X272" s="30"/>
      <c r="Y272" s="30"/>
      <c r="Z272" s="205"/>
      <c r="AA272" s="30">
        <v>1</v>
      </c>
      <c r="AB272" s="30">
        <v>1.25</v>
      </c>
      <c r="AC272" s="30">
        <v>1.5</v>
      </c>
      <c r="AD272" s="30"/>
      <c r="AE272" s="30"/>
      <c r="AF272" s="30"/>
      <c r="AG272" s="30"/>
      <c r="AH272" s="30"/>
      <c r="AI272" s="30"/>
      <c r="AJ272" s="205"/>
      <c r="AK272" s="29">
        <v>2.4</v>
      </c>
      <c r="AL272" s="30">
        <v>1.69</v>
      </c>
      <c r="AM272" s="211">
        <v>0.2</v>
      </c>
      <c r="AR272" s="214"/>
    </row>
    <row r="273" spans="1:44" s="29" customFormat="1">
      <c r="A273" s="281" t="s">
        <v>742</v>
      </c>
      <c r="B273" s="29" t="s">
        <v>786</v>
      </c>
      <c r="C273" s="29" t="s">
        <v>302</v>
      </c>
      <c r="D273" s="29">
        <v>1</v>
      </c>
      <c r="E273" s="29">
        <v>100</v>
      </c>
      <c r="F273" s="29">
        <v>0</v>
      </c>
      <c r="G273" s="29">
        <v>30000.000000000062</v>
      </c>
      <c r="H273" s="29">
        <v>0.44230329064896523</v>
      </c>
      <c r="I273" s="204"/>
      <c r="J273" s="204"/>
      <c r="K273" s="29" t="s">
        <v>295</v>
      </c>
      <c r="L273" s="200" t="s">
        <v>462</v>
      </c>
      <c r="M273" s="29">
        <v>400</v>
      </c>
      <c r="O273" s="29">
        <v>2004</v>
      </c>
      <c r="Q273" s="30" t="s">
        <v>333</v>
      </c>
      <c r="R273" s="30" t="s">
        <v>348</v>
      </c>
      <c r="S273" s="30" t="s">
        <v>349</v>
      </c>
      <c r="T273" s="30"/>
      <c r="U273" s="30"/>
      <c r="V273" s="30"/>
      <c r="W273" s="30"/>
      <c r="X273" s="30"/>
      <c r="Y273" s="30"/>
      <c r="Z273" s="205"/>
      <c r="AA273" s="30">
        <v>1</v>
      </c>
      <c r="AB273" s="30">
        <v>1.25</v>
      </c>
      <c r="AC273" s="30">
        <v>1.5</v>
      </c>
      <c r="AD273" s="30"/>
      <c r="AE273" s="30"/>
      <c r="AF273" s="30"/>
      <c r="AG273" s="30"/>
      <c r="AH273" s="30"/>
      <c r="AI273" s="30"/>
      <c r="AJ273" s="205"/>
      <c r="AK273" s="29">
        <v>2.4</v>
      </c>
      <c r="AL273" s="30">
        <v>1.69</v>
      </c>
      <c r="AM273" s="30">
        <v>0.1</v>
      </c>
      <c r="AR273" s="214"/>
    </row>
    <row r="274" spans="1:44" s="29" customFormat="1">
      <c r="A274" s="281" t="s">
        <v>742</v>
      </c>
      <c r="B274" s="29" t="s">
        <v>228</v>
      </c>
      <c r="C274" s="29" t="s">
        <v>229</v>
      </c>
      <c r="D274" s="29">
        <v>0.26</v>
      </c>
      <c r="E274" s="29">
        <v>0.49</v>
      </c>
      <c r="F274" s="29">
        <v>57000</v>
      </c>
      <c r="G274" s="29">
        <v>480000</v>
      </c>
      <c r="H274" s="29">
        <v>0.7</v>
      </c>
      <c r="I274" s="204"/>
      <c r="J274" s="204"/>
      <c r="K274" s="29" t="s">
        <v>295</v>
      </c>
      <c r="L274" s="197" t="s">
        <v>437</v>
      </c>
      <c r="M274" s="29">
        <v>532.9</v>
      </c>
      <c r="N274" s="29">
        <v>2281.6</v>
      </c>
      <c r="O274" s="29">
        <v>2010</v>
      </c>
      <c r="Q274" s="31" t="s">
        <v>333</v>
      </c>
      <c r="R274" s="31" t="s">
        <v>334</v>
      </c>
      <c r="S274" s="31" t="s">
        <v>335</v>
      </c>
      <c r="T274" s="31" t="s">
        <v>336</v>
      </c>
      <c r="U274" s="31" t="s">
        <v>337</v>
      </c>
      <c r="V274" s="31" t="s">
        <v>338</v>
      </c>
      <c r="W274" s="31" t="s">
        <v>339</v>
      </c>
      <c r="X274" s="31" t="s">
        <v>340</v>
      </c>
      <c r="Y274" s="31" t="s">
        <v>341</v>
      </c>
      <c r="Z274" s="31"/>
      <c r="AA274" s="31">
        <v>1</v>
      </c>
      <c r="AB274" s="31">
        <v>1.07</v>
      </c>
      <c r="AC274" s="31">
        <v>1.1000000000000001</v>
      </c>
      <c r="AD274" s="31">
        <v>1.3</v>
      </c>
      <c r="AE274" s="31">
        <v>1.3</v>
      </c>
      <c r="AF274" s="31">
        <v>1.5</v>
      </c>
      <c r="AG274" s="31">
        <v>1.55</v>
      </c>
      <c r="AH274" s="31">
        <v>1.65</v>
      </c>
      <c r="AI274" s="31">
        <v>1.7</v>
      </c>
      <c r="AJ274" s="31"/>
      <c r="AK274" s="31">
        <v>2.0299999999999998</v>
      </c>
      <c r="AL274" s="31">
        <v>1.54</v>
      </c>
      <c r="AM274" s="211">
        <v>7.4999999999999997E-2</v>
      </c>
      <c r="AR274" s="214"/>
    </row>
    <row r="275" spans="1:44" s="29" customFormat="1">
      <c r="A275" s="281" t="s">
        <v>742</v>
      </c>
      <c r="B275" s="29" t="s">
        <v>230</v>
      </c>
      <c r="C275" s="29" t="s">
        <v>231</v>
      </c>
      <c r="D275" s="29">
        <v>2</v>
      </c>
      <c r="E275" s="29">
        <v>20</v>
      </c>
      <c r="F275" s="29">
        <v>65000</v>
      </c>
      <c r="G275" s="29">
        <v>750</v>
      </c>
      <c r="H275" s="29">
        <v>1.5</v>
      </c>
      <c r="I275" s="204"/>
      <c r="J275" s="204"/>
      <c r="K275" s="29" t="s">
        <v>295</v>
      </c>
      <c r="L275" s="197" t="s">
        <v>437</v>
      </c>
      <c r="M275" s="29">
        <v>532.9</v>
      </c>
      <c r="N275" s="29">
        <v>2281.6</v>
      </c>
      <c r="O275" s="29">
        <v>2010</v>
      </c>
      <c r="Q275" s="31" t="s">
        <v>333</v>
      </c>
      <c r="R275" s="31" t="s">
        <v>334</v>
      </c>
      <c r="S275" s="31" t="s">
        <v>335</v>
      </c>
      <c r="T275" s="31" t="s">
        <v>336</v>
      </c>
      <c r="U275" s="31" t="s">
        <v>337</v>
      </c>
      <c r="V275" s="31" t="s">
        <v>338</v>
      </c>
      <c r="W275" s="31" t="s">
        <v>339</v>
      </c>
      <c r="X275" s="31" t="s">
        <v>340</v>
      </c>
      <c r="Y275" s="31" t="s">
        <v>341</v>
      </c>
      <c r="Z275" s="31"/>
      <c r="AA275" s="31">
        <v>1</v>
      </c>
      <c r="AB275" s="31">
        <v>1.07</v>
      </c>
      <c r="AC275" s="31">
        <v>1.1000000000000001</v>
      </c>
      <c r="AD275" s="31">
        <v>1.3</v>
      </c>
      <c r="AE275" s="31">
        <v>1.3</v>
      </c>
      <c r="AF275" s="31">
        <v>1.5</v>
      </c>
      <c r="AG275" s="31">
        <v>1.55</v>
      </c>
      <c r="AH275" s="31">
        <v>1.65</v>
      </c>
      <c r="AI275" s="31">
        <v>1.7</v>
      </c>
      <c r="AJ275" s="31"/>
      <c r="AK275" s="31">
        <v>2.0299999999999998</v>
      </c>
      <c r="AL275" s="31">
        <v>1.54</v>
      </c>
      <c r="AM275" s="211">
        <v>7.4999999999999997E-2</v>
      </c>
      <c r="AR275" s="214"/>
    </row>
    <row r="276" spans="1:44" s="29" customFormat="1">
      <c r="A276" s="281" t="s">
        <v>742</v>
      </c>
      <c r="B276" s="29" t="s">
        <v>762</v>
      </c>
      <c r="C276" s="29" t="s">
        <v>254</v>
      </c>
      <c r="D276" s="29">
        <v>0.4</v>
      </c>
      <c r="E276" s="29">
        <v>1.4</v>
      </c>
      <c r="F276" s="29">
        <v>128000</v>
      </c>
      <c r="G276" s="29">
        <v>89000</v>
      </c>
      <c r="H276" s="29">
        <v>0.5</v>
      </c>
      <c r="I276" s="204"/>
      <c r="J276" s="204"/>
      <c r="K276" s="29" t="s">
        <v>295</v>
      </c>
      <c r="L276" s="197" t="s">
        <v>437</v>
      </c>
      <c r="M276" s="29">
        <v>532.9</v>
      </c>
      <c r="N276" s="29">
        <v>2281.6</v>
      </c>
      <c r="O276" s="29">
        <v>2010</v>
      </c>
      <c r="Q276" s="31" t="s">
        <v>333</v>
      </c>
      <c r="R276" s="31" t="s">
        <v>334</v>
      </c>
      <c r="S276" s="31" t="s">
        <v>335</v>
      </c>
      <c r="T276" s="31" t="s">
        <v>336</v>
      </c>
      <c r="U276" s="31" t="s">
        <v>337</v>
      </c>
      <c r="V276" s="31" t="s">
        <v>338</v>
      </c>
      <c r="W276" s="31" t="s">
        <v>339</v>
      </c>
      <c r="X276" s="31" t="s">
        <v>340</v>
      </c>
      <c r="Y276" s="31" t="s">
        <v>341</v>
      </c>
      <c r="Z276" s="31"/>
      <c r="AA276" s="31">
        <v>1</v>
      </c>
      <c r="AB276" s="31">
        <v>1.07</v>
      </c>
      <c r="AC276" s="31">
        <v>1.1000000000000001</v>
      </c>
      <c r="AD276" s="31">
        <v>1.3</v>
      </c>
      <c r="AE276" s="31">
        <v>1.3</v>
      </c>
      <c r="AF276" s="31">
        <v>1.5</v>
      </c>
      <c r="AG276" s="31">
        <v>1.55</v>
      </c>
      <c r="AH276" s="31">
        <v>1.65</v>
      </c>
      <c r="AI276" s="31">
        <v>1.7</v>
      </c>
      <c r="AJ276" s="31"/>
      <c r="AK276" s="31">
        <v>2.3199999999999998</v>
      </c>
      <c r="AL276" s="31">
        <v>1.69</v>
      </c>
      <c r="AM276" s="31">
        <v>0.6</v>
      </c>
      <c r="AR276" s="214"/>
    </row>
    <row r="277" spans="1:44" s="29" customFormat="1">
      <c r="A277" s="281" t="s">
        <v>742</v>
      </c>
      <c r="B277" s="29" t="s">
        <v>784</v>
      </c>
      <c r="C277" s="29" t="s">
        <v>249</v>
      </c>
      <c r="D277" s="29">
        <v>10</v>
      </c>
      <c r="E277" s="29">
        <v>180</v>
      </c>
      <c r="F277" s="29">
        <v>-73000</v>
      </c>
      <c r="G277" s="29">
        <v>93000</v>
      </c>
      <c r="H277" s="29">
        <v>0.3</v>
      </c>
      <c r="I277" s="204"/>
      <c r="J277" s="204"/>
      <c r="K277" s="29" t="s">
        <v>295</v>
      </c>
      <c r="L277" s="197" t="s">
        <v>437</v>
      </c>
      <c r="M277" s="29">
        <v>532.9</v>
      </c>
      <c r="N277" s="29">
        <v>2281.6</v>
      </c>
      <c r="O277" s="29">
        <v>2010</v>
      </c>
      <c r="Q277" s="31" t="s">
        <v>333</v>
      </c>
      <c r="R277" s="31" t="s">
        <v>334</v>
      </c>
      <c r="S277" s="31" t="s">
        <v>335</v>
      </c>
      <c r="T277" s="31" t="s">
        <v>336</v>
      </c>
      <c r="U277" s="31" t="s">
        <v>337</v>
      </c>
      <c r="V277" s="31" t="s">
        <v>338</v>
      </c>
      <c r="W277" s="31" t="s">
        <v>339</v>
      </c>
      <c r="X277" s="31" t="s">
        <v>340</v>
      </c>
      <c r="Y277" s="31" t="s">
        <v>341</v>
      </c>
      <c r="Z277" s="31"/>
      <c r="AA277" s="31">
        <v>1</v>
      </c>
      <c r="AB277" s="31">
        <v>1.07</v>
      </c>
      <c r="AC277" s="31">
        <v>1.1000000000000001</v>
      </c>
      <c r="AD277" s="31">
        <v>1.3</v>
      </c>
      <c r="AE277" s="31">
        <v>1.3</v>
      </c>
      <c r="AF277" s="31">
        <v>1.5</v>
      </c>
      <c r="AG277" s="31">
        <v>1.55</v>
      </c>
      <c r="AH277" s="31">
        <v>1.65</v>
      </c>
      <c r="AI277" s="31">
        <v>1.7</v>
      </c>
      <c r="AJ277" s="31"/>
      <c r="AK277" s="31">
        <v>2.3199999999999998</v>
      </c>
      <c r="AL277" s="31">
        <v>1.69</v>
      </c>
      <c r="AM277" s="211">
        <v>0.2</v>
      </c>
      <c r="AR277" s="214"/>
    </row>
    <row r="278" spans="1:44" s="29" customFormat="1">
      <c r="I278" s="204"/>
      <c r="J278" s="204"/>
      <c r="R278" s="30"/>
      <c r="S278" s="30"/>
      <c r="T278" s="30"/>
      <c r="U278" s="30"/>
      <c r="V278" s="30"/>
      <c r="W278" s="30"/>
      <c r="X278" s="30"/>
      <c r="Y278" s="30"/>
      <c r="Z278" s="205"/>
      <c r="AA278" s="30"/>
      <c r="AB278" s="30"/>
      <c r="AC278" s="30"/>
      <c r="AD278" s="30"/>
      <c r="AE278" s="30"/>
      <c r="AF278" s="30"/>
      <c r="AG278" s="30"/>
      <c r="AH278" s="30"/>
      <c r="AI278" s="30"/>
      <c r="AJ278" s="205"/>
      <c r="AL278" s="30"/>
      <c r="AM278" s="211"/>
      <c r="AR278" s="214"/>
    </row>
    <row r="279" spans="1:44">
      <c r="B279" t="s">
        <v>743</v>
      </c>
    </row>
    <row r="280" spans="1:44">
      <c r="A280" t="s">
        <v>743</v>
      </c>
      <c r="B280" t="s">
        <v>568</v>
      </c>
      <c r="C280" t="s">
        <v>456</v>
      </c>
      <c r="D280">
        <v>10</v>
      </c>
      <c r="E280">
        <v>100000</v>
      </c>
      <c r="F280">
        <v>0</v>
      </c>
      <c r="G280">
        <v>646</v>
      </c>
      <c r="H280">
        <v>0.46</v>
      </c>
      <c r="K280" s="201" t="s">
        <v>295</v>
      </c>
      <c r="L280" s="201" t="s">
        <v>436</v>
      </c>
      <c r="M280" s="205">
        <v>567</v>
      </c>
      <c r="N280" s="205"/>
      <c r="O280" s="205">
        <v>2013</v>
      </c>
      <c r="Q280" s="205" t="s">
        <v>333</v>
      </c>
      <c r="R280" s="205" t="s">
        <v>178</v>
      </c>
      <c r="S280" s="205" t="s">
        <v>349</v>
      </c>
      <c r="T280" s="205" t="s">
        <v>177</v>
      </c>
      <c r="U280" s="205" t="s">
        <v>340</v>
      </c>
      <c r="V280" s="205" t="s">
        <v>707</v>
      </c>
      <c r="W280" s="205" t="s">
        <v>352</v>
      </c>
      <c r="X280" s="205"/>
      <c r="Y280" s="205"/>
      <c r="AA280" s="205">
        <v>1</v>
      </c>
      <c r="AB280" s="205">
        <v>1.2</v>
      </c>
      <c r="AC280" s="205">
        <v>2</v>
      </c>
      <c r="AD280" s="205">
        <v>2.5</v>
      </c>
      <c r="AE280" s="205">
        <v>2.7</v>
      </c>
      <c r="AF280" s="205">
        <v>3</v>
      </c>
      <c r="AG280" s="205">
        <v>6</v>
      </c>
      <c r="AK280" s="29" t="s">
        <v>160</v>
      </c>
      <c r="AL280" s="31">
        <v>1</v>
      </c>
      <c r="AM280" s="30">
        <v>0</v>
      </c>
      <c r="AN280" t="s">
        <v>573</v>
      </c>
    </row>
    <row r="281" spans="1:44">
      <c r="A281" s="281" t="s">
        <v>743</v>
      </c>
      <c r="B281" t="s">
        <v>569</v>
      </c>
      <c r="C281" t="s">
        <v>572</v>
      </c>
      <c r="D281">
        <v>120</v>
      </c>
      <c r="E281">
        <v>500</v>
      </c>
      <c r="F281">
        <v>0</v>
      </c>
      <c r="G281">
        <v>813</v>
      </c>
      <c r="H281">
        <v>0.38</v>
      </c>
      <c r="K281" s="201" t="s">
        <v>295</v>
      </c>
      <c r="L281" s="201" t="s">
        <v>436</v>
      </c>
      <c r="M281" s="205">
        <v>567</v>
      </c>
      <c r="N281" s="205"/>
      <c r="O281" s="205">
        <v>2013</v>
      </c>
      <c r="Q281" s="205" t="s">
        <v>333</v>
      </c>
      <c r="R281" s="205" t="s">
        <v>178</v>
      </c>
      <c r="S281" s="205" t="s">
        <v>349</v>
      </c>
      <c r="T281" s="205" t="s">
        <v>177</v>
      </c>
      <c r="U281" s="205" t="s">
        <v>340</v>
      </c>
      <c r="V281" s="205" t="s">
        <v>707</v>
      </c>
      <c r="W281" s="205" t="s">
        <v>352</v>
      </c>
      <c r="X281" s="205"/>
      <c r="Y281" s="205"/>
      <c r="AA281" s="205">
        <v>1</v>
      </c>
      <c r="AB281" s="205">
        <v>1.2</v>
      </c>
      <c r="AC281" s="205">
        <v>2</v>
      </c>
      <c r="AD281" s="205">
        <v>2.5</v>
      </c>
      <c r="AE281" s="205">
        <v>2.7</v>
      </c>
      <c r="AF281" s="205">
        <v>3</v>
      </c>
      <c r="AG281" s="205">
        <v>6</v>
      </c>
      <c r="AK281" s="205">
        <v>1.74</v>
      </c>
      <c r="AL281" s="31">
        <v>1.72</v>
      </c>
      <c r="AM281" s="30">
        <v>0.1</v>
      </c>
      <c r="AN281" t="s">
        <v>574</v>
      </c>
    </row>
    <row r="282" spans="1:44">
      <c r="A282" s="281" t="s">
        <v>743</v>
      </c>
      <c r="B282" t="s">
        <v>570</v>
      </c>
      <c r="C282" s="201" t="s">
        <v>572</v>
      </c>
      <c r="D282">
        <v>400</v>
      </c>
      <c r="E282">
        <v>10000</v>
      </c>
      <c r="F282">
        <v>0</v>
      </c>
      <c r="G282" s="201">
        <v>1094</v>
      </c>
      <c r="H282" s="201">
        <v>0.22</v>
      </c>
      <c r="K282" s="201" t="s">
        <v>295</v>
      </c>
      <c r="L282" s="201" t="s">
        <v>436</v>
      </c>
      <c r="M282" s="205">
        <v>567</v>
      </c>
      <c r="N282" s="205"/>
      <c r="O282" s="205">
        <v>2013</v>
      </c>
      <c r="Q282" s="205" t="s">
        <v>333</v>
      </c>
      <c r="R282" s="205" t="s">
        <v>178</v>
      </c>
      <c r="S282" s="205" t="s">
        <v>349</v>
      </c>
      <c r="T282" s="205" t="s">
        <v>177</v>
      </c>
      <c r="U282" s="205" t="s">
        <v>340</v>
      </c>
      <c r="V282" s="205" t="s">
        <v>707</v>
      </c>
      <c r="W282" s="205" t="s">
        <v>352</v>
      </c>
      <c r="X282" s="205"/>
      <c r="Y282" s="205"/>
      <c r="AA282" s="205">
        <v>1</v>
      </c>
      <c r="AB282" s="205">
        <v>1.2</v>
      </c>
      <c r="AC282" s="205">
        <v>2</v>
      </c>
      <c r="AD282" s="205">
        <v>2.5</v>
      </c>
      <c r="AE282" s="205">
        <v>2.7</v>
      </c>
      <c r="AF282" s="205">
        <v>3</v>
      </c>
      <c r="AG282" s="205">
        <v>6</v>
      </c>
      <c r="AK282" s="205">
        <v>1.74</v>
      </c>
      <c r="AL282" s="31">
        <v>1.72</v>
      </c>
      <c r="AM282" s="30">
        <v>0.1</v>
      </c>
      <c r="AN282" s="201" t="s">
        <v>574</v>
      </c>
    </row>
    <row r="283" spans="1:44">
      <c r="A283" s="281" t="s">
        <v>743</v>
      </c>
      <c r="B283" t="s">
        <v>571</v>
      </c>
      <c r="C283" s="201" t="s">
        <v>572</v>
      </c>
      <c r="D283">
        <v>40</v>
      </c>
      <c r="E283">
        <v>900</v>
      </c>
      <c r="F283">
        <v>0</v>
      </c>
      <c r="G283">
        <v>46.6</v>
      </c>
      <c r="H283">
        <v>0.9</v>
      </c>
      <c r="K283" s="201" t="s">
        <v>295</v>
      </c>
      <c r="L283" s="201" t="s">
        <v>436</v>
      </c>
      <c r="M283" s="205">
        <v>567</v>
      </c>
      <c r="N283" s="205"/>
      <c r="O283" s="205">
        <v>2013</v>
      </c>
      <c r="Q283" s="205" t="s">
        <v>333</v>
      </c>
      <c r="R283" s="205" t="s">
        <v>178</v>
      </c>
      <c r="S283" s="205" t="s">
        <v>349</v>
      </c>
      <c r="T283" s="205" t="s">
        <v>177</v>
      </c>
      <c r="U283" s="205" t="s">
        <v>340</v>
      </c>
      <c r="V283" s="205" t="s">
        <v>707</v>
      </c>
      <c r="W283" s="205" t="s">
        <v>352</v>
      </c>
      <c r="X283" s="205"/>
      <c r="Y283" s="205"/>
      <c r="AA283" s="205">
        <v>1</v>
      </c>
      <c r="AB283" s="205">
        <v>1.2</v>
      </c>
      <c r="AC283" s="205">
        <v>2</v>
      </c>
      <c r="AD283" s="205">
        <v>2.5</v>
      </c>
      <c r="AE283" s="205">
        <v>2.7</v>
      </c>
      <c r="AF283" s="205">
        <v>3</v>
      </c>
      <c r="AG283" s="205">
        <v>6</v>
      </c>
      <c r="AK283" s="205">
        <v>1.74</v>
      </c>
      <c r="AL283" s="31">
        <v>1.72</v>
      </c>
      <c r="AM283" s="30">
        <v>0.1</v>
      </c>
      <c r="AN283" t="s">
        <v>575</v>
      </c>
    </row>
    <row r="284" spans="1:44">
      <c r="A284" s="281" t="s">
        <v>743</v>
      </c>
      <c r="B284" t="s">
        <v>647</v>
      </c>
      <c r="C284" t="s">
        <v>643</v>
      </c>
      <c r="D284" s="205">
        <v>70</v>
      </c>
      <c r="E284" s="205">
        <v>18000</v>
      </c>
      <c r="F284">
        <v>0</v>
      </c>
      <c r="G284" s="205">
        <v>24.4</v>
      </c>
      <c r="H284" s="205">
        <v>1</v>
      </c>
      <c r="K284" s="205" t="s">
        <v>295</v>
      </c>
      <c r="L284" s="201" t="s">
        <v>436</v>
      </c>
      <c r="M284" s="205">
        <v>567</v>
      </c>
      <c r="N284" s="205"/>
      <c r="O284" s="205">
        <v>2013</v>
      </c>
      <c r="Q284" s="205" t="s">
        <v>333</v>
      </c>
      <c r="R284" s="205" t="s">
        <v>178</v>
      </c>
      <c r="S284" s="205" t="s">
        <v>349</v>
      </c>
      <c r="T284" s="205" t="s">
        <v>177</v>
      </c>
      <c r="U284" s="205" t="s">
        <v>340</v>
      </c>
      <c r="V284" s="205" t="s">
        <v>707</v>
      </c>
      <c r="W284" s="205" t="s">
        <v>352</v>
      </c>
      <c r="X284" s="205"/>
      <c r="Y284" s="205"/>
      <c r="AA284" s="205">
        <v>1</v>
      </c>
      <c r="AB284" s="205">
        <v>1.2</v>
      </c>
      <c r="AC284" s="205">
        <v>2</v>
      </c>
      <c r="AD284" s="205">
        <v>2.5</v>
      </c>
      <c r="AE284" s="205">
        <v>2.7</v>
      </c>
      <c r="AF284" s="205">
        <v>3</v>
      </c>
      <c r="AG284" s="205">
        <v>6</v>
      </c>
      <c r="AK284" s="205">
        <v>1.61</v>
      </c>
      <c r="AL284" s="31">
        <v>1.72</v>
      </c>
      <c r="AM284" s="30">
        <v>0.1</v>
      </c>
      <c r="AN284" t="s">
        <v>719</v>
      </c>
    </row>
    <row r="285" spans="1:44">
      <c r="A285" s="281" t="s">
        <v>743</v>
      </c>
      <c r="B285" t="s">
        <v>648</v>
      </c>
      <c r="C285" t="s">
        <v>646</v>
      </c>
      <c r="D285" s="208">
        <v>15.507562955910631</v>
      </c>
      <c r="E285" s="208">
        <v>578.8040162167373</v>
      </c>
      <c r="F285" s="205">
        <v>0</v>
      </c>
      <c r="G285" s="205">
        <v>80</v>
      </c>
      <c r="H285" s="205">
        <v>1</v>
      </c>
      <c r="I285" s="205"/>
      <c r="J285" s="205"/>
      <c r="K285" s="205" t="s">
        <v>295</v>
      </c>
      <c r="L285" s="201" t="s">
        <v>436</v>
      </c>
      <c r="M285" s="205">
        <v>567</v>
      </c>
      <c r="N285" s="205"/>
      <c r="O285" s="205">
        <v>2013</v>
      </c>
      <c r="P285" s="205"/>
      <c r="Q285" s="205" t="s">
        <v>333</v>
      </c>
      <c r="R285" s="205" t="s">
        <v>178</v>
      </c>
      <c r="S285" s="205" t="s">
        <v>349</v>
      </c>
      <c r="T285" s="205" t="s">
        <v>177</v>
      </c>
      <c r="U285" s="205" t="s">
        <v>340</v>
      </c>
      <c r="V285" s="205" t="s">
        <v>707</v>
      </c>
      <c r="W285" s="205" t="s">
        <v>352</v>
      </c>
      <c r="X285" s="205"/>
      <c r="Y285" s="205"/>
      <c r="AA285" s="205">
        <v>1</v>
      </c>
      <c r="AB285" s="205">
        <v>1.2</v>
      </c>
      <c r="AC285" s="205">
        <v>2</v>
      </c>
      <c r="AD285" s="205">
        <v>2.5</v>
      </c>
      <c r="AE285" s="205">
        <v>2.7</v>
      </c>
      <c r="AF285" s="205">
        <v>3</v>
      </c>
      <c r="AG285" s="205">
        <v>6</v>
      </c>
      <c r="AK285" s="205">
        <v>1.61</v>
      </c>
      <c r="AL285" s="31">
        <v>1.72</v>
      </c>
      <c r="AM285" s="30">
        <v>0.1</v>
      </c>
      <c r="AN285" t="s">
        <v>720</v>
      </c>
    </row>
    <row r="286" spans="1:44">
      <c r="A286" s="281" t="s">
        <v>743</v>
      </c>
      <c r="B286" t="s">
        <v>649</v>
      </c>
      <c r="C286" s="201" t="s">
        <v>645</v>
      </c>
      <c r="D286" s="208">
        <v>139.89734507168316</v>
      </c>
      <c r="E286" s="208">
        <v>40579.108422318401</v>
      </c>
      <c r="F286" s="205">
        <v>0</v>
      </c>
      <c r="G286" s="205">
        <v>92.5</v>
      </c>
      <c r="H286" s="205">
        <v>0.56999999999999995</v>
      </c>
      <c r="I286" s="205"/>
      <c r="J286" s="205"/>
      <c r="K286" s="205" t="s">
        <v>295</v>
      </c>
      <c r="L286" s="201" t="s">
        <v>436</v>
      </c>
      <c r="M286" s="205">
        <v>567</v>
      </c>
      <c r="N286" s="205"/>
      <c r="O286" s="205">
        <v>2013</v>
      </c>
      <c r="P286" s="205"/>
      <c r="Q286" s="205" t="s">
        <v>333</v>
      </c>
      <c r="R286" s="205" t="s">
        <v>178</v>
      </c>
      <c r="S286" s="205" t="s">
        <v>349</v>
      </c>
      <c r="T286" s="205" t="s">
        <v>177</v>
      </c>
      <c r="U286" s="205" t="s">
        <v>340</v>
      </c>
      <c r="V286" s="205" t="s">
        <v>707</v>
      </c>
      <c r="W286" s="205" t="s">
        <v>352</v>
      </c>
      <c r="X286" s="205"/>
      <c r="Y286" s="205"/>
      <c r="AA286" s="205">
        <v>1</v>
      </c>
      <c r="AB286" s="205">
        <v>1.2</v>
      </c>
      <c r="AC286" s="205">
        <v>2</v>
      </c>
      <c r="AD286" s="205">
        <v>2.5</v>
      </c>
      <c r="AE286" s="205">
        <v>2.7</v>
      </c>
      <c r="AF286" s="205">
        <v>3</v>
      </c>
      <c r="AG286" s="205">
        <v>6</v>
      </c>
      <c r="AK286" s="205">
        <v>1.61</v>
      </c>
      <c r="AL286" s="31">
        <v>1.72</v>
      </c>
      <c r="AM286" s="30">
        <v>0.1</v>
      </c>
      <c r="AN286" t="s">
        <v>576</v>
      </c>
    </row>
    <row r="287" spans="1:44">
      <c r="A287" s="281" t="s">
        <v>743</v>
      </c>
      <c r="B287" t="s">
        <v>650</v>
      </c>
      <c r="C287" t="s">
        <v>644</v>
      </c>
      <c r="D287" s="208">
        <v>131.49077518655685</v>
      </c>
      <c r="E287" s="208">
        <v>6050.2599002652823</v>
      </c>
      <c r="F287" s="205">
        <v>0</v>
      </c>
      <c r="G287" s="205">
        <v>692</v>
      </c>
      <c r="H287" s="205">
        <v>0.5</v>
      </c>
      <c r="I287" s="205"/>
      <c r="J287" s="205"/>
      <c r="K287" s="205" t="s">
        <v>295</v>
      </c>
      <c r="L287" s="201" t="s">
        <v>436</v>
      </c>
      <c r="M287" s="205">
        <v>567</v>
      </c>
      <c r="N287" s="205"/>
      <c r="O287" s="205">
        <v>2013</v>
      </c>
      <c r="P287" s="205"/>
      <c r="Q287" s="205" t="s">
        <v>333</v>
      </c>
      <c r="R287" s="205" t="s">
        <v>178</v>
      </c>
      <c r="S287" s="205" t="s">
        <v>349</v>
      </c>
      <c r="T287" s="205" t="s">
        <v>177</v>
      </c>
      <c r="U287" s="205" t="s">
        <v>340</v>
      </c>
      <c r="V287" s="205" t="s">
        <v>707</v>
      </c>
      <c r="W287" s="205" t="s">
        <v>352</v>
      </c>
      <c r="X287" s="205"/>
      <c r="Y287" s="205"/>
      <c r="AA287" s="205">
        <v>1</v>
      </c>
      <c r="AB287" s="205">
        <v>1.2</v>
      </c>
      <c r="AC287" s="205">
        <v>2</v>
      </c>
      <c r="AD287" s="205">
        <v>2.5</v>
      </c>
      <c r="AE287" s="205">
        <v>2.7</v>
      </c>
      <c r="AF287" s="205">
        <v>3</v>
      </c>
      <c r="AG287" s="205">
        <v>6</v>
      </c>
      <c r="AK287" s="205">
        <v>1.74</v>
      </c>
      <c r="AL287" s="31">
        <v>1.72</v>
      </c>
      <c r="AM287" s="30">
        <v>0.1</v>
      </c>
      <c r="AN287" t="s">
        <v>721</v>
      </c>
    </row>
    <row r="288" spans="1:44">
      <c r="A288" s="281" t="s">
        <v>743</v>
      </c>
      <c r="B288" t="s">
        <v>651</v>
      </c>
      <c r="C288" t="s">
        <v>652</v>
      </c>
      <c r="D288" s="208">
        <v>8.8179715330664479</v>
      </c>
      <c r="E288" s="208">
        <v>227.92669916320972</v>
      </c>
      <c r="F288" s="205">
        <v>0</v>
      </c>
      <c r="G288" s="205">
        <v>17240</v>
      </c>
      <c r="H288" s="205">
        <v>0.63</v>
      </c>
      <c r="I288" s="205"/>
      <c r="J288" s="205"/>
      <c r="K288" s="205" t="s">
        <v>295</v>
      </c>
      <c r="L288" s="201" t="s">
        <v>436</v>
      </c>
      <c r="M288" s="205">
        <v>567</v>
      </c>
      <c r="N288" s="205"/>
      <c r="O288" s="205">
        <v>2013</v>
      </c>
      <c r="P288" s="205"/>
      <c r="Q288" s="205" t="s">
        <v>333</v>
      </c>
      <c r="R288" s="205" t="s">
        <v>178</v>
      </c>
      <c r="S288" s="205" t="s">
        <v>349</v>
      </c>
      <c r="T288" s="205" t="s">
        <v>177</v>
      </c>
      <c r="U288" s="205" t="s">
        <v>340</v>
      </c>
      <c r="V288" s="205" t="s">
        <v>707</v>
      </c>
      <c r="W288" s="205" t="s">
        <v>352</v>
      </c>
      <c r="X288" s="205"/>
      <c r="Y288" s="205"/>
      <c r="AA288" s="205">
        <v>1</v>
      </c>
      <c r="AB288" s="205">
        <v>1.2</v>
      </c>
      <c r="AC288" s="205">
        <v>2</v>
      </c>
      <c r="AD288" s="205">
        <v>2.5</v>
      </c>
      <c r="AE288" s="205">
        <v>2.7</v>
      </c>
      <c r="AF288" s="205">
        <v>3</v>
      </c>
      <c r="AG288" s="205">
        <v>6</v>
      </c>
      <c r="AK288" s="205">
        <v>1.74</v>
      </c>
      <c r="AL288" s="31">
        <v>1.72</v>
      </c>
      <c r="AM288" s="30">
        <v>0.1</v>
      </c>
      <c r="AN288" t="s">
        <v>722</v>
      </c>
    </row>
    <row r="289" spans="1:44">
      <c r="Q289" s="205"/>
      <c r="R289" s="205"/>
      <c r="S289" s="205"/>
      <c r="T289" s="205"/>
      <c r="U289" s="205"/>
      <c r="V289" s="205"/>
      <c r="W289" s="205"/>
      <c r="X289" s="205"/>
      <c r="Y289" s="205"/>
      <c r="AA289" s="205"/>
      <c r="AB289" s="205"/>
      <c r="AC289" s="205"/>
      <c r="AD289" s="205"/>
      <c r="AE289" s="205"/>
      <c r="AF289" s="205"/>
      <c r="AG289" s="205"/>
    </row>
    <row r="290" spans="1:44" s="29" customFormat="1">
      <c r="B290" s="29" t="s">
        <v>744</v>
      </c>
      <c r="I290" s="204"/>
      <c r="J290" s="204"/>
      <c r="R290" s="30"/>
      <c r="S290" s="30"/>
      <c r="T290" s="30"/>
      <c r="U290" s="30"/>
      <c r="V290" s="30"/>
      <c r="W290" s="30"/>
      <c r="X290" s="30"/>
      <c r="Y290" s="30"/>
      <c r="Z290" s="205"/>
      <c r="AA290" s="30"/>
      <c r="AB290" s="30"/>
      <c r="AC290" s="30"/>
      <c r="AD290" s="30"/>
      <c r="AE290" s="30"/>
      <c r="AF290" s="30"/>
      <c r="AG290" s="30"/>
      <c r="AH290" s="30"/>
      <c r="AI290" s="30"/>
      <c r="AJ290" s="205"/>
      <c r="AL290" s="30"/>
      <c r="AM290" s="30"/>
      <c r="AR290" s="214"/>
    </row>
    <row r="291" spans="1:44" s="29" customFormat="1">
      <c r="A291" s="29" t="s">
        <v>744</v>
      </c>
      <c r="B291" s="29" t="s">
        <v>236</v>
      </c>
      <c r="C291" s="29" t="s">
        <v>237</v>
      </c>
      <c r="D291" s="29">
        <v>10</v>
      </c>
      <c r="E291" s="29">
        <v>500</v>
      </c>
      <c r="F291" s="29">
        <v>41000</v>
      </c>
      <c r="G291" s="29">
        <v>730</v>
      </c>
      <c r="H291" s="29">
        <v>1</v>
      </c>
      <c r="I291" s="204"/>
      <c r="J291" s="204"/>
      <c r="K291" s="29" t="s">
        <v>295</v>
      </c>
      <c r="L291" s="197" t="s">
        <v>437</v>
      </c>
      <c r="M291" s="29">
        <v>532.9</v>
      </c>
      <c r="N291" s="29">
        <v>2281.6</v>
      </c>
      <c r="O291" s="29">
        <v>2010</v>
      </c>
      <c r="Q291" s="31" t="s">
        <v>333</v>
      </c>
      <c r="R291" s="31" t="s">
        <v>334</v>
      </c>
      <c r="S291" s="31" t="s">
        <v>335</v>
      </c>
      <c r="T291" s="31" t="s">
        <v>336</v>
      </c>
      <c r="U291" s="31" t="s">
        <v>337</v>
      </c>
      <c r="V291" s="31" t="s">
        <v>338</v>
      </c>
      <c r="W291" s="31" t="s">
        <v>339</v>
      </c>
      <c r="X291" s="31" t="s">
        <v>340</v>
      </c>
      <c r="Y291" s="31" t="s">
        <v>341</v>
      </c>
      <c r="Z291" s="31"/>
      <c r="AA291" s="31">
        <v>1</v>
      </c>
      <c r="AB291" s="31">
        <v>1.07</v>
      </c>
      <c r="AC291" s="31">
        <v>1.1000000000000001</v>
      </c>
      <c r="AD291" s="31">
        <v>1.3</v>
      </c>
      <c r="AE291" s="31">
        <v>1.3</v>
      </c>
      <c r="AF291" s="31">
        <v>1.5</v>
      </c>
      <c r="AG291" s="31">
        <v>1.55</v>
      </c>
      <c r="AH291" s="31">
        <v>1.65</v>
      </c>
      <c r="AI291" s="31">
        <v>1.7</v>
      </c>
      <c r="AJ291" s="31"/>
      <c r="AK291" s="31">
        <v>1.61</v>
      </c>
      <c r="AL291" s="31">
        <v>1.72</v>
      </c>
      <c r="AM291" s="211">
        <v>0.1</v>
      </c>
      <c r="AR291" s="214"/>
    </row>
    <row r="292" spans="1:44" s="29" customFormat="1">
      <c r="A292" s="281" t="s">
        <v>744</v>
      </c>
      <c r="B292" s="29" t="s">
        <v>238</v>
      </c>
      <c r="C292" s="29" t="s">
        <v>237</v>
      </c>
      <c r="D292" s="29">
        <v>10</v>
      </c>
      <c r="E292" s="29">
        <v>500</v>
      </c>
      <c r="F292" s="29">
        <v>46000</v>
      </c>
      <c r="G292" s="29">
        <v>1320</v>
      </c>
      <c r="H292" s="29">
        <v>1</v>
      </c>
      <c r="I292" s="204"/>
      <c r="J292" s="204"/>
      <c r="K292" s="29" t="s">
        <v>295</v>
      </c>
      <c r="L292" s="197" t="s">
        <v>437</v>
      </c>
      <c r="M292" s="29">
        <v>532.9</v>
      </c>
      <c r="N292" s="29">
        <v>2281.6</v>
      </c>
      <c r="O292" s="29">
        <v>2010</v>
      </c>
      <c r="Q292" s="31" t="s">
        <v>333</v>
      </c>
      <c r="R292" s="31" t="s">
        <v>334</v>
      </c>
      <c r="S292" s="31" t="s">
        <v>335</v>
      </c>
      <c r="T292" s="31" t="s">
        <v>336</v>
      </c>
      <c r="U292" s="31" t="s">
        <v>337</v>
      </c>
      <c r="V292" s="31" t="s">
        <v>338</v>
      </c>
      <c r="W292" s="31" t="s">
        <v>339</v>
      </c>
      <c r="X292" s="31" t="s">
        <v>340</v>
      </c>
      <c r="Y292" s="31" t="s">
        <v>341</v>
      </c>
      <c r="Z292" s="31"/>
      <c r="AA292" s="31">
        <v>1</v>
      </c>
      <c r="AB292" s="31">
        <v>1.07</v>
      </c>
      <c r="AC292" s="31">
        <v>1.1000000000000001</v>
      </c>
      <c r="AD292" s="31">
        <v>1.3</v>
      </c>
      <c r="AE292" s="31">
        <v>1.3</v>
      </c>
      <c r="AF292" s="31">
        <v>1.5</v>
      </c>
      <c r="AG292" s="31">
        <v>1.55</v>
      </c>
      <c r="AH292" s="31">
        <v>1.65</v>
      </c>
      <c r="AI292" s="31">
        <v>1.7</v>
      </c>
      <c r="AJ292" s="31"/>
      <c r="AK292" s="31">
        <v>1.61</v>
      </c>
      <c r="AL292" s="31">
        <v>1.72</v>
      </c>
      <c r="AM292" s="211">
        <v>0.1</v>
      </c>
      <c r="AR292" s="214"/>
    </row>
    <row r="293" spans="1:44" s="29" customFormat="1">
      <c r="A293" s="281" t="s">
        <v>744</v>
      </c>
      <c r="B293" s="29" t="s">
        <v>239</v>
      </c>
      <c r="C293" s="29" t="s">
        <v>237</v>
      </c>
      <c r="D293" s="29">
        <v>10</v>
      </c>
      <c r="E293" s="29">
        <v>30</v>
      </c>
      <c r="F293" s="29">
        <v>17000</v>
      </c>
      <c r="G293" s="29">
        <v>2600</v>
      </c>
      <c r="H293" s="29">
        <v>1</v>
      </c>
      <c r="I293" s="204"/>
      <c r="J293" s="204"/>
      <c r="K293" s="29" t="s">
        <v>295</v>
      </c>
      <c r="L293" s="197" t="s">
        <v>437</v>
      </c>
      <c r="M293" s="29">
        <v>532.9</v>
      </c>
      <c r="N293" s="29">
        <v>2281.6</v>
      </c>
      <c r="O293" s="29">
        <v>2010</v>
      </c>
      <c r="Q293" s="31" t="s">
        <v>333</v>
      </c>
      <c r="R293" s="31" t="s">
        <v>334</v>
      </c>
      <c r="S293" s="31" t="s">
        <v>335</v>
      </c>
      <c r="T293" s="31" t="s">
        <v>336</v>
      </c>
      <c r="U293" s="31" t="s">
        <v>337</v>
      </c>
      <c r="V293" s="31" t="s">
        <v>338</v>
      </c>
      <c r="W293" s="31" t="s">
        <v>339</v>
      </c>
      <c r="X293" s="31" t="s">
        <v>340</v>
      </c>
      <c r="Y293" s="31" t="s">
        <v>341</v>
      </c>
      <c r="Z293" s="31"/>
      <c r="AA293" s="31">
        <v>1</v>
      </c>
      <c r="AB293" s="31">
        <v>1.07</v>
      </c>
      <c r="AC293" s="31">
        <v>1.1000000000000001</v>
      </c>
      <c r="AD293" s="31">
        <v>1.3</v>
      </c>
      <c r="AE293" s="31">
        <v>1.3</v>
      </c>
      <c r="AF293" s="31">
        <v>1.5</v>
      </c>
      <c r="AG293" s="31">
        <v>1.55</v>
      </c>
      <c r="AH293" s="31">
        <v>1.65</v>
      </c>
      <c r="AI293" s="31">
        <v>1.7</v>
      </c>
      <c r="AJ293" s="31"/>
      <c r="AK293" s="31">
        <v>1.74</v>
      </c>
      <c r="AL293" s="31">
        <v>1.72</v>
      </c>
      <c r="AM293" s="211">
        <v>0.1</v>
      </c>
      <c r="AR293" s="214"/>
    </row>
    <row r="294" spans="1:44" s="29" customFormat="1">
      <c r="I294" s="204"/>
      <c r="J294" s="204"/>
      <c r="L294" s="197"/>
      <c r="R294" s="30"/>
      <c r="S294" s="30"/>
      <c r="T294" s="30"/>
      <c r="U294" s="30"/>
      <c r="V294" s="30"/>
      <c r="W294" s="30"/>
      <c r="X294" s="30"/>
      <c r="Y294" s="30"/>
      <c r="Z294" s="205"/>
      <c r="AA294" s="30"/>
      <c r="AB294" s="30"/>
      <c r="AC294" s="30"/>
      <c r="AD294" s="30"/>
      <c r="AE294" s="30"/>
      <c r="AF294" s="30"/>
      <c r="AG294" s="30"/>
      <c r="AH294" s="30"/>
      <c r="AI294" s="30"/>
      <c r="AJ294" s="205"/>
      <c r="AL294" s="30"/>
      <c r="AM294" s="30"/>
      <c r="AR294" s="214"/>
    </row>
    <row r="295" spans="1:44">
      <c r="B295" t="s">
        <v>291</v>
      </c>
      <c r="Q295" s="205"/>
      <c r="R295" s="205"/>
      <c r="S295" s="205"/>
      <c r="T295" s="205"/>
      <c r="U295" s="205"/>
      <c r="V295" s="205"/>
      <c r="W295" s="205"/>
      <c r="X295" s="205"/>
      <c r="Y295" s="205"/>
      <c r="AA295" s="205"/>
      <c r="AB295" s="205"/>
      <c r="AC295" s="205"/>
      <c r="AD295" s="205"/>
      <c r="AE295" s="205"/>
      <c r="AF295" s="205"/>
      <c r="AG295" s="205"/>
    </row>
    <row r="296" spans="1:44">
      <c r="A296" t="s">
        <v>291</v>
      </c>
      <c r="B296" t="s">
        <v>577</v>
      </c>
      <c r="C296" t="s">
        <v>581</v>
      </c>
      <c r="D296" s="201">
        <v>1000</v>
      </c>
      <c r="E296" s="201">
        <v>30000</v>
      </c>
      <c r="F296">
        <v>0</v>
      </c>
      <c r="G296">
        <v>18</v>
      </c>
      <c r="H296">
        <v>0.73</v>
      </c>
      <c r="K296" s="201" t="s">
        <v>295</v>
      </c>
      <c r="L296" s="201" t="s">
        <v>436</v>
      </c>
      <c r="M296" s="205">
        <v>567</v>
      </c>
      <c r="N296" s="205"/>
      <c r="O296" s="205">
        <v>2013</v>
      </c>
      <c r="P296" s="205" t="s">
        <v>582</v>
      </c>
      <c r="Q296" s="205" t="s">
        <v>582</v>
      </c>
      <c r="R296" s="205"/>
      <c r="S296" s="205"/>
      <c r="T296" s="205"/>
      <c r="U296" s="205"/>
      <c r="V296" s="205"/>
      <c r="W296" s="205"/>
      <c r="X296" s="205"/>
      <c r="Y296" s="205"/>
      <c r="AA296" s="205">
        <v>1</v>
      </c>
      <c r="AB296" s="205"/>
      <c r="AC296" s="205"/>
      <c r="AD296" s="205"/>
      <c r="AE296" s="205"/>
      <c r="AF296" s="205"/>
      <c r="AG296" s="205"/>
      <c r="AK296" s="205" t="s">
        <v>160</v>
      </c>
      <c r="AL296" s="31">
        <v>1.88</v>
      </c>
      <c r="AM296" s="30">
        <v>0</v>
      </c>
      <c r="AN296" t="s">
        <v>582</v>
      </c>
    </row>
    <row r="297" spans="1:44">
      <c r="A297" s="206" t="s">
        <v>291</v>
      </c>
      <c r="B297" t="s">
        <v>760</v>
      </c>
      <c r="C297" s="201" t="s">
        <v>581</v>
      </c>
      <c r="D297">
        <v>1000</v>
      </c>
      <c r="E297">
        <v>1000000</v>
      </c>
      <c r="F297">
        <v>0</v>
      </c>
      <c r="G297">
        <v>265</v>
      </c>
      <c r="H297">
        <v>0.51300000000000001</v>
      </c>
      <c r="K297" s="201" t="s">
        <v>295</v>
      </c>
      <c r="L297" s="201" t="s">
        <v>436</v>
      </c>
      <c r="M297" s="205">
        <v>567</v>
      </c>
      <c r="N297" s="205"/>
      <c r="O297" s="205">
        <v>2013</v>
      </c>
      <c r="Q297" s="205" t="s">
        <v>333</v>
      </c>
      <c r="R297" s="205" t="s">
        <v>178</v>
      </c>
      <c r="S297" s="205" t="s">
        <v>349</v>
      </c>
      <c r="T297" s="205" t="s">
        <v>177</v>
      </c>
      <c r="U297" s="205" t="s">
        <v>340</v>
      </c>
      <c r="V297" s="205" t="s">
        <v>707</v>
      </c>
      <c r="W297" s="205" t="s">
        <v>352</v>
      </c>
      <c r="X297" s="205"/>
      <c r="Y297" s="205"/>
      <c r="AA297" s="205">
        <v>1</v>
      </c>
      <c r="AB297" s="205">
        <v>1.2</v>
      </c>
      <c r="AC297" s="205">
        <v>2</v>
      </c>
      <c r="AD297" s="205">
        <v>2.5</v>
      </c>
      <c r="AE297" s="205">
        <v>2.7</v>
      </c>
      <c r="AF297" s="205">
        <v>3</v>
      </c>
      <c r="AG297" s="205">
        <v>6</v>
      </c>
      <c r="AK297" s="205" t="s">
        <v>160</v>
      </c>
      <c r="AL297" s="31">
        <v>1.88</v>
      </c>
      <c r="AM297" s="30">
        <v>0</v>
      </c>
      <c r="AN297" t="s">
        <v>583</v>
      </c>
    </row>
    <row r="298" spans="1:44">
      <c r="A298" s="206" t="s">
        <v>291</v>
      </c>
      <c r="B298" t="s">
        <v>761</v>
      </c>
      <c r="C298" s="201" t="s">
        <v>581</v>
      </c>
      <c r="D298">
        <v>30000</v>
      </c>
      <c r="E298">
        <v>1000000</v>
      </c>
      <c r="F298">
        <v>0</v>
      </c>
      <c r="G298">
        <v>475</v>
      </c>
      <c r="H298">
        <v>0.50700000000000001</v>
      </c>
      <c r="K298" s="201" t="s">
        <v>295</v>
      </c>
      <c r="L298" s="201" t="s">
        <v>436</v>
      </c>
      <c r="M298" s="205">
        <v>567</v>
      </c>
      <c r="N298" s="205"/>
      <c r="O298" s="205">
        <v>2013</v>
      </c>
      <c r="Q298" s="205" t="s">
        <v>333</v>
      </c>
      <c r="R298" s="205" t="s">
        <v>178</v>
      </c>
      <c r="S298" s="205" t="s">
        <v>349</v>
      </c>
      <c r="T298" s="205" t="s">
        <v>177</v>
      </c>
      <c r="U298" s="205" t="s">
        <v>340</v>
      </c>
      <c r="V298" s="205" t="s">
        <v>707</v>
      </c>
      <c r="W298" s="205" t="s">
        <v>352</v>
      </c>
      <c r="X298" s="205"/>
      <c r="Y298" s="205"/>
      <c r="AA298" s="205">
        <v>1</v>
      </c>
      <c r="AB298" s="205">
        <v>1.2</v>
      </c>
      <c r="AC298" s="205">
        <v>2</v>
      </c>
      <c r="AD298" s="205">
        <v>2.5</v>
      </c>
      <c r="AE298" s="205">
        <v>2.7</v>
      </c>
      <c r="AF298" s="205">
        <v>3</v>
      </c>
      <c r="AG298" s="205">
        <v>6</v>
      </c>
      <c r="AK298" s="205" t="s">
        <v>160</v>
      </c>
      <c r="AL298" s="31">
        <v>1.88</v>
      </c>
      <c r="AM298" s="30">
        <v>0</v>
      </c>
      <c r="AN298" s="201" t="s">
        <v>583</v>
      </c>
    </row>
    <row r="299" spans="1:44">
      <c r="A299" s="206" t="s">
        <v>291</v>
      </c>
      <c r="B299" t="s">
        <v>578</v>
      </c>
      <c r="C299" s="201" t="s">
        <v>581</v>
      </c>
      <c r="D299">
        <v>10000</v>
      </c>
      <c r="E299">
        <v>1000000</v>
      </c>
      <c r="F299">
        <v>0</v>
      </c>
      <c r="G299">
        <v>68</v>
      </c>
      <c r="H299">
        <v>0.72</v>
      </c>
      <c r="K299" s="201" t="s">
        <v>295</v>
      </c>
      <c r="L299" s="201" t="s">
        <v>436</v>
      </c>
      <c r="M299" s="205">
        <v>567</v>
      </c>
      <c r="N299" s="205"/>
      <c r="O299" s="205">
        <v>2013</v>
      </c>
      <c r="Q299" s="205" t="s">
        <v>333</v>
      </c>
      <c r="R299" s="205" t="s">
        <v>178</v>
      </c>
      <c r="S299" s="205" t="s">
        <v>349</v>
      </c>
      <c r="T299" s="205" t="s">
        <v>177</v>
      </c>
      <c r="U299" s="205" t="s">
        <v>340</v>
      </c>
      <c r="V299" s="205" t="s">
        <v>707</v>
      </c>
      <c r="W299" s="205" t="s">
        <v>352</v>
      </c>
      <c r="X299" s="205"/>
      <c r="Y299" s="205"/>
      <c r="AA299" s="205">
        <v>1</v>
      </c>
      <c r="AB299" s="205">
        <v>1.2</v>
      </c>
      <c r="AC299" s="205">
        <v>2</v>
      </c>
      <c r="AD299" s="205">
        <v>2.5</v>
      </c>
      <c r="AE299" s="205">
        <v>2.7</v>
      </c>
      <c r="AF299" s="205">
        <v>3</v>
      </c>
      <c r="AG299" s="205">
        <v>6</v>
      </c>
      <c r="AK299" s="205" t="s">
        <v>160</v>
      </c>
      <c r="AL299" s="31">
        <v>1.88</v>
      </c>
      <c r="AM299" s="30">
        <v>0</v>
      </c>
    </row>
    <row r="300" spans="1:44">
      <c r="A300" s="206" t="s">
        <v>291</v>
      </c>
      <c r="B300" t="s">
        <v>579</v>
      </c>
      <c r="C300" s="201" t="s">
        <v>581</v>
      </c>
      <c r="D300">
        <v>10000</v>
      </c>
      <c r="E300">
        <v>750000</v>
      </c>
      <c r="F300">
        <v>0</v>
      </c>
      <c r="G300">
        <v>53</v>
      </c>
      <c r="H300">
        <v>0.78</v>
      </c>
      <c r="K300" s="201" t="s">
        <v>295</v>
      </c>
      <c r="L300" s="201" t="s">
        <v>436</v>
      </c>
      <c r="M300" s="205">
        <v>567</v>
      </c>
      <c r="N300" s="205"/>
      <c r="O300" s="205">
        <v>2013</v>
      </c>
      <c r="Q300" s="205" t="s">
        <v>333</v>
      </c>
      <c r="R300" s="205" t="s">
        <v>178</v>
      </c>
      <c r="S300" s="205" t="s">
        <v>349</v>
      </c>
      <c r="T300" s="205" t="s">
        <v>177</v>
      </c>
      <c r="U300" s="205" t="s">
        <v>340</v>
      </c>
      <c r="V300" s="205" t="s">
        <v>707</v>
      </c>
      <c r="W300" s="205" t="s">
        <v>352</v>
      </c>
      <c r="X300" s="205"/>
      <c r="Y300" s="205"/>
      <c r="AA300" s="205">
        <v>1</v>
      </c>
      <c r="AB300" s="205">
        <v>1.2</v>
      </c>
      <c r="AC300" s="205">
        <v>2</v>
      </c>
      <c r="AD300" s="205">
        <v>2.5</v>
      </c>
      <c r="AE300" s="205">
        <v>2.7</v>
      </c>
      <c r="AF300" s="205">
        <v>3</v>
      </c>
      <c r="AG300" s="205">
        <v>6</v>
      </c>
      <c r="AK300" s="205" t="s">
        <v>160</v>
      </c>
      <c r="AL300" s="31">
        <v>1.88</v>
      </c>
      <c r="AM300" s="30">
        <v>0</v>
      </c>
      <c r="AN300" s="201"/>
    </row>
    <row r="301" spans="1:44">
      <c r="A301" s="206" t="s">
        <v>291</v>
      </c>
      <c r="B301" t="s">
        <v>580</v>
      </c>
      <c r="C301" t="s">
        <v>456</v>
      </c>
      <c r="D301">
        <v>4000</v>
      </c>
      <c r="E301">
        <v>400000</v>
      </c>
      <c r="F301">
        <v>0</v>
      </c>
      <c r="G301">
        <v>3595</v>
      </c>
      <c r="H301">
        <v>0.43</v>
      </c>
      <c r="K301" s="201" t="s">
        <v>295</v>
      </c>
      <c r="L301" s="201" t="s">
        <v>436</v>
      </c>
      <c r="M301" s="205">
        <v>567</v>
      </c>
      <c r="N301" s="205"/>
      <c r="O301" s="205">
        <v>2013</v>
      </c>
      <c r="Q301" s="205" t="s">
        <v>333</v>
      </c>
      <c r="R301" s="205" t="s">
        <v>178</v>
      </c>
      <c r="S301" s="205" t="s">
        <v>349</v>
      </c>
      <c r="T301" s="205" t="s">
        <v>177</v>
      </c>
      <c r="U301" s="205" t="s">
        <v>340</v>
      </c>
      <c r="V301" s="205" t="s">
        <v>707</v>
      </c>
      <c r="W301" s="205" t="s">
        <v>352</v>
      </c>
      <c r="X301" s="205"/>
      <c r="Y301" s="205"/>
      <c r="AA301" s="205">
        <v>1</v>
      </c>
      <c r="AB301" s="205">
        <v>1.2</v>
      </c>
      <c r="AC301" s="205">
        <v>2</v>
      </c>
      <c r="AD301" s="205">
        <v>2.5</v>
      </c>
      <c r="AE301" s="205">
        <v>2.7</v>
      </c>
      <c r="AF301" s="205">
        <v>3</v>
      </c>
      <c r="AG301" s="205">
        <v>6</v>
      </c>
      <c r="AK301" s="29" t="s">
        <v>160</v>
      </c>
      <c r="AL301" s="31">
        <v>1.88</v>
      </c>
      <c r="AM301" s="30">
        <v>0</v>
      </c>
      <c r="AN301" s="201" t="s">
        <v>583</v>
      </c>
    </row>
    <row r="302" spans="1:44" s="29" customFormat="1">
      <c r="A302" s="29" t="s">
        <v>291</v>
      </c>
      <c r="B302" s="29" t="s">
        <v>758</v>
      </c>
      <c r="C302" s="29" t="s">
        <v>254</v>
      </c>
      <c r="D302" s="29">
        <v>100</v>
      </c>
      <c r="E302" s="29">
        <v>10000</v>
      </c>
      <c r="F302" s="29">
        <v>113000</v>
      </c>
      <c r="G302" s="29">
        <v>3250</v>
      </c>
      <c r="H302" s="29">
        <v>0.65</v>
      </c>
      <c r="I302" s="204"/>
      <c r="J302" s="204"/>
      <c r="K302" s="29" t="s">
        <v>295</v>
      </c>
      <c r="L302" s="197" t="s">
        <v>437</v>
      </c>
      <c r="M302" s="29">
        <v>532.9</v>
      </c>
      <c r="N302" s="29">
        <v>2281.6</v>
      </c>
      <c r="O302" s="29">
        <v>2010</v>
      </c>
      <c r="Q302" s="31" t="s">
        <v>333</v>
      </c>
      <c r="R302" s="31" t="s">
        <v>334</v>
      </c>
      <c r="S302" s="31" t="s">
        <v>335</v>
      </c>
      <c r="T302" s="31" t="s">
        <v>336</v>
      </c>
      <c r="U302" s="31" t="s">
        <v>337</v>
      </c>
      <c r="V302" s="31" t="s">
        <v>338</v>
      </c>
      <c r="W302" s="31" t="s">
        <v>339</v>
      </c>
      <c r="X302" s="31" t="s">
        <v>340</v>
      </c>
      <c r="Y302" s="31" t="s">
        <v>341</v>
      </c>
      <c r="Z302" s="31"/>
      <c r="AA302" s="31">
        <v>1</v>
      </c>
      <c r="AB302" s="31">
        <v>1.07</v>
      </c>
      <c r="AC302" s="31">
        <v>1.1000000000000001</v>
      </c>
      <c r="AD302" s="31">
        <v>1.3</v>
      </c>
      <c r="AE302" s="31">
        <v>1.3</v>
      </c>
      <c r="AF302" s="31">
        <v>1.5</v>
      </c>
      <c r="AG302" s="31">
        <v>1.55</v>
      </c>
      <c r="AH302" s="31">
        <v>1.65</v>
      </c>
      <c r="AI302" s="31">
        <v>1.7</v>
      </c>
      <c r="AJ302" s="31"/>
      <c r="AK302" s="29" t="s">
        <v>160</v>
      </c>
      <c r="AL302" s="31">
        <v>1.88</v>
      </c>
      <c r="AM302" s="31">
        <v>0</v>
      </c>
      <c r="AR302" s="214"/>
    </row>
    <row r="303" spans="1:44" s="29" customFormat="1">
      <c r="A303" s="29" t="s">
        <v>291</v>
      </c>
      <c r="B303" s="29" t="s">
        <v>759</v>
      </c>
      <c r="C303" s="29" t="s">
        <v>254</v>
      </c>
      <c r="D303" s="29">
        <v>10</v>
      </c>
      <c r="E303" s="29">
        <v>4000</v>
      </c>
      <c r="F303" s="29">
        <v>5800</v>
      </c>
      <c r="G303" s="29">
        <v>1600</v>
      </c>
      <c r="H303" s="29">
        <v>0.7</v>
      </c>
      <c r="I303" s="204"/>
      <c r="J303" s="204"/>
      <c r="K303" s="29" t="s">
        <v>295</v>
      </c>
      <c r="L303" s="197" t="s">
        <v>437</v>
      </c>
      <c r="M303" s="29">
        <v>532.9</v>
      </c>
      <c r="N303" s="29">
        <v>2281.6</v>
      </c>
      <c r="O303" s="29">
        <v>2010</v>
      </c>
      <c r="Q303" s="31" t="s">
        <v>333</v>
      </c>
      <c r="R303" s="31" t="s">
        <v>334</v>
      </c>
      <c r="S303" s="31" t="s">
        <v>335</v>
      </c>
      <c r="T303" s="31" t="s">
        <v>336</v>
      </c>
      <c r="U303" s="31" t="s">
        <v>337</v>
      </c>
      <c r="V303" s="31" t="s">
        <v>338</v>
      </c>
      <c r="W303" s="31" t="s">
        <v>339</v>
      </c>
      <c r="X303" s="31" t="s">
        <v>340</v>
      </c>
      <c r="Y303" s="31" t="s">
        <v>341</v>
      </c>
      <c r="Z303" s="31"/>
      <c r="AA303" s="31">
        <v>1</v>
      </c>
      <c r="AB303" s="31">
        <v>1.07</v>
      </c>
      <c r="AC303" s="31">
        <v>1.1000000000000001</v>
      </c>
      <c r="AD303" s="31">
        <v>1.3</v>
      </c>
      <c r="AE303" s="31">
        <v>1.3</v>
      </c>
      <c r="AF303" s="31">
        <v>1.5</v>
      </c>
      <c r="AG303" s="31">
        <v>1.55</v>
      </c>
      <c r="AH303" s="31">
        <v>1.65</v>
      </c>
      <c r="AI303" s="31">
        <v>1.7</v>
      </c>
      <c r="AJ303" s="31"/>
      <c r="AK303" s="29" t="s">
        <v>160</v>
      </c>
      <c r="AL303" s="31">
        <v>1.88</v>
      </c>
      <c r="AM303" s="31">
        <v>0</v>
      </c>
      <c r="AR303" s="214"/>
    </row>
    <row r="304" spans="1:44" s="29" customFormat="1">
      <c r="I304" s="204"/>
      <c r="J304" s="204"/>
      <c r="L304" s="197"/>
      <c r="R304" s="30"/>
      <c r="S304" s="30"/>
      <c r="T304" s="30"/>
      <c r="U304" s="30"/>
      <c r="V304" s="30"/>
      <c r="W304" s="30"/>
      <c r="X304" s="30"/>
      <c r="Y304" s="30"/>
      <c r="Z304" s="205"/>
      <c r="AA304" s="30"/>
      <c r="AB304" s="30"/>
      <c r="AC304" s="30"/>
      <c r="AD304" s="30"/>
      <c r="AE304" s="30"/>
      <c r="AF304" s="30"/>
      <c r="AG304" s="30"/>
      <c r="AH304" s="30"/>
      <c r="AI304" s="30"/>
      <c r="AJ304" s="205"/>
      <c r="AL304" s="30"/>
      <c r="AM304" s="30"/>
      <c r="AR304" s="214"/>
    </row>
    <row r="305" spans="1:44" s="29" customFormat="1">
      <c r="B305" s="29" t="s">
        <v>314</v>
      </c>
      <c r="I305" s="204"/>
      <c r="J305" s="204"/>
      <c r="L305" s="197"/>
      <c r="R305" s="30"/>
      <c r="S305" s="30"/>
      <c r="T305" s="30"/>
      <c r="U305" s="30"/>
      <c r="V305" s="30"/>
      <c r="W305" s="30"/>
      <c r="X305" s="30"/>
      <c r="Y305" s="30"/>
      <c r="Z305" s="205"/>
      <c r="AA305" s="30"/>
      <c r="AB305" s="30"/>
      <c r="AC305" s="30"/>
      <c r="AD305" s="30"/>
      <c r="AE305" s="30"/>
      <c r="AF305" s="30"/>
      <c r="AG305" s="30"/>
      <c r="AH305" s="30"/>
      <c r="AI305" s="30"/>
      <c r="AJ305" s="205"/>
      <c r="AL305" s="30"/>
      <c r="AM305" s="30"/>
      <c r="AR305" s="214"/>
    </row>
    <row r="306" spans="1:44" s="29" customFormat="1">
      <c r="A306" s="1" t="s">
        <v>314</v>
      </c>
      <c r="B306" s="29" t="s">
        <v>283</v>
      </c>
      <c r="C306" s="29" t="s">
        <v>273</v>
      </c>
      <c r="D306" s="29">
        <v>100</v>
      </c>
      <c r="E306" s="29">
        <v>10000</v>
      </c>
      <c r="F306" s="29">
        <v>170000</v>
      </c>
      <c r="G306" s="29">
        <v>1500</v>
      </c>
      <c r="H306" s="29">
        <v>0.9</v>
      </c>
      <c r="I306" s="204"/>
      <c r="J306" s="204"/>
      <c r="K306" s="29" t="s">
        <v>295</v>
      </c>
      <c r="L306" s="197" t="s">
        <v>437</v>
      </c>
      <c r="M306" s="29">
        <v>532.9</v>
      </c>
      <c r="N306" s="29">
        <v>2281.6</v>
      </c>
      <c r="O306" s="29">
        <v>2010</v>
      </c>
      <c r="Q306" s="31" t="s">
        <v>333</v>
      </c>
      <c r="R306" s="31" t="s">
        <v>334</v>
      </c>
      <c r="S306" s="31" t="s">
        <v>335</v>
      </c>
      <c r="T306" s="31" t="s">
        <v>336</v>
      </c>
      <c r="U306" s="31" t="s">
        <v>337</v>
      </c>
      <c r="V306" s="31" t="s">
        <v>338</v>
      </c>
      <c r="W306" s="31" t="s">
        <v>339</v>
      </c>
      <c r="X306" s="31" t="s">
        <v>340</v>
      </c>
      <c r="Y306" s="31" t="s">
        <v>341</v>
      </c>
      <c r="Z306" s="31"/>
      <c r="AA306" s="31">
        <v>1</v>
      </c>
      <c r="AB306" s="31">
        <v>1.07</v>
      </c>
      <c r="AC306" s="31">
        <v>1.1000000000000001</v>
      </c>
      <c r="AD306" s="31">
        <v>1.3</v>
      </c>
      <c r="AE306" s="31">
        <v>1.3</v>
      </c>
      <c r="AF306" s="31">
        <v>1.5</v>
      </c>
      <c r="AG306" s="31">
        <v>1.55</v>
      </c>
      <c r="AH306" s="31">
        <v>1.65</v>
      </c>
      <c r="AI306" s="31">
        <v>1.7</v>
      </c>
      <c r="AJ306" s="31"/>
      <c r="AK306" s="29" t="s">
        <v>160</v>
      </c>
      <c r="AL306" s="31">
        <v>1.2</v>
      </c>
      <c r="AM306" s="30">
        <v>0.6</v>
      </c>
      <c r="AR306" s="214"/>
    </row>
    <row r="307" spans="1:44" s="29" customFormat="1">
      <c r="A307" s="1" t="s">
        <v>314</v>
      </c>
      <c r="B307" s="29" t="s">
        <v>284</v>
      </c>
      <c r="C307" s="29" t="s">
        <v>285</v>
      </c>
      <c r="D307" s="29">
        <v>50</v>
      </c>
      <c r="E307" s="29">
        <v>1500</v>
      </c>
      <c r="F307" s="29">
        <v>24000</v>
      </c>
      <c r="G307" s="29">
        <v>3500</v>
      </c>
      <c r="H307" s="29">
        <v>0.9</v>
      </c>
      <c r="I307" s="204"/>
      <c r="J307" s="204"/>
      <c r="K307" s="29" t="s">
        <v>295</v>
      </c>
      <c r="L307" s="197" t="s">
        <v>437</v>
      </c>
      <c r="M307" s="29">
        <v>532.9</v>
      </c>
      <c r="N307" s="29">
        <v>2281.6</v>
      </c>
      <c r="O307" s="29">
        <v>2010</v>
      </c>
      <c r="Q307" s="31" t="s">
        <v>333</v>
      </c>
      <c r="R307" s="31" t="s">
        <v>334</v>
      </c>
      <c r="S307" s="31" t="s">
        <v>335</v>
      </c>
      <c r="T307" s="31" t="s">
        <v>336</v>
      </c>
      <c r="U307" s="31" t="s">
        <v>337</v>
      </c>
      <c r="V307" s="31" t="s">
        <v>338</v>
      </c>
      <c r="W307" s="31" t="s">
        <v>339</v>
      </c>
      <c r="X307" s="31" t="s">
        <v>340</v>
      </c>
      <c r="Y307" s="31" t="s">
        <v>341</v>
      </c>
      <c r="Z307" s="31"/>
      <c r="AA307" s="31">
        <v>1</v>
      </c>
      <c r="AB307" s="31">
        <v>1.07</v>
      </c>
      <c r="AC307" s="31">
        <v>1.1000000000000001</v>
      </c>
      <c r="AD307" s="31">
        <v>1.3</v>
      </c>
      <c r="AE307" s="31">
        <v>1.3</v>
      </c>
      <c r="AF307" s="31">
        <v>1.5</v>
      </c>
      <c r="AG307" s="31">
        <v>1.55</v>
      </c>
      <c r="AH307" s="31">
        <v>1.65</v>
      </c>
      <c r="AI307" s="31">
        <v>1.7</v>
      </c>
      <c r="AJ307" s="31"/>
      <c r="AK307" s="29" t="s">
        <v>160</v>
      </c>
      <c r="AL307" s="31">
        <v>1.46</v>
      </c>
      <c r="AM307" s="30">
        <v>0.3</v>
      </c>
      <c r="AR307" s="214"/>
    </row>
    <row r="308" spans="1:44" s="29" customFormat="1">
      <c r="A308" s="1" t="s">
        <v>314</v>
      </c>
      <c r="B308" s="29" t="s">
        <v>286</v>
      </c>
      <c r="C308" s="29" t="s">
        <v>287</v>
      </c>
      <c r="D308" s="29">
        <v>1</v>
      </c>
      <c r="E308" s="29">
        <v>50</v>
      </c>
      <c r="F308" s="29">
        <v>14000</v>
      </c>
      <c r="G308" s="29">
        <v>6200</v>
      </c>
      <c r="H308" s="29">
        <v>0.75</v>
      </c>
      <c r="I308" s="204"/>
      <c r="J308" s="204"/>
      <c r="K308" s="29" t="s">
        <v>295</v>
      </c>
      <c r="L308" s="197" t="s">
        <v>437</v>
      </c>
      <c r="M308" s="29">
        <v>532.9</v>
      </c>
      <c r="N308" s="29">
        <v>2281.6</v>
      </c>
      <c r="O308" s="29">
        <v>2010</v>
      </c>
      <c r="Q308" s="31" t="s">
        <v>333</v>
      </c>
      <c r="R308" s="31" t="s">
        <v>334</v>
      </c>
      <c r="S308" s="31" t="s">
        <v>335</v>
      </c>
      <c r="T308" s="31" t="s">
        <v>336</v>
      </c>
      <c r="U308" s="31" t="s">
        <v>337</v>
      </c>
      <c r="V308" s="31" t="s">
        <v>338</v>
      </c>
      <c r="W308" s="31" t="s">
        <v>339</v>
      </c>
      <c r="X308" s="31" t="s">
        <v>340</v>
      </c>
      <c r="Y308" s="31" t="s">
        <v>341</v>
      </c>
      <c r="Z308" s="31"/>
      <c r="AA308" s="31">
        <v>1</v>
      </c>
      <c r="AB308" s="31">
        <v>1.07</v>
      </c>
      <c r="AC308" s="31">
        <v>1.1000000000000001</v>
      </c>
      <c r="AD308" s="31">
        <v>1.3</v>
      </c>
      <c r="AE308" s="31">
        <v>1.3</v>
      </c>
      <c r="AF308" s="31">
        <v>1.5</v>
      </c>
      <c r="AG308" s="31">
        <v>1.55</v>
      </c>
      <c r="AH308" s="31">
        <v>1.65</v>
      </c>
      <c r="AI308" s="31">
        <v>1.7</v>
      </c>
      <c r="AJ308" s="31"/>
      <c r="AK308" s="29" t="s">
        <v>160</v>
      </c>
      <c r="AL308" s="31">
        <v>1.62</v>
      </c>
      <c r="AM308" s="30">
        <v>1.3</v>
      </c>
      <c r="AR308" s="214"/>
    </row>
    <row r="309" spans="1:44" s="29" customFormat="1">
      <c r="I309" s="204"/>
      <c r="J309" s="204"/>
      <c r="R309" s="30"/>
      <c r="S309" s="30"/>
      <c r="T309" s="30"/>
      <c r="U309" s="30"/>
      <c r="V309" s="30"/>
      <c r="W309" s="30"/>
      <c r="X309" s="30"/>
      <c r="Y309" s="30"/>
      <c r="Z309" s="205"/>
      <c r="AA309" s="30"/>
      <c r="AB309" s="30"/>
      <c r="AC309" s="30"/>
      <c r="AD309" s="30"/>
      <c r="AE309" s="30"/>
      <c r="AF309" s="30"/>
      <c r="AG309" s="30"/>
      <c r="AH309" s="30"/>
      <c r="AI309" s="30"/>
      <c r="AJ309" s="205"/>
      <c r="AL309" s="30"/>
      <c r="AM309" s="30"/>
      <c r="AR309" s="214"/>
    </row>
    <row r="310" spans="1:44">
      <c r="B310" t="s">
        <v>584</v>
      </c>
    </row>
    <row r="311" spans="1:44">
      <c r="A311" t="s">
        <v>584</v>
      </c>
      <c r="B311" t="s">
        <v>585</v>
      </c>
      <c r="C311" t="s">
        <v>602</v>
      </c>
      <c r="D311">
        <v>0.1</v>
      </c>
      <c r="E311">
        <v>100</v>
      </c>
      <c r="F311">
        <v>0</v>
      </c>
      <c r="G311">
        <v>1915</v>
      </c>
      <c r="H311">
        <v>0.41</v>
      </c>
      <c r="K311" s="201" t="s">
        <v>295</v>
      </c>
      <c r="L311" s="201" t="s">
        <v>436</v>
      </c>
      <c r="M311" s="205">
        <v>567</v>
      </c>
      <c r="N311" s="205"/>
      <c r="O311" s="205">
        <v>2013</v>
      </c>
      <c r="Q311" s="205" t="s">
        <v>333</v>
      </c>
      <c r="R311" s="205" t="s">
        <v>178</v>
      </c>
      <c r="S311" s="205" t="s">
        <v>349</v>
      </c>
      <c r="T311" s="205" t="s">
        <v>177</v>
      </c>
      <c r="U311" s="205" t="s">
        <v>340</v>
      </c>
      <c r="V311" s="205" t="s">
        <v>707</v>
      </c>
      <c r="W311" s="205" t="s">
        <v>352</v>
      </c>
      <c r="X311" s="205"/>
      <c r="Y311" s="205"/>
      <c r="AA311" s="205">
        <v>1</v>
      </c>
      <c r="AB311" s="205">
        <v>1.2</v>
      </c>
      <c r="AC311" s="205">
        <v>2</v>
      </c>
      <c r="AD311" s="205">
        <v>2.5</v>
      </c>
      <c r="AE311" s="205">
        <v>2.7</v>
      </c>
      <c r="AF311" s="205">
        <v>3</v>
      </c>
      <c r="AG311" s="205">
        <v>6</v>
      </c>
      <c r="AK311" s="205">
        <v>3.3</v>
      </c>
      <c r="AL311" s="31">
        <v>1.1200000000000001</v>
      </c>
      <c r="AM311" s="30">
        <v>0</v>
      </c>
      <c r="AN311" t="s">
        <v>596</v>
      </c>
    </row>
    <row r="312" spans="1:44">
      <c r="A312" s="201" t="s">
        <v>584</v>
      </c>
      <c r="B312" t="s">
        <v>586</v>
      </c>
      <c r="C312" t="s">
        <v>590</v>
      </c>
      <c r="D312">
        <v>50</v>
      </c>
      <c r="E312">
        <v>350</v>
      </c>
      <c r="F312">
        <v>0</v>
      </c>
      <c r="G312">
        <v>8250</v>
      </c>
      <c r="H312">
        <v>0.37</v>
      </c>
      <c r="K312" s="201" t="s">
        <v>295</v>
      </c>
      <c r="L312" s="201" t="s">
        <v>436</v>
      </c>
      <c r="M312" s="205">
        <v>567</v>
      </c>
      <c r="N312" s="205"/>
      <c r="O312" s="205">
        <v>2013</v>
      </c>
      <c r="Q312" s="205" t="s">
        <v>333</v>
      </c>
      <c r="R312" s="205" t="s">
        <v>178</v>
      </c>
      <c r="S312" s="205" t="s">
        <v>349</v>
      </c>
      <c r="T312" s="205" t="s">
        <v>177</v>
      </c>
      <c r="U312" s="205" t="s">
        <v>340</v>
      </c>
      <c r="V312" s="205" t="s">
        <v>707</v>
      </c>
      <c r="W312" s="205" t="s">
        <v>352</v>
      </c>
      <c r="X312" s="205"/>
      <c r="Y312" s="205"/>
      <c r="AA312" s="205">
        <v>1</v>
      </c>
      <c r="AB312" s="205">
        <v>1.2</v>
      </c>
      <c r="AC312" s="205">
        <v>2</v>
      </c>
      <c r="AD312" s="205">
        <v>2.5</v>
      </c>
      <c r="AE312" s="205">
        <v>2.7</v>
      </c>
      <c r="AF312" s="205">
        <v>3</v>
      </c>
      <c r="AG312" s="205">
        <v>6</v>
      </c>
      <c r="AK312" s="205">
        <v>3.3</v>
      </c>
      <c r="AL312" s="31">
        <v>1.1200000000000001</v>
      </c>
      <c r="AM312" s="30">
        <v>0</v>
      </c>
      <c r="AN312" t="s">
        <v>597</v>
      </c>
    </row>
    <row r="313" spans="1:44">
      <c r="A313" s="201" t="s">
        <v>584</v>
      </c>
      <c r="B313" t="s">
        <v>587</v>
      </c>
      <c r="C313" s="201" t="s">
        <v>590</v>
      </c>
      <c r="D313">
        <v>60</v>
      </c>
      <c r="E313">
        <v>240</v>
      </c>
      <c r="F313">
        <v>0</v>
      </c>
      <c r="G313">
        <v>8075</v>
      </c>
      <c r="H313">
        <v>0.41</v>
      </c>
      <c r="K313" s="201" t="s">
        <v>295</v>
      </c>
      <c r="L313" s="201" t="s">
        <v>436</v>
      </c>
      <c r="M313" s="205">
        <v>567</v>
      </c>
      <c r="N313" s="205"/>
      <c r="O313" s="205">
        <v>2013</v>
      </c>
      <c r="Q313" s="205" t="s">
        <v>333</v>
      </c>
      <c r="R313" s="205" t="s">
        <v>178</v>
      </c>
      <c r="S313" s="205" t="s">
        <v>349</v>
      </c>
      <c r="T313" s="205" t="s">
        <v>177</v>
      </c>
      <c r="U313" s="205" t="s">
        <v>340</v>
      </c>
      <c r="V313" s="205" t="s">
        <v>707</v>
      </c>
      <c r="W313" s="205" t="s">
        <v>352</v>
      </c>
      <c r="X313" s="205"/>
      <c r="Y313" s="205"/>
      <c r="AA313" s="205">
        <v>1</v>
      </c>
      <c r="AB313" s="205">
        <v>1.2</v>
      </c>
      <c r="AC313" s="205">
        <v>2</v>
      </c>
      <c r="AD313" s="205">
        <v>2.5</v>
      </c>
      <c r="AE313" s="205">
        <v>2.7</v>
      </c>
      <c r="AF313" s="205">
        <v>3</v>
      </c>
      <c r="AG313" s="205">
        <v>6</v>
      </c>
      <c r="AK313" s="205">
        <v>3.3</v>
      </c>
      <c r="AL313" s="31">
        <v>1.1200000000000001</v>
      </c>
      <c r="AM313" s="30">
        <v>0</v>
      </c>
      <c r="AN313" t="s">
        <v>598</v>
      </c>
    </row>
    <row r="314" spans="1:44">
      <c r="A314" s="201" t="s">
        <v>584</v>
      </c>
      <c r="B314" t="s">
        <v>588</v>
      </c>
      <c r="C314" s="201" t="s">
        <v>590</v>
      </c>
      <c r="D314">
        <v>60</v>
      </c>
      <c r="E314">
        <v>270</v>
      </c>
      <c r="F314">
        <v>0</v>
      </c>
      <c r="G314" s="201">
        <v>9785</v>
      </c>
      <c r="H314" s="201">
        <v>0.36</v>
      </c>
      <c r="K314" s="201" t="s">
        <v>295</v>
      </c>
      <c r="L314" s="201" t="s">
        <v>436</v>
      </c>
      <c r="M314" s="205">
        <v>567</v>
      </c>
      <c r="N314" s="205"/>
      <c r="O314" s="205">
        <v>2013</v>
      </c>
      <c r="Q314" s="205" t="s">
        <v>333</v>
      </c>
      <c r="R314" s="205" t="s">
        <v>178</v>
      </c>
      <c r="S314" s="205" t="s">
        <v>349</v>
      </c>
      <c r="T314" s="205" t="s">
        <v>177</v>
      </c>
      <c r="U314" s="205" t="s">
        <v>340</v>
      </c>
      <c r="V314" s="205" t="s">
        <v>707</v>
      </c>
      <c r="W314" s="205" t="s">
        <v>352</v>
      </c>
      <c r="X314" s="205"/>
      <c r="Y314" s="205"/>
      <c r="AA314" s="205">
        <v>1</v>
      </c>
      <c r="AB314" s="205">
        <v>1.2</v>
      </c>
      <c r="AC314" s="205">
        <v>2</v>
      </c>
      <c r="AD314" s="205">
        <v>2.5</v>
      </c>
      <c r="AE314" s="205">
        <v>2.7</v>
      </c>
      <c r="AF314" s="205">
        <v>3</v>
      </c>
      <c r="AG314" s="205">
        <v>6</v>
      </c>
      <c r="AK314" s="205">
        <v>3.3</v>
      </c>
      <c r="AL314" s="31">
        <v>1.1200000000000001</v>
      </c>
      <c r="AM314" s="30">
        <v>0</v>
      </c>
      <c r="AN314" s="201" t="s">
        <v>598</v>
      </c>
    </row>
    <row r="315" spans="1:44">
      <c r="A315" s="201" t="s">
        <v>584</v>
      </c>
      <c r="B315" t="s">
        <v>589</v>
      </c>
      <c r="C315" s="201" t="s">
        <v>590</v>
      </c>
      <c r="D315">
        <v>50</v>
      </c>
      <c r="E315">
        <v>350</v>
      </c>
      <c r="F315">
        <v>0</v>
      </c>
      <c r="G315">
        <v>10875</v>
      </c>
      <c r="H315">
        <v>0.38</v>
      </c>
      <c r="K315" s="201" t="s">
        <v>295</v>
      </c>
      <c r="L315" s="201" t="s">
        <v>436</v>
      </c>
      <c r="M315" s="205">
        <v>567</v>
      </c>
      <c r="N315" s="205"/>
      <c r="O315" s="205">
        <v>2013</v>
      </c>
      <c r="Q315" s="205" t="s">
        <v>333</v>
      </c>
      <c r="R315" s="205" t="s">
        <v>178</v>
      </c>
      <c r="S315" s="205" t="s">
        <v>349</v>
      </c>
      <c r="T315" s="205" t="s">
        <v>177</v>
      </c>
      <c r="U315" s="205" t="s">
        <v>340</v>
      </c>
      <c r="V315" s="205" t="s">
        <v>707</v>
      </c>
      <c r="W315" s="205" t="s">
        <v>352</v>
      </c>
      <c r="X315" s="205"/>
      <c r="Y315" s="205"/>
      <c r="AA315" s="205">
        <v>1</v>
      </c>
      <c r="AB315" s="205">
        <v>1.2</v>
      </c>
      <c r="AC315" s="205">
        <v>2</v>
      </c>
      <c r="AD315" s="205">
        <v>2.5</v>
      </c>
      <c r="AE315" s="205">
        <v>2.7</v>
      </c>
      <c r="AF315" s="205">
        <v>3</v>
      </c>
      <c r="AG315" s="205">
        <v>6</v>
      </c>
      <c r="AK315" s="205">
        <v>3.3</v>
      </c>
      <c r="AL315" s="31">
        <v>1.1200000000000001</v>
      </c>
      <c r="AM315" s="30">
        <v>0</v>
      </c>
      <c r="AN315" t="s">
        <v>599</v>
      </c>
    </row>
    <row r="317" spans="1:44">
      <c r="B317" t="s">
        <v>594</v>
      </c>
    </row>
    <row r="318" spans="1:44">
      <c r="A318" t="s">
        <v>594</v>
      </c>
      <c r="B318" t="s">
        <v>591</v>
      </c>
      <c r="C318" t="s">
        <v>595</v>
      </c>
      <c r="D318">
        <v>75</v>
      </c>
      <c r="E318">
        <v>75000</v>
      </c>
      <c r="F318">
        <v>0</v>
      </c>
      <c r="G318">
        <v>16785</v>
      </c>
      <c r="H318">
        <v>0.64</v>
      </c>
      <c r="K318" s="201" t="s">
        <v>295</v>
      </c>
      <c r="L318" s="201" t="s">
        <v>436</v>
      </c>
      <c r="M318" s="205">
        <v>567</v>
      </c>
      <c r="N318" s="205"/>
      <c r="O318" s="205">
        <v>2013</v>
      </c>
      <c r="Q318" s="205" t="s">
        <v>333</v>
      </c>
      <c r="R318" s="205" t="s">
        <v>178</v>
      </c>
      <c r="S318" s="205" t="s">
        <v>349</v>
      </c>
      <c r="T318" s="205" t="s">
        <v>177</v>
      </c>
      <c r="U318" s="205" t="s">
        <v>340</v>
      </c>
      <c r="V318" s="205" t="s">
        <v>707</v>
      </c>
      <c r="W318" s="205" t="s">
        <v>352</v>
      </c>
      <c r="X318" s="205"/>
      <c r="Y318" s="205"/>
      <c r="AA318" s="205">
        <v>1</v>
      </c>
      <c r="AB318" s="205">
        <v>1.2</v>
      </c>
      <c r="AC318" s="205">
        <v>2</v>
      </c>
      <c r="AD318" s="205">
        <v>2.5</v>
      </c>
      <c r="AE318" s="205">
        <v>2.7</v>
      </c>
      <c r="AF318" s="205">
        <v>3</v>
      </c>
      <c r="AG318" s="205">
        <v>6</v>
      </c>
      <c r="AK318" s="29">
        <v>1</v>
      </c>
      <c r="AL318" s="27">
        <v>1.62</v>
      </c>
      <c r="AM318" s="30">
        <v>1.3</v>
      </c>
      <c r="AN318" t="s">
        <v>503</v>
      </c>
    </row>
    <row r="319" spans="1:44">
      <c r="A319" s="201" t="s">
        <v>594</v>
      </c>
      <c r="B319" s="201" t="s">
        <v>592</v>
      </c>
      <c r="C319" s="201" t="s">
        <v>595</v>
      </c>
      <c r="D319" s="201">
        <v>75</v>
      </c>
      <c r="E319" s="201">
        <v>75000</v>
      </c>
      <c r="F319">
        <v>0</v>
      </c>
      <c r="G319">
        <v>48760</v>
      </c>
      <c r="H319" s="201">
        <v>0.64</v>
      </c>
      <c r="K319" s="201" t="s">
        <v>295</v>
      </c>
      <c r="L319" s="201" t="s">
        <v>436</v>
      </c>
      <c r="M319" s="205">
        <v>567</v>
      </c>
      <c r="N319" s="205"/>
      <c r="O319" s="205">
        <v>2013</v>
      </c>
      <c r="Q319" s="205" t="s">
        <v>333</v>
      </c>
      <c r="R319" s="205" t="s">
        <v>178</v>
      </c>
      <c r="S319" s="205" t="s">
        <v>349</v>
      </c>
      <c r="T319" s="205" t="s">
        <v>177</v>
      </c>
      <c r="U319" s="205" t="s">
        <v>340</v>
      </c>
      <c r="V319" s="205" t="s">
        <v>707</v>
      </c>
      <c r="W319" s="205" t="s">
        <v>352</v>
      </c>
      <c r="X319" s="205"/>
      <c r="Y319" s="205"/>
      <c r="AA319" s="205">
        <v>1</v>
      </c>
      <c r="AB319" s="205">
        <v>1.2</v>
      </c>
      <c r="AC319" s="205">
        <v>2</v>
      </c>
      <c r="AD319" s="205">
        <v>2.5</v>
      </c>
      <c r="AE319" s="205">
        <v>2.7</v>
      </c>
      <c r="AF319" s="205">
        <v>3</v>
      </c>
      <c r="AG319" s="205">
        <v>6</v>
      </c>
      <c r="AK319" s="29">
        <v>1</v>
      </c>
      <c r="AL319" s="27">
        <v>1.62</v>
      </c>
      <c r="AM319" s="30">
        <v>1.3</v>
      </c>
      <c r="AN319" s="201" t="s">
        <v>503</v>
      </c>
    </row>
    <row r="320" spans="1:44">
      <c r="A320" s="201" t="s">
        <v>594</v>
      </c>
      <c r="B320" s="201" t="s">
        <v>593</v>
      </c>
      <c r="C320" s="201" t="s">
        <v>595</v>
      </c>
      <c r="D320" s="201">
        <v>75</v>
      </c>
      <c r="E320" s="201">
        <v>75000</v>
      </c>
      <c r="F320">
        <v>0</v>
      </c>
      <c r="G320">
        <v>99790</v>
      </c>
      <c r="H320" s="201">
        <v>0.64</v>
      </c>
      <c r="K320" s="201" t="s">
        <v>295</v>
      </c>
      <c r="L320" s="201" t="s">
        <v>436</v>
      </c>
      <c r="M320" s="205">
        <v>567</v>
      </c>
      <c r="N320" s="205"/>
      <c r="O320" s="205">
        <v>2013</v>
      </c>
      <c r="Q320" s="205" t="s">
        <v>333</v>
      </c>
      <c r="R320" s="205" t="s">
        <v>178</v>
      </c>
      <c r="S320" s="205" t="s">
        <v>349</v>
      </c>
      <c r="T320" s="205" t="s">
        <v>177</v>
      </c>
      <c r="U320" s="205" t="s">
        <v>340</v>
      </c>
      <c r="V320" s="205" t="s">
        <v>707</v>
      </c>
      <c r="W320" s="205" t="s">
        <v>352</v>
      </c>
      <c r="X320" s="205"/>
      <c r="Y320" s="205"/>
      <c r="AA320" s="205">
        <v>1</v>
      </c>
      <c r="AB320" s="205">
        <v>1.2</v>
      </c>
      <c r="AC320" s="205">
        <v>2</v>
      </c>
      <c r="AD320" s="205">
        <v>2.5</v>
      </c>
      <c r="AE320" s="205">
        <v>2.7</v>
      </c>
      <c r="AF320" s="205">
        <v>3</v>
      </c>
      <c r="AG320" s="205">
        <v>6</v>
      </c>
      <c r="AK320" s="29">
        <v>1</v>
      </c>
      <c r="AL320" s="27">
        <v>1.62</v>
      </c>
      <c r="AM320" s="30">
        <v>1.3</v>
      </c>
      <c r="AN320" s="201" t="s">
        <v>503</v>
      </c>
    </row>
    <row r="321" spans="2:40">
      <c r="K321" s="29"/>
      <c r="L321" s="29"/>
    </row>
    <row r="322" spans="2:40">
      <c r="B322" t="s">
        <v>771</v>
      </c>
      <c r="C322" s="1" t="s">
        <v>773</v>
      </c>
    </row>
    <row r="323" spans="2:40">
      <c r="C323" s="209"/>
      <c r="M323" s="31"/>
      <c r="N323" s="31"/>
      <c r="O323" s="31"/>
    </row>
    <row r="324" spans="2:40">
      <c r="C324" s="209"/>
      <c r="P324" s="205"/>
    </row>
    <row r="325" spans="2:40">
      <c r="B325" s="206"/>
      <c r="C325" s="209"/>
      <c r="P325" s="205"/>
    </row>
    <row r="326" spans="2:40">
      <c r="B326" s="206"/>
      <c r="C326" s="209"/>
      <c r="P326" s="205"/>
    </row>
    <row r="327" spans="2:40">
      <c r="B327" s="206"/>
      <c r="C327" s="206"/>
      <c r="P327" s="205"/>
    </row>
    <row r="328" spans="2:40">
      <c r="B328" s="206"/>
      <c r="C328" s="206"/>
    </row>
    <row r="329" spans="2:40">
      <c r="B329" s="206"/>
      <c r="C329" s="206"/>
    </row>
    <row r="330" spans="2:40">
      <c r="B330" s="206"/>
      <c r="C330" s="206"/>
    </row>
    <row r="331" spans="2:40">
      <c r="B331" s="206"/>
      <c r="C331" s="206"/>
    </row>
    <row r="332" spans="2:40">
      <c r="B332" s="206"/>
      <c r="C332" s="206"/>
    </row>
    <row r="333" spans="2:40">
      <c r="B333" s="206"/>
      <c r="C333" s="206"/>
      <c r="D333" s="208"/>
      <c r="E333" s="208"/>
      <c r="AN333" s="205"/>
    </row>
    <row r="334" spans="2:40">
      <c r="B334" s="206"/>
      <c r="C334" s="206"/>
      <c r="AN334" s="205"/>
    </row>
    <row r="335" spans="2:40">
      <c r="B335" s="206"/>
      <c r="C335" s="206"/>
      <c r="AN335" s="205"/>
    </row>
    <row r="336" spans="2:40">
      <c r="B336" s="206"/>
      <c r="C336" s="206"/>
    </row>
    <row r="337" spans="2:39">
      <c r="B337" s="206"/>
      <c r="C337" s="206"/>
    </row>
    <row r="338" spans="2:39">
      <c r="B338" s="206"/>
      <c r="C338" s="206"/>
    </row>
    <row r="339" spans="2:39">
      <c r="B339" s="206"/>
      <c r="C339" s="206"/>
    </row>
    <row r="340" spans="2:39">
      <c r="B340" s="206"/>
      <c r="C340" s="206"/>
    </row>
    <row r="341" spans="2:39">
      <c r="B341" s="206"/>
      <c r="C341" s="206"/>
      <c r="I341"/>
      <c r="J341"/>
      <c r="K341"/>
      <c r="L341"/>
      <c r="M341"/>
      <c r="N341"/>
      <c r="Q341"/>
      <c r="R341"/>
      <c r="S341"/>
      <c r="T341"/>
      <c r="U341"/>
      <c r="V341"/>
      <c r="W341"/>
      <c r="X341"/>
      <c r="Y341"/>
      <c r="Z341"/>
      <c r="AA341"/>
      <c r="AB341"/>
      <c r="AC341"/>
      <c r="AD341"/>
      <c r="AE341"/>
      <c r="AF341"/>
      <c r="AG341"/>
      <c r="AH341"/>
      <c r="AI341"/>
      <c r="AJ341"/>
      <c r="AK341"/>
      <c r="AL341"/>
      <c r="AM341"/>
    </row>
    <row r="342" spans="2:39">
      <c r="B342" s="206"/>
      <c r="C342" s="206"/>
      <c r="I342"/>
      <c r="J342"/>
      <c r="K342"/>
      <c r="L342"/>
      <c r="M342"/>
      <c r="N342"/>
      <c r="Q342"/>
      <c r="R342"/>
      <c r="S342"/>
      <c r="T342"/>
      <c r="U342"/>
      <c r="V342"/>
      <c r="W342"/>
      <c r="X342"/>
      <c r="Y342"/>
      <c r="Z342"/>
      <c r="AA342"/>
      <c r="AB342"/>
      <c r="AC342"/>
      <c r="AD342"/>
      <c r="AE342"/>
      <c r="AF342"/>
      <c r="AG342"/>
      <c r="AH342"/>
      <c r="AI342"/>
      <c r="AJ342"/>
      <c r="AK342"/>
      <c r="AL342"/>
      <c r="AM342"/>
    </row>
    <row r="343" spans="2:39">
      <c r="B343" s="206"/>
      <c r="C343" s="206"/>
      <c r="I343"/>
      <c r="J343"/>
      <c r="K343"/>
      <c r="L343"/>
      <c r="M343"/>
      <c r="N343"/>
      <c r="Q343"/>
      <c r="R343"/>
      <c r="S343"/>
      <c r="T343"/>
      <c r="U343"/>
      <c r="V343"/>
      <c r="W343"/>
      <c r="X343"/>
      <c r="Y343"/>
      <c r="Z343"/>
      <c r="AA343"/>
      <c r="AB343"/>
      <c r="AC343"/>
      <c r="AD343"/>
      <c r="AE343"/>
      <c r="AF343"/>
      <c r="AG343"/>
      <c r="AH343"/>
      <c r="AI343"/>
      <c r="AJ343"/>
      <c r="AK343"/>
      <c r="AL343"/>
      <c r="AM343"/>
    </row>
    <row r="344" spans="2:39">
      <c r="B344" s="206"/>
      <c r="C344" s="206"/>
      <c r="I344"/>
      <c r="J344"/>
      <c r="K344"/>
      <c r="L344"/>
      <c r="M344"/>
      <c r="N344"/>
      <c r="Q344"/>
      <c r="R344"/>
      <c r="S344"/>
      <c r="T344"/>
      <c r="U344"/>
      <c r="V344"/>
      <c r="W344"/>
      <c r="X344"/>
      <c r="Y344"/>
      <c r="Z344"/>
      <c r="AA344"/>
      <c r="AB344"/>
      <c r="AC344"/>
      <c r="AD344"/>
      <c r="AE344"/>
      <c r="AF344"/>
      <c r="AG344"/>
      <c r="AH344"/>
      <c r="AI344"/>
      <c r="AJ344"/>
      <c r="AK344"/>
      <c r="AL344"/>
      <c r="AM344"/>
    </row>
    <row r="345" spans="2:39">
      <c r="B345" s="206"/>
      <c r="C345" s="206"/>
      <c r="I345"/>
      <c r="J345"/>
      <c r="K345"/>
      <c r="L345"/>
      <c r="M345"/>
      <c r="N345"/>
      <c r="Q345"/>
      <c r="R345"/>
      <c r="S345"/>
      <c r="T345"/>
      <c r="U345"/>
      <c r="V345"/>
      <c r="W345"/>
      <c r="X345"/>
      <c r="Y345"/>
      <c r="Z345"/>
      <c r="AA345"/>
      <c r="AB345"/>
      <c r="AC345"/>
      <c r="AD345"/>
      <c r="AE345"/>
      <c r="AF345"/>
      <c r="AG345"/>
      <c r="AH345"/>
      <c r="AI345"/>
      <c r="AJ345"/>
      <c r="AK345"/>
      <c r="AL345"/>
      <c r="AM345"/>
    </row>
    <row r="346" spans="2:39">
      <c r="B346" s="206"/>
      <c r="C346" s="206"/>
      <c r="I346"/>
      <c r="J346"/>
      <c r="K346"/>
      <c r="L346"/>
      <c r="M346"/>
      <c r="N346"/>
      <c r="Q346"/>
      <c r="R346"/>
      <c r="S346"/>
      <c r="T346"/>
      <c r="U346"/>
      <c r="V346"/>
      <c r="W346"/>
      <c r="X346"/>
      <c r="Y346"/>
      <c r="Z346"/>
      <c r="AA346"/>
      <c r="AB346"/>
      <c r="AC346"/>
      <c r="AD346"/>
      <c r="AE346"/>
      <c r="AF346"/>
      <c r="AG346"/>
      <c r="AH346"/>
      <c r="AI346"/>
      <c r="AJ346"/>
      <c r="AK346"/>
      <c r="AL346"/>
      <c r="AM346"/>
    </row>
    <row r="347" spans="2:39">
      <c r="B347" s="206"/>
      <c r="C347" s="206"/>
      <c r="I347"/>
      <c r="J347"/>
      <c r="K347"/>
      <c r="L347"/>
      <c r="M347"/>
      <c r="N347"/>
      <c r="Q347"/>
      <c r="R347"/>
      <c r="S347"/>
      <c r="T347"/>
      <c r="U347"/>
      <c r="V347"/>
      <c r="W347"/>
      <c r="X347"/>
      <c r="Y347"/>
      <c r="Z347"/>
      <c r="AA347"/>
      <c r="AB347"/>
      <c r="AC347"/>
      <c r="AD347"/>
      <c r="AE347"/>
      <c r="AF347"/>
      <c r="AG347"/>
      <c r="AH347"/>
      <c r="AI347"/>
      <c r="AJ347"/>
      <c r="AK347"/>
      <c r="AL347"/>
      <c r="AM347"/>
    </row>
    <row r="348" spans="2:39">
      <c r="B348" s="206"/>
      <c r="C348" s="206"/>
      <c r="I348"/>
      <c r="J348"/>
      <c r="K348"/>
      <c r="L348"/>
      <c r="M348"/>
      <c r="N348"/>
      <c r="Q348"/>
      <c r="R348"/>
      <c r="S348"/>
      <c r="T348"/>
      <c r="U348"/>
      <c r="V348"/>
      <c r="W348"/>
      <c r="X348"/>
      <c r="Y348"/>
      <c r="Z348"/>
      <c r="AA348"/>
      <c r="AB348"/>
      <c r="AC348"/>
      <c r="AD348"/>
      <c r="AE348"/>
      <c r="AF348"/>
      <c r="AG348"/>
      <c r="AH348"/>
      <c r="AI348"/>
      <c r="AJ348"/>
      <c r="AK348"/>
      <c r="AL348"/>
      <c r="AM348"/>
    </row>
    <row r="349" spans="2:39">
      <c r="B349" s="206"/>
      <c r="C349" s="206"/>
      <c r="I349"/>
      <c r="J349"/>
      <c r="K349"/>
      <c r="L349"/>
      <c r="M349"/>
      <c r="N349"/>
      <c r="Q349"/>
      <c r="R349"/>
      <c r="S349"/>
      <c r="T349"/>
      <c r="U349"/>
      <c r="V349"/>
      <c r="W349"/>
      <c r="X349"/>
      <c r="Y349"/>
      <c r="Z349"/>
      <c r="AA349"/>
      <c r="AB349"/>
      <c r="AC349"/>
      <c r="AD349"/>
      <c r="AE349"/>
      <c r="AF349"/>
      <c r="AG349"/>
      <c r="AH349"/>
      <c r="AI349"/>
      <c r="AJ349"/>
      <c r="AK349"/>
      <c r="AL349"/>
      <c r="AM349"/>
    </row>
    <row r="350" spans="2:39">
      <c r="B350" s="206"/>
      <c r="C350" s="206"/>
      <c r="I350"/>
      <c r="J350"/>
      <c r="K350"/>
      <c r="L350"/>
      <c r="M350"/>
      <c r="N350"/>
      <c r="Q350"/>
      <c r="R350"/>
      <c r="S350"/>
      <c r="T350"/>
      <c r="U350"/>
      <c r="V350"/>
      <c r="W350"/>
      <c r="X350"/>
      <c r="Y350"/>
      <c r="Z350"/>
      <c r="AA350"/>
      <c r="AB350"/>
      <c r="AC350"/>
      <c r="AD350"/>
      <c r="AE350"/>
      <c r="AF350"/>
      <c r="AG350"/>
      <c r="AH350"/>
      <c r="AI350"/>
      <c r="AJ350"/>
      <c r="AK350"/>
      <c r="AL350"/>
      <c r="AM350"/>
    </row>
    <row r="351" spans="2:39">
      <c r="B351" s="206"/>
      <c r="C351" s="206"/>
      <c r="I351"/>
      <c r="J351"/>
      <c r="K351"/>
      <c r="L351"/>
      <c r="M351"/>
      <c r="N351"/>
      <c r="Q351"/>
      <c r="R351"/>
      <c r="S351"/>
      <c r="T351"/>
      <c r="U351"/>
      <c r="V351"/>
      <c r="W351"/>
      <c r="X351"/>
      <c r="Y351"/>
      <c r="Z351"/>
      <c r="AA351"/>
      <c r="AB351"/>
      <c r="AC351"/>
      <c r="AD351"/>
      <c r="AE351"/>
      <c r="AF351"/>
      <c r="AG351"/>
      <c r="AH351"/>
      <c r="AI351"/>
      <c r="AJ351"/>
      <c r="AK351"/>
      <c r="AL351"/>
      <c r="AM351"/>
    </row>
    <row r="352" spans="2:39">
      <c r="B352" s="206"/>
      <c r="C352" s="206"/>
      <c r="I352"/>
      <c r="J352"/>
      <c r="K352"/>
      <c r="L352"/>
      <c r="M352"/>
      <c r="N352"/>
      <c r="Q352"/>
      <c r="R352"/>
      <c r="S352"/>
      <c r="T352"/>
      <c r="U352"/>
      <c r="V352"/>
      <c r="W352"/>
      <c r="X352"/>
      <c r="Y352"/>
      <c r="Z352"/>
      <c r="AA352"/>
      <c r="AB352"/>
      <c r="AC352"/>
      <c r="AD352"/>
      <c r="AE352"/>
      <c r="AF352"/>
      <c r="AG352"/>
      <c r="AH352"/>
      <c r="AI352"/>
      <c r="AJ352"/>
      <c r="AK352"/>
      <c r="AL352"/>
      <c r="AM352"/>
    </row>
    <row r="353" spans="2:39">
      <c r="B353" s="206"/>
      <c r="C353" s="206"/>
      <c r="I353"/>
      <c r="J353"/>
      <c r="K353"/>
      <c r="L353"/>
      <c r="M353"/>
      <c r="N353"/>
      <c r="Q353"/>
      <c r="R353"/>
      <c r="S353"/>
      <c r="T353"/>
      <c r="U353"/>
      <c r="V353"/>
      <c r="W353"/>
      <c r="X353"/>
      <c r="Y353"/>
      <c r="Z353"/>
      <c r="AA353"/>
      <c r="AB353"/>
      <c r="AC353"/>
      <c r="AD353"/>
      <c r="AE353"/>
      <c r="AF353"/>
      <c r="AG353"/>
      <c r="AH353"/>
      <c r="AI353"/>
      <c r="AJ353"/>
      <c r="AK353"/>
      <c r="AL353"/>
      <c r="AM353"/>
    </row>
    <row r="354" spans="2:39">
      <c r="B354" s="206"/>
      <c r="C354" s="206"/>
      <c r="I354"/>
      <c r="J354"/>
      <c r="K354"/>
      <c r="L354"/>
      <c r="M354"/>
      <c r="N354"/>
      <c r="Q354"/>
      <c r="R354"/>
      <c r="S354"/>
      <c r="T354"/>
      <c r="U354"/>
      <c r="V354"/>
      <c r="W354"/>
      <c r="X354"/>
      <c r="Y354"/>
      <c r="Z354"/>
      <c r="AA354"/>
      <c r="AB354"/>
      <c r="AC354"/>
      <c r="AD354"/>
      <c r="AE354"/>
      <c r="AF354"/>
      <c r="AG354"/>
      <c r="AH354"/>
      <c r="AI354"/>
      <c r="AJ354"/>
      <c r="AK354"/>
      <c r="AL354"/>
      <c r="AM354"/>
    </row>
    <row r="355" spans="2:39">
      <c r="B355" s="206"/>
      <c r="C355" s="206"/>
      <c r="I355"/>
      <c r="J355"/>
      <c r="K355"/>
      <c r="L355"/>
      <c r="M355"/>
      <c r="N355"/>
      <c r="Q355"/>
      <c r="R355"/>
      <c r="S355"/>
      <c r="T355"/>
      <c r="U355"/>
      <c r="V355"/>
      <c r="W355"/>
      <c r="X355"/>
      <c r="Y355"/>
      <c r="Z355"/>
      <c r="AA355"/>
      <c r="AB355"/>
      <c r="AC355"/>
      <c r="AD355"/>
      <c r="AE355"/>
      <c r="AF355"/>
      <c r="AG355"/>
      <c r="AH355"/>
      <c r="AI355"/>
      <c r="AJ355"/>
      <c r="AK355"/>
      <c r="AL355"/>
      <c r="AM355"/>
    </row>
    <row r="356" spans="2:39">
      <c r="B356" s="206"/>
      <c r="C356" s="206"/>
      <c r="I356"/>
      <c r="J356"/>
      <c r="K356"/>
      <c r="L356"/>
      <c r="M356"/>
      <c r="N356"/>
      <c r="Q356"/>
      <c r="R356"/>
      <c r="S356"/>
      <c r="T356"/>
      <c r="U356"/>
      <c r="V356"/>
      <c r="W356"/>
      <c r="X356"/>
      <c r="Y356"/>
      <c r="Z356"/>
      <c r="AA356"/>
      <c r="AB356"/>
      <c r="AC356"/>
      <c r="AD356"/>
      <c r="AE356"/>
      <c r="AF356"/>
      <c r="AG356"/>
      <c r="AH356"/>
      <c r="AI356"/>
      <c r="AJ356"/>
      <c r="AK356"/>
      <c r="AL356"/>
      <c r="AM356"/>
    </row>
    <row r="357" spans="2:39">
      <c r="B357" s="206"/>
      <c r="C357" s="206"/>
      <c r="I357"/>
      <c r="J357"/>
      <c r="K357"/>
      <c r="L357"/>
      <c r="M357"/>
      <c r="N357"/>
      <c r="Q357"/>
      <c r="R357"/>
      <c r="S357"/>
      <c r="T357"/>
      <c r="U357"/>
      <c r="V357"/>
      <c r="W357"/>
      <c r="X357"/>
      <c r="Y357"/>
      <c r="Z357"/>
      <c r="AA357"/>
      <c r="AB357"/>
      <c r="AC357"/>
      <c r="AD357"/>
      <c r="AE357"/>
      <c r="AF357"/>
      <c r="AG357"/>
      <c r="AH357"/>
      <c r="AI357"/>
      <c r="AJ357"/>
      <c r="AK357"/>
      <c r="AL357"/>
      <c r="AM357"/>
    </row>
    <row r="358" spans="2:39">
      <c r="B358" s="206"/>
      <c r="C358" s="206"/>
      <c r="I358"/>
      <c r="J358"/>
      <c r="K358"/>
      <c r="L358"/>
      <c r="M358"/>
      <c r="N358"/>
      <c r="Q358"/>
      <c r="R358"/>
      <c r="S358"/>
      <c r="T358"/>
      <c r="U358"/>
      <c r="V358"/>
      <c r="W358"/>
      <c r="X358"/>
      <c r="Y358"/>
      <c r="Z358"/>
      <c r="AA358"/>
      <c r="AB358"/>
      <c r="AC358"/>
      <c r="AD358"/>
      <c r="AE358"/>
      <c r="AF358"/>
      <c r="AG358"/>
      <c r="AH358"/>
      <c r="AI358"/>
      <c r="AJ358"/>
      <c r="AK358"/>
      <c r="AL358"/>
      <c r="AM358"/>
    </row>
    <row r="359" spans="2:39">
      <c r="B359" s="206"/>
      <c r="C359" s="206"/>
      <c r="I359"/>
      <c r="J359"/>
      <c r="K359"/>
      <c r="L359"/>
      <c r="M359"/>
      <c r="N359"/>
      <c r="Q359"/>
      <c r="R359"/>
      <c r="S359"/>
      <c r="T359"/>
      <c r="U359"/>
      <c r="V359"/>
      <c r="W359"/>
      <c r="X359"/>
      <c r="Y359"/>
      <c r="Z359"/>
      <c r="AA359"/>
      <c r="AB359"/>
      <c r="AC359"/>
      <c r="AD359"/>
      <c r="AE359"/>
      <c r="AF359"/>
      <c r="AG359"/>
      <c r="AH359"/>
      <c r="AI359"/>
      <c r="AJ359"/>
      <c r="AK359"/>
      <c r="AL359"/>
      <c r="AM359"/>
    </row>
    <row r="360" spans="2:39">
      <c r="B360" s="206"/>
      <c r="C360" s="206"/>
      <c r="I360"/>
      <c r="J360"/>
      <c r="K360"/>
      <c r="L360"/>
      <c r="M360"/>
      <c r="N360"/>
      <c r="Q360"/>
      <c r="R360"/>
      <c r="S360"/>
      <c r="T360"/>
      <c r="U360"/>
      <c r="V360"/>
      <c r="W360"/>
      <c r="X360"/>
      <c r="Y360"/>
      <c r="Z360"/>
      <c r="AA360"/>
      <c r="AB360"/>
      <c r="AC360"/>
      <c r="AD360"/>
      <c r="AE360"/>
      <c r="AF360"/>
      <c r="AG360"/>
      <c r="AH360"/>
      <c r="AI360"/>
      <c r="AJ360"/>
      <c r="AK360"/>
      <c r="AL360"/>
      <c r="AM360"/>
    </row>
    <row r="361" spans="2:39">
      <c r="B361" s="206"/>
      <c r="C361" s="206"/>
      <c r="I361"/>
      <c r="J361"/>
      <c r="K361"/>
      <c r="L361"/>
      <c r="M361"/>
      <c r="N361"/>
      <c r="Q361"/>
      <c r="R361"/>
      <c r="S361"/>
      <c r="T361"/>
      <c r="U361"/>
      <c r="V361"/>
      <c r="W361"/>
      <c r="X361"/>
      <c r="Y361"/>
      <c r="Z361"/>
      <c r="AA361"/>
      <c r="AB361"/>
      <c r="AC361"/>
      <c r="AD361"/>
      <c r="AE361"/>
      <c r="AF361"/>
      <c r="AG361"/>
      <c r="AH361"/>
      <c r="AI361"/>
      <c r="AJ361"/>
      <c r="AK361"/>
      <c r="AL361"/>
      <c r="AM361"/>
    </row>
    <row r="362" spans="2:39">
      <c r="B362" s="206"/>
      <c r="C362" s="206"/>
      <c r="I362"/>
      <c r="J362"/>
      <c r="K362"/>
      <c r="L362"/>
      <c r="M362"/>
      <c r="N362"/>
      <c r="Q362"/>
      <c r="R362"/>
      <c r="S362"/>
      <c r="T362"/>
      <c r="U362"/>
      <c r="V362"/>
      <c r="W362"/>
      <c r="X362"/>
      <c r="Y362"/>
      <c r="Z362"/>
      <c r="AA362"/>
      <c r="AB362"/>
      <c r="AC362"/>
      <c r="AD362"/>
      <c r="AE362"/>
      <c r="AF362"/>
      <c r="AG362"/>
      <c r="AH362"/>
      <c r="AI362"/>
      <c r="AJ362"/>
      <c r="AK362"/>
      <c r="AL362"/>
      <c r="AM362"/>
    </row>
    <row r="363" spans="2:39">
      <c r="B363" s="206"/>
      <c r="C363" s="206"/>
      <c r="I363"/>
      <c r="J363"/>
      <c r="K363"/>
      <c r="L363"/>
      <c r="M363"/>
      <c r="N363"/>
      <c r="Q363"/>
      <c r="R363"/>
      <c r="S363"/>
      <c r="T363"/>
      <c r="U363"/>
      <c r="V363"/>
      <c r="W363"/>
      <c r="X363"/>
      <c r="Y363"/>
      <c r="Z363"/>
      <c r="AA363"/>
      <c r="AB363"/>
      <c r="AC363"/>
      <c r="AD363"/>
      <c r="AE363"/>
      <c r="AF363"/>
      <c r="AG363"/>
      <c r="AH363"/>
      <c r="AI363"/>
      <c r="AJ363"/>
      <c r="AK363"/>
      <c r="AL363"/>
      <c r="AM363"/>
    </row>
    <row r="364" spans="2:39">
      <c r="B364" s="206"/>
      <c r="C364" s="206"/>
      <c r="I364"/>
      <c r="J364"/>
      <c r="K364"/>
      <c r="L364"/>
      <c r="M364"/>
      <c r="N364"/>
      <c r="Q364"/>
      <c r="R364"/>
      <c r="S364"/>
      <c r="T364"/>
      <c r="U364"/>
      <c r="V364"/>
      <c r="W364"/>
      <c r="X364"/>
      <c r="Y364"/>
      <c r="Z364"/>
      <c r="AA364"/>
      <c r="AB364"/>
      <c r="AC364"/>
      <c r="AD364"/>
      <c r="AE364"/>
      <c r="AF364"/>
      <c r="AG364"/>
      <c r="AH364"/>
      <c r="AI364"/>
      <c r="AJ364"/>
      <c r="AK364"/>
      <c r="AL364"/>
      <c r="AM364"/>
    </row>
    <row r="365" spans="2:39">
      <c r="B365" s="206"/>
      <c r="C365" s="206"/>
      <c r="I365"/>
      <c r="J365"/>
      <c r="K365"/>
      <c r="L365"/>
      <c r="M365"/>
      <c r="N365"/>
      <c r="Q365"/>
      <c r="R365"/>
      <c r="S365"/>
      <c r="T365"/>
      <c r="U365"/>
      <c r="V365"/>
      <c r="W365"/>
      <c r="X365"/>
      <c r="Y365"/>
      <c r="Z365"/>
      <c r="AA365"/>
      <c r="AB365"/>
      <c r="AC365"/>
      <c r="AD365"/>
      <c r="AE365"/>
      <c r="AF365"/>
      <c r="AG365"/>
      <c r="AH365"/>
      <c r="AI365"/>
      <c r="AJ365"/>
      <c r="AK365"/>
      <c r="AL365"/>
      <c r="AM365"/>
    </row>
    <row r="366" spans="2:39">
      <c r="B366" s="206"/>
      <c r="C366" s="206"/>
      <c r="I366"/>
      <c r="J366"/>
      <c r="K366"/>
      <c r="L366"/>
      <c r="M366"/>
      <c r="N366"/>
      <c r="Q366"/>
      <c r="R366"/>
      <c r="S366"/>
      <c r="T366"/>
      <c r="U366"/>
      <c r="V366"/>
      <c r="W366"/>
      <c r="X366"/>
      <c r="Y366"/>
      <c r="Z366"/>
      <c r="AA366"/>
      <c r="AB366"/>
      <c r="AC366"/>
      <c r="AD366"/>
      <c r="AE366"/>
      <c r="AF366"/>
      <c r="AG366"/>
      <c r="AH366"/>
      <c r="AI366"/>
      <c r="AJ366"/>
      <c r="AK366"/>
      <c r="AL366"/>
      <c r="AM366"/>
    </row>
    <row r="367" spans="2:39">
      <c r="B367" s="206"/>
      <c r="C367" s="206"/>
      <c r="I367"/>
      <c r="J367"/>
      <c r="K367"/>
      <c r="L367"/>
      <c r="M367"/>
      <c r="N367"/>
      <c r="Q367"/>
      <c r="R367"/>
      <c r="S367"/>
      <c r="T367"/>
      <c r="U367"/>
      <c r="V367"/>
      <c r="W367"/>
      <c r="X367"/>
      <c r="Y367"/>
      <c r="Z367"/>
      <c r="AA367"/>
      <c r="AB367"/>
      <c r="AC367"/>
      <c r="AD367"/>
      <c r="AE367"/>
      <c r="AF367"/>
      <c r="AG367"/>
      <c r="AH367"/>
      <c r="AI367"/>
      <c r="AJ367"/>
      <c r="AK367"/>
      <c r="AL367"/>
      <c r="AM367"/>
    </row>
    <row r="368" spans="2:39">
      <c r="B368" s="206"/>
      <c r="C368" s="206"/>
      <c r="I368"/>
      <c r="J368"/>
      <c r="K368"/>
      <c r="L368"/>
      <c r="M368"/>
      <c r="N368"/>
      <c r="Q368"/>
      <c r="R368"/>
      <c r="S368"/>
      <c r="T368"/>
      <c r="U368"/>
      <c r="V368"/>
      <c r="W368"/>
      <c r="X368"/>
      <c r="Y368"/>
      <c r="Z368"/>
      <c r="AA368"/>
      <c r="AB368"/>
      <c r="AC368"/>
      <c r="AD368"/>
      <c r="AE368"/>
      <c r="AF368"/>
      <c r="AG368"/>
      <c r="AH368"/>
      <c r="AI368"/>
      <c r="AJ368"/>
      <c r="AK368"/>
      <c r="AL368"/>
      <c r="AM368"/>
    </row>
    <row r="369" spans="2:39">
      <c r="B369" s="206"/>
      <c r="C369" s="206"/>
      <c r="I369"/>
      <c r="J369"/>
      <c r="K369"/>
      <c r="L369"/>
      <c r="M369"/>
      <c r="N369"/>
      <c r="Q369"/>
      <c r="R369"/>
      <c r="S369"/>
      <c r="T369"/>
      <c r="U369"/>
      <c r="V369"/>
      <c r="W369"/>
      <c r="X369"/>
      <c r="Y369"/>
      <c r="Z369"/>
      <c r="AA369"/>
      <c r="AB369"/>
      <c r="AC369"/>
      <c r="AD369"/>
      <c r="AE369"/>
      <c r="AF369"/>
      <c r="AG369"/>
      <c r="AH369"/>
      <c r="AI369"/>
      <c r="AJ369"/>
      <c r="AK369"/>
      <c r="AL369"/>
      <c r="AM369"/>
    </row>
    <row r="370" spans="2:39">
      <c r="B370" s="206"/>
      <c r="C370" s="206"/>
      <c r="I370"/>
      <c r="J370"/>
      <c r="K370"/>
      <c r="L370"/>
      <c r="M370"/>
      <c r="N370"/>
      <c r="Q370"/>
      <c r="R370"/>
      <c r="S370"/>
      <c r="T370"/>
      <c r="U370"/>
      <c r="V370"/>
      <c r="W370"/>
      <c r="X370"/>
      <c r="Y370"/>
      <c r="Z370"/>
      <c r="AA370"/>
      <c r="AB370"/>
      <c r="AC370"/>
      <c r="AD370"/>
      <c r="AE370"/>
      <c r="AF370"/>
      <c r="AG370"/>
      <c r="AH370"/>
      <c r="AI370"/>
      <c r="AJ370"/>
      <c r="AK370"/>
      <c r="AL370"/>
      <c r="AM370"/>
    </row>
    <row r="371" spans="2:39">
      <c r="B371" s="206"/>
      <c r="C371" s="206"/>
      <c r="I371"/>
      <c r="J371"/>
      <c r="K371"/>
      <c r="L371"/>
      <c r="M371"/>
      <c r="N371"/>
      <c r="Q371"/>
      <c r="R371"/>
      <c r="S371"/>
      <c r="T371"/>
      <c r="U371"/>
      <c r="V371"/>
      <c r="W371"/>
      <c r="X371"/>
      <c r="Y371"/>
      <c r="Z371"/>
      <c r="AA371"/>
      <c r="AB371"/>
      <c r="AC371"/>
      <c r="AD371"/>
      <c r="AE371"/>
      <c r="AF371"/>
      <c r="AG371"/>
      <c r="AH371"/>
      <c r="AI371"/>
      <c r="AJ371"/>
      <c r="AK371"/>
      <c r="AL371"/>
      <c r="AM371"/>
    </row>
    <row r="372" spans="2:39">
      <c r="B372" s="206"/>
      <c r="C372" s="206"/>
      <c r="I372"/>
      <c r="J372"/>
      <c r="K372"/>
      <c r="L372"/>
      <c r="M372"/>
      <c r="N372"/>
      <c r="Q372"/>
      <c r="R372"/>
      <c r="S372"/>
      <c r="T372"/>
      <c r="U372"/>
      <c r="V372"/>
      <c r="W372"/>
      <c r="X372"/>
      <c r="Y372"/>
      <c r="Z372"/>
      <c r="AA372"/>
      <c r="AB372"/>
      <c r="AC372"/>
      <c r="AD372"/>
      <c r="AE372"/>
      <c r="AF372"/>
      <c r="AG372"/>
      <c r="AH372"/>
      <c r="AI372"/>
      <c r="AJ372"/>
      <c r="AK372"/>
      <c r="AL372"/>
      <c r="AM372"/>
    </row>
    <row r="373" spans="2:39">
      <c r="B373" s="206"/>
      <c r="C373" s="206"/>
      <c r="I373"/>
      <c r="J373"/>
      <c r="K373"/>
      <c r="L373"/>
      <c r="M373"/>
      <c r="N373"/>
      <c r="Q373"/>
      <c r="R373"/>
      <c r="S373"/>
      <c r="T373"/>
      <c r="U373"/>
      <c r="V373"/>
      <c r="W373"/>
      <c r="X373"/>
      <c r="Y373"/>
      <c r="Z373"/>
      <c r="AA373"/>
      <c r="AB373"/>
      <c r="AC373"/>
      <c r="AD373"/>
      <c r="AE373"/>
      <c r="AF373"/>
      <c r="AG373"/>
      <c r="AH373"/>
      <c r="AI373"/>
      <c r="AJ373"/>
      <c r="AK373"/>
      <c r="AL373"/>
      <c r="AM373"/>
    </row>
    <row r="374" spans="2:39">
      <c r="B374" s="206"/>
      <c r="C374" s="206"/>
      <c r="I374"/>
      <c r="J374"/>
      <c r="K374"/>
      <c r="L374"/>
      <c r="M374"/>
      <c r="N374"/>
      <c r="Q374"/>
      <c r="R374"/>
      <c r="S374"/>
      <c r="T374"/>
      <c r="U374"/>
      <c r="V374"/>
      <c r="W374"/>
      <c r="X374"/>
      <c r="Y374"/>
      <c r="Z374"/>
      <c r="AA374"/>
      <c r="AB374"/>
      <c r="AC374"/>
      <c r="AD374"/>
      <c r="AE374"/>
      <c r="AF374"/>
      <c r="AG374"/>
      <c r="AH374"/>
      <c r="AI374"/>
      <c r="AJ374"/>
      <c r="AK374"/>
      <c r="AL374"/>
      <c r="AM374"/>
    </row>
    <row r="375" spans="2:39">
      <c r="B375" s="206"/>
      <c r="C375" s="206"/>
      <c r="I375"/>
      <c r="J375"/>
      <c r="K375"/>
      <c r="L375"/>
      <c r="M375"/>
      <c r="N375"/>
      <c r="Q375"/>
      <c r="R375"/>
      <c r="S375"/>
      <c r="T375"/>
      <c r="U375"/>
      <c r="V375"/>
      <c r="W375"/>
      <c r="X375"/>
      <c r="Y375"/>
      <c r="Z375"/>
      <c r="AA375"/>
      <c r="AB375"/>
      <c r="AC375"/>
      <c r="AD375"/>
      <c r="AE375"/>
      <c r="AF375"/>
      <c r="AG375"/>
      <c r="AH375"/>
      <c r="AI375"/>
      <c r="AJ375"/>
      <c r="AK375"/>
      <c r="AL375"/>
      <c r="AM375"/>
    </row>
    <row r="376" spans="2:39">
      <c r="B376" s="206"/>
      <c r="C376" s="206"/>
      <c r="I376"/>
      <c r="J376"/>
      <c r="K376"/>
      <c r="L376"/>
      <c r="M376"/>
      <c r="N376"/>
      <c r="Q376"/>
      <c r="R376"/>
      <c r="S376"/>
      <c r="T376"/>
      <c r="U376"/>
      <c r="V376"/>
      <c r="W376"/>
      <c r="X376"/>
      <c r="Y376"/>
      <c r="Z376"/>
      <c r="AA376"/>
      <c r="AB376"/>
      <c r="AC376"/>
      <c r="AD376"/>
      <c r="AE376"/>
      <c r="AF376"/>
      <c r="AG376"/>
      <c r="AH376"/>
      <c r="AI376"/>
      <c r="AJ376"/>
      <c r="AK376"/>
      <c r="AL376"/>
      <c r="AM376"/>
    </row>
    <row r="377" spans="2:39">
      <c r="B377" s="206"/>
      <c r="C377" s="206"/>
      <c r="I377"/>
      <c r="J377"/>
      <c r="K377"/>
      <c r="L377"/>
      <c r="M377"/>
      <c r="N377"/>
      <c r="Q377"/>
      <c r="R377"/>
      <c r="S377"/>
      <c r="T377"/>
      <c r="U377"/>
      <c r="V377"/>
      <c r="W377"/>
      <c r="X377"/>
      <c r="Y377"/>
      <c r="Z377"/>
      <c r="AA377"/>
      <c r="AB377"/>
      <c r="AC377"/>
      <c r="AD377"/>
      <c r="AE377"/>
      <c r="AF377"/>
      <c r="AG377"/>
      <c r="AH377"/>
      <c r="AI377"/>
      <c r="AJ377"/>
      <c r="AK377"/>
      <c r="AL377"/>
      <c r="AM377"/>
    </row>
    <row r="378" spans="2:39">
      <c r="B378" s="206"/>
      <c r="C378" s="206"/>
      <c r="I378"/>
      <c r="J378"/>
      <c r="K378"/>
      <c r="L378"/>
      <c r="M378"/>
      <c r="N378"/>
      <c r="Q378"/>
      <c r="R378"/>
      <c r="S378"/>
      <c r="T378"/>
      <c r="U378"/>
      <c r="V378"/>
      <c r="W378"/>
      <c r="X378"/>
      <c r="Y378"/>
      <c r="Z378"/>
      <c r="AA378"/>
      <c r="AB378"/>
      <c r="AC378"/>
      <c r="AD378"/>
      <c r="AE378"/>
      <c r="AF378"/>
      <c r="AG378"/>
      <c r="AH378"/>
      <c r="AI378"/>
      <c r="AJ378"/>
      <c r="AK378"/>
      <c r="AL378"/>
      <c r="AM378"/>
    </row>
    <row r="379" spans="2:39">
      <c r="B379" s="206"/>
      <c r="C379" s="206"/>
      <c r="I379"/>
      <c r="J379"/>
      <c r="K379"/>
      <c r="L379"/>
      <c r="M379"/>
      <c r="N379"/>
      <c r="Q379"/>
      <c r="R379"/>
      <c r="S379"/>
      <c r="T379"/>
      <c r="U379"/>
      <c r="V379"/>
      <c r="W379"/>
      <c r="X379"/>
      <c r="Y379"/>
      <c r="Z379"/>
      <c r="AA379"/>
      <c r="AB379"/>
      <c r="AC379"/>
      <c r="AD379"/>
      <c r="AE379"/>
      <c r="AF379"/>
      <c r="AG379"/>
      <c r="AH379"/>
      <c r="AI379"/>
      <c r="AJ379"/>
      <c r="AK379"/>
      <c r="AL379"/>
      <c r="AM379"/>
    </row>
    <row r="380" spans="2:39">
      <c r="B380" s="206"/>
      <c r="C380" s="206"/>
      <c r="I380"/>
      <c r="J380"/>
      <c r="K380"/>
      <c r="L380"/>
      <c r="M380"/>
      <c r="N380"/>
      <c r="Q380"/>
      <c r="R380"/>
      <c r="S380"/>
      <c r="T380"/>
      <c r="U380"/>
      <c r="V380"/>
      <c r="W380"/>
      <c r="X380"/>
      <c r="Y380"/>
      <c r="Z380"/>
      <c r="AA380"/>
      <c r="AB380"/>
      <c r="AC380"/>
      <c r="AD380"/>
      <c r="AE380"/>
      <c r="AF380"/>
      <c r="AG380"/>
      <c r="AH380"/>
      <c r="AI380"/>
      <c r="AJ380"/>
      <c r="AK380"/>
      <c r="AL380"/>
      <c r="AM380"/>
    </row>
    <row r="381" spans="2:39">
      <c r="B381" s="206"/>
      <c r="C381" s="206"/>
      <c r="I381"/>
      <c r="J381"/>
      <c r="K381"/>
      <c r="L381"/>
      <c r="M381"/>
      <c r="N381"/>
      <c r="Q381"/>
      <c r="R381"/>
      <c r="S381"/>
      <c r="T381"/>
      <c r="U381"/>
      <c r="V381"/>
      <c r="W381"/>
      <c r="X381"/>
      <c r="Y381"/>
      <c r="Z381"/>
      <c r="AA381"/>
      <c r="AB381"/>
      <c r="AC381"/>
      <c r="AD381"/>
      <c r="AE381"/>
      <c r="AF381"/>
      <c r="AG381"/>
      <c r="AH381"/>
      <c r="AI381"/>
      <c r="AJ381"/>
      <c r="AK381"/>
      <c r="AL381"/>
      <c r="AM381"/>
    </row>
    <row r="382" spans="2:39">
      <c r="B382" s="206"/>
      <c r="C382" s="206"/>
      <c r="I382"/>
      <c r="J382"/>
      <c r="K382"/>
      <c r="L382"/>
      <c r="M382"/>
      <c r="N382"/>
      <c r="Q382"/>
      <c r="R382"/>
      <c r="S382"/>
      <c r="T382"/>
      <c r="U382"/>
      <c r="V382"/>
      <c r="W382"/>
      <c r="X382"/>
      <c r="Y382"/>
      <c r="Z382"/>
      <c r="AA382"/>
      <c r="AB382"/>
      <c r="AC382"/>
      <c r="AD382"/>
      <c r="AE382"/>
      <c r="AF382"/>
      <c r="AG382"/>
      <c r="AH382"/>
      <c r="AI382"/>
      <c r="AJ382"/>
      <c r="AK382"/>
      <c r="AL382"/>
      <c r="AM382"/>
    </row>
    <row r="383" spans="2:39">
      <c r="B383" s="206"/>
      <c r="C383" s="206"/>
      <c r="I383"/>
      <c r="J383"/>
      <c r="K383"/>
      <c r="L383"/>
      <c r="M383"/>
      <c r="N383"/>
      <c r="Q383"/>
      <c r="R383"/>
      <c r="S383"/>
      <c r="T383"/>
      <c r="U383"/>
      <c r="V383"/>
      <c r="W383"/>
      <c r="X383"/>
      <c r="Y383"/>
      <c r="Z383"/>
      <c r="AA383"/>
      <c r="AB383"/>
      <c r="AC383"/>
      <c r="AD383"/>
      <c r="AE383"/>
      <c r="AF383"/>
      <c r="AG383"/>
      <c r="AH383"/>
      <c r="AI383"/>
      <c r="AJ383"/>
      <c r="AK383"/>
      <c r="AL383"/>
      <c r="AM383"/>
    </row>
    <row r="384" spans="2:39">
      <c r="B384" s="206"/>
      <c r="C384" s="206"/>
      <c r="I384"/>
      <c r="J384"/>
      <c r="K384"/>
      <c r="L384"/>
      <c r="M384"/>
      <c r="N384"/>
      <c r="Q384"/>
      <c r="R384"/>
      <c r="S384"/>
      <c r="T384"/>
      <c r="U384"/>
      <c r="V384"/>
      <c r="W384"/>
      <c r="X384"/>
      <c r="Y384"/>
      <c r="Z384"/>
      <c r="AA384"/>
      <c r="AB384"/>
      <c r="AC384"/>
      <c r="AD384"/>
      <c r="AE384"/>
      <c r="AF384"/>
      <c r="AG384"/>
      <c r="AH384"/>
      <c r="AI384"/>
      <c r="AJ384"/>
      <c r="AK384"/>
      <c r="AL384"/>
      <c r="AM384"/>
    </row>
    <row r="385" spans="2:39">
      <c r="B385" s="206"/>
      <c r="C385" s="206"/>
      <c r="I385"/>
      <c r="J385"/>
      <c r="K385"/>
      <c r="L385"/>
      <c r="M385"/>
      <c r="N385"/>
      <c r="Q385"/>
      <c r="R385"/>
      <c r="S385"/>
      <c r="T385"/>
      <c r="U385"/>
      <c r="V385"/>
      <c r="W385"/>
      <c r="X385"/>
      <c r="Y385"/>
      <c r="Z385"/>
      <c r="AA385"/>
      <c r="AB385"/>
      <c r="AC385"/>
      <c r="AD385"/>
      <c r="AE385"/>
      <c r="AF385"/>
      <c r="AG385"/>
      <c r="AH385"/>
      <c r="AI385"/>
      <c r="AJ385"/>
      <c r="AK385"/>
      <c r="AL385"/>
      <c r="AM385"/>
    </row>
    <row r="386" spans="2:39">
      <c r="B386" s="206"/>
      <c r="C386" s="206"/>
      <c r="I386"/>
      <c r="J386"/>
      <c r="K386"/>
      <c r="L386"/>
      <c r="M386"/>
      <c r="N386"/>
      <c r="Q386"/>
      <c r="R386"/>
      <c r="S386"/>
      <c r="T386"/>
      <c r="U386"/>
      <c r="V386"/>
      <c r="W386"/>
      <c r="X386"/>
      <c r="Y386"/>
      <c r="Z386"/>
      <c r="AA386"/>
      <c r="AB386"/>
      <c r="AC386"/>
      <c r="AD386"/>
      <c r="AE386"/>
      <c r="AF386"/>
      <c r="AG386"/>
      <c r="AH386"/>
      <c r="AI386"/>
      <c r="AJ386"/>
      <c r="AK386"/>
      <c r="AL386"/>
      <c r="AM386"/>
    </row>
    <row r="387" spans="2:39">
      <c r="B387" s="206"/>
      <c r="C387" s="206"/>
      <c r="I387"/>
      <c r="J387"/>
      <c r="K387"/>
      <c r="L387"/>
      <c r="M387"/>
      <c r="N387"/>
      <c r="Q387"/>
      <c r="R387"/>
      <c r="S387"/>
      <c r="T387"/>
      <c r="U387"/>
      <c r="V387"/>
      <c r="W387"/>
      <c r="X387"/>
      <c r="Y387"/>
      <c r="Z387"/>
      <c r="AA387"/>
      <c r="AB387"/>
      <c r="AC387"/>
      <c r="AD387"/>
      <c r="AE387"/>
      <c r="AF387"/>
      <c r="AG387"/>
      <c r="AH387"/>
      <c r="AI387"/>
      <c r="AJ387"/>
      <c r="AK387"/>
      <c r="AL387"/>
      <c r="AM387"/>
    </row>
    <row r="388" spans="2:39">
      <c r="B388" s="206"/>
      <c r="C388" s="206"/>
      <c r="I388"/>
      <c r="J388"/>
      <c r="K388"/>
      <c r="L388"/>
      <c r="M388"/>
      <c r="N388"/>
      <c r="Q388"/>
      <c r="R388"/>
      <c r="S388"/>
      <c r="T388"/>
      <c r="U388"/>
      <c r="V388"/>
      <c r="W388"/>
      <c r="X388"/>
      <c r="Y388"/>
      <c r="Z388"/>
      <c r="AA388"/>
      <c r="AB388"/>
      <c r="AC388"/>
      <c r="AD388"/>
      <c r="AE388"/>
      <c r="AF388"/>
      <c r="AG388"/>
      <c r="AH388"/>
      <c r="AI388"/>
      <c r="AJ388"/>
      <c r="AK388"/>
      <c r="AL388"/>
      <c r="AM388"/>
    </row>
    <row r="389" spans="2:39">
      <c r="B389" s="206"/>
      <c r="C389" s="206"/>
      <c r="I389"/>
      <c r="J389"/>
      <c r="K389"/>
      <c r="L389"/>
      <c r="M389"/>
      <c r="N389"/>
      <c r="Q389"/>
      <c r="R389"/>
      <c r="S389"/>
      <c r="T389"/>
      <c r="U389"/>
      <c r="V389"/>
      <c r="W389"/>
      <c r="X389"/>
      <c r="Y389"/>
      <c r="Z389"/>
      <c r="AA389"/>
      <c r="AB389"/>
      <c r="AC389"/>
      <c r="AD389"/>
      <c r="AE389"/>
      <c r="AF389"/>
      <c r="AG389"/>
      <c r="AH389"/>
      <c r="AI389"/>
      <c r="AJ389"/>
      <c r="AK389"/>
      <c r="AL389"/>
      <c r="AM389"/>
    </row>
    <row r="390" spans="2:39">
      <c r="B390" s="206"/>
      <c r="C390" s="206"/>
      <c r="I390"/>
      <c r="J390"/>
      <c r="K390"/>
      <c r="L390"/>
      <c r="M390"/>
      <c r="N390"/>
      <c r="Q390"/>
      <c r="R390"/>
      <c r="S390"/>
      <c r="T390"/>
      <c r="U390"/>
      <c r="V390"/>
      <c r="W390"/>
      <c r="X390"/>
      <c r="Y390"/>
      <c r="Z390"/>
      <c r="AA390"/>
      <c r="AB390"/>
      <c r="AC390"/>
      <c r="AD390"/>
      <c r="AE390"/>
      <c r="AF390"/>
      <c r="AG390"/>
      <c r="AH390"/>
      <c r="AI390"/>
      <c r="AJ390"/>
      <c r="AK390"/>
      <c r="AL390"/>
      <c r="AM390"/>
    </row>
    <row r="391" spans="2:39">
      <c r="B391" s="206"/>
      <c r="C391" s="206"/>
      <c r="I391"/>
      <c r="J391"/>
      <c r="K391"/>
      <c r="L391"/>
      <c r="M391"/>
      <c r="N391"/>
      <c r="Q391"/>
      <c r="R391"/>
      <c r="S391"/>
      <c r="T391"/>
      <c r="U391"/>
      <c r="V391"/>
      <c r="W391"/>
      <c r="X391"/>
      <c r="Y391"/>
      <c r="Z391"/>
      <c r="AA391"/>
      <c r="AB391"/>
      <c r="AC391"/>
      <c r="AD391"/>
      <c r="AE391"/>
      <c r="AF391"/>
      <c r="AG391"/>
      <c r="AH391"/>
      <c r="AI391"/>
      <c r="AJ391"/>
      <c r="AK391"/>
      <c r="AL391"/>
      <c r="AM391"/>
    </row>
    <row r="392" spans="2:39">
      <c r="B392" s="206"/>
      <c r="C392" s="206"/>
      <c r="I392"/>
      <c r="J392"/>
      <c r="K392"/>
      <c r="L392"/>
      <c r="M392"/>
      <c r="N392"/>
      <c r="Q392"/>
      <c r="R392"/>
      <c r="S392"/>
      <c r="T392"/>
      <c r="U392"/>
      <c r="V392"/>
      <c r="W392"/>
      <c r="X392"/>
      <c r="Y392"/>
      <c r="Z392"/>
      <c r="AA392"/>
      <c r="AB392"/>
      <c r="AC392"/>
      <c r="AD392"/>
      <c r="AE392"/>
      <c r="AF392"/>
      <c r="AG392"/>
      <c r="AH392"/>
      <c r="AI392"/>
      <c r="AJ392"/>
      <c r="AK392"/>
      <c r="AL392"/>
      <c r="AM392"/>
    </row>
    <row r="393" spans="2:39">
      <c r="B393" s="206"/>
      <c r="C393" s="206"/>
      <c r="I393"/>
      <c r="J393"/>
      <c r="K393"/>
      <c r="L393"/>
      <c r="M393"/>
      <c r="N393"/>
      <c r="Q393"/>
      <c r="R393"/>
      <c r="S393"/>
      <c r="T393"/>
      <c r="U393"/>
      <c r="V393"/>
      <c r="W393"/>
      <c r="X393"/>
      <c r="Y393"/>
      <c r="Z393"/>
      <c r="AA393"/>
      <c r="AB393"/>
      <c r="AC393"/>
      <c r="AD393"/>
      <c r="AE393"/>
      <c r="AF393"/>
      <c r="AG393"/>
      <c r="AH393"/>
      <c r="AI393"/>
      <c r="AJ393"/>
      <c r="AK393"/>
      <c r="AL393"/>
      <c r="AM393"/>
    </row>
    <row r="394" spans="2:39">
      <c r="B394" s="206"/>
      <c r="C394" s="206"/>
      <c r="I394"/>
      <c r="J394"/>
      <c r="K394"/>
      <c r="L394"/>
      <c r="M394"/>
      <c r="N394"/>
      <c r="Q394"/>
      <c r="R394"/>
      <c r="S394"/>
      <c r="T394"/>
      <c r="U394"/>
      <c r="V394"/>
      <c r="W394"/>
      <c r="X394"/>
      <c r="Y394"/>
      <c r="Z394"/>
      <c r="AA394"/>
      <c r="AB394"/>
      <c r="AC394"/>
      <c r="AD394"/>
      <c r="AE394"/>
      <c r="AF394"/>
      <c r="AG394"/>
      <c r="AH394"/>
      <c r="AI394"/>
      <c r="AJ394"/>
      <c r="AK394"/>
      <c r="AL394"/>
      <c r="AM394"/>
    </row>
    <row r="395" spans="2:39">
      <c r="B395" s="206"/>
      <c r="C395" s="206"/>
      <c r="I395"/>
      <c r="J395"/>
      <c r="K395"/>
      <c r="L395"/>
      <c r="M395"/>
      <c r="N395"/>
      <c r="Q395"/>
      <c r="R395"/>
      <c r="S395"/>
      <c r="T395"/>
      <c r="U395"/>
      <c r="V395"/>
      <c r="W395"/>
      <c r="X395"/>
      <c r="Y395"/>
      <c r="Z395"/>
      <c r="AA395"/>
      <c r="AB395"/>
      <c r="AC395"/>
      <c r="AD395"/>
      <c r="AE395"/>
      <c r="AF395"/>
      <c r="AG395"/>
      <c r="AH395"/>
      <c r="AI395"/>
      <c r="AJ395"/>
      <c r="AK395"/>
      <c r="AL395"/>
      <c r="AM395"/>
    </row>
    <row r="396" spans="2:39">
      <c r="B396" s="206"/>
      <c r="C396" s="206"/>
      <c r="I396"/>
      <c r="J396"/>
      <c r="K396"/>
      <c r="L396"/>
      <c r="M396"/>
      <c r="N396"/>
      <c r="Q396"/>
      <c r="R396"/>
      <c r="S396"/>
      <c r="T396"/>
      <c r="U396"/>
      <c r="V396"/>
      <c r="W396"/>
      <c r="X396"/>
      <c r="Y396"/>
      <c r="Z396"/>
      <c r="AA396"/>
      <c r="AB396"/>
      <c r="AC396"/>
      <c r="AD396"/>
      <c r="AE396"/>
      <c r="AF396"/>
      <c r="AG396"/>
      <c r="AH396"/>
      <c r="AI396"/>
      <c r="AJ396"/>
      <c r="AK396"/>
      <c r="AL396"/>
      <c r="AM396"/>
    </row>
    <row r="397" spans="2:39">
      <c r="B397" s="206"/>
      <c r="C397" s="206"/>
      <c r="I397"/>
      <c r="J397"/>
      <c r="K397"/>
      <c r="L397"/>
      <c r="M397"/>
      <c r="N397"/>
      <c r="Q397"/>
      <c r="R397"/>
      <c r="S397"/>
      <c r="T397"/>
      <c r="U397"/>
      <c r="V397"/>
      <c r="W397"/>
      <c r="X397"/>
      <c r="Y397"/>
      <c r="Z397"/>
      <c r="AA397"/>
      <c r="AB397"/>
      <c r="AC397"/>
      <c r="AD397"/>
      <c r="AE397"/>
      <c r="AF397"/>
      <c r="AG397"/>
      <c r="AH397"/>
      <c r="AI397"/>
      <c r="AJ397"/>
      <c r="AK397"/>
      <c r="AL397"/>
      <c r="AM397"/>
    </row>
    <row r="398" spans="2:39">
      <c r="B398" s="206"/>
      <c r="C398" s="206"/>
      <c r="I398"/>
      <c r="J398"/>
      <c r="K398"/>
      <c r="L398"/>
      <c r="M398"/>
      <c r="N398"/>
      <c r="Q398"/>
      <c r="R398"/>
      <c r="S398"/>
      <c r="T398"/>
      <c r="U398"/>
      <c r="V398"/>
      <c r="W398"/>
      <c r="X398"/>
      <c r="Y398"/>
      <c r="Z398"/>
      <c r="AA398"/>
      <c r="AB398"/>
      <c r="AC398"/>
      <c r="AD398"/>
      <c r="AE398"/>
      <c r="AF398"/>
      <c r="AG398"/>
      <c r="AH398"/>
      <c r="AI398"/>
      <c r="AJ398"/>
      <c r="AK398"/>
      <c r="AL398"/>
      <c r="AM398"/>
    </row>
    <row r="399" spans="2:39">
      <c r="B399" s="206"/>
      <c r="C399" s="206"/>
      <c r="I399"/>
      <c r="J399"/>
      <c r="K399"/>
      <c r="L399"/>
      <c r="M399"/>
      <c r="N399"/>
      <c r="Q399"/>
      <c r="R399"/>
      <c r="S399"/>
      <c r="T399"/>
      <c r="U399"/>
      <c r="V399"/>
      <c r="W399"/>
      <c r="X399"/>
      <c r="Y399"/>
      <c r="Z399"/>
      <c r="AA399"/>
      <c r="AB399"/>
      <c r="AC399"/>
      <c r="AD399"/>
      <c r="AE399"/>
      <c r="AF399"/>
      <c r="AG399"/>
      <c r="AH399"/>
      <c r="AI399"/>
      <c r="AJ399"/>
      <c r="AK399"/>
      <c r="AL399"/>
      <c r="AM399"/>
    </row>
    <row r="400" spans="2:39">
      <c r="B400" s="206"/>
      <c r="C400" s="206"/>
      <c r="I400"/>
      <c r="J400"/>
      <c r="K400"/>
      <c r="L400"/>
      <c r="M400"/>
      <c r="N400"/>
      <c r="Q400"/>
      <c r="R400"/>
      <c r="S400"/>
      <c r="T400"/>
      <c r="U400"/>
      <c r="V400"/>
      <c r="W400"/>
      <c r="X400"/>
      <c r="Y400"/>
      <c r="Z400"/>
      <c r="AA400"/>
      <c r="AB400"/>
      <c r="AC400"/>
      <c r="AD400"/>
      <c r="AE400"/>
      <c r="AF400"/>
      <c r="AG400"/>
      <c r="AH400"/>
      <c r="AI400"/>
      <c r="AJ400"/>
      <c r="AK400"/>
      <c r="AL400"/>
      <c r="AM400"/>
    </row>
    <row r="401" spans="2:39">
      <c r="B401" s="206"/>
      <c r="C401" s="206"/>
      <c r="I401"/>
      <c r="J401"/>
      <c r="K401"/>
      <c r="L401"/>
      <c r="M401"/>
      <c r="N401"/>
      <c r="Q401"/>
      <c r="R401"/>
      <c r="S401"/>
      <c r="T401"/>
      <c r="U401"/>
      <c r="V401"/>
      <c r="W401"/>
      <c r="X401"/>
      <c r="Y401"/>
      <c r="Z401"/>
      <c r="AA401"/>
      <c r="AB401"/>
      <c r="AC401"/>
      <c r="AD401"/>
      <c r="AE401"/>
      <c r="AF401"/>
      <c r="AG401"/>
      <c r="AH401"/>
      <c r="AI401"/>
      <c r="AJ401"/>
      <c r="AK401"/>
      <c r="AL401"/>
      <c r="AM401"/>
    </row>
    <row r="402" spans="2:39">
      <c r="B402" s="206"/>
      <c r="C402" s="206"/>
      <c r="I402"/>
      <c r="J402"/>
      <c r="K402"/>
      <c r="L402"/>
      <c r="M402"/>
      <c r="N402"/>
      <c r="Q402"/>
      <c r="R402"/>
      <c r="S402"/>
      <c r="T402"/>
      <c r="U402"/>
      <c r="V402"/>
      <c r="W402"/>
      <c r="X402"/>
      <c r="Y402"/>
      <c r="Z402"/>
      <c r="AA402"/>
      <c r="AB402"/>
      <c r="AC402"/>
      <c r="AD402"/>
      <c r="AE402"/>
      <c r="AF402"/>
      <c r="AG402"/>
      <c r="AH402"/>
      <c r="AI402"/>
      <c r="AJ402"/>
      <c r="AK402"/>
      <c r="AL402"/>
      <c r="AM402"/>
    </row>
    <row r="403" spans="2:39">
      <c r="B403" s="206"/>
      <c r="C403" s="206"/>
      <c r="I403"/>
      <c r="J403"/>
      <c r="K403"/>
      <c r="L403"/>
      <c r="M403"/>
      <c r="N403"/>
      <c r="Q403"/>
      <c r="R403"/>
      <c r="S403"/>
      <c r="T403"/>
      <c r="U403"/>
      <c r="V403"/>
      <c r="W403"/>
      <c r="X403"/>
      <c r="Y403"/>
      <c r="Z403"/>
      <c r="AA403"/>
      <c r="AB403"/>
      <c r="AC403"/>
      <c r="AD403"/>
      <c r="AE403"/>
      <c r="AF403"/>
      <c r="AG403"/>
      <c r="AH403"/>
      <c r="AI403"/>
      <c r="AJ403"/>
      <c r="AK403"/>
      <c r="AL403"/>
      <c r="AM403"/>
    </row>
    <row r="404" spans="2:39">
      <c r="B404" s="206"/>
      <c r="C404" s="206"/>
      <c r="I404"/>
      <c r="J404"/>
      <c r="K404"/>
      <c r="L404"/>
      <c r="M404"/>
      <c r="N404"/>
      <c r="Q404"/>
      <c r="R404"/>
      <c r="S404"/>
      <c r="T404"/>
      <c r="U404"/>
      <c r="V404"/>
      <c r="W404"/>
      <c r="X404"/>
      <c r="Y404"/>
      <c r="Z404"/>
      <c r="AA404"/>
      <c r="AB404"/>
      <c r="AC404"/>
      <c r="AD404"/>
      <c r="AE404"/>
      <c r="AF404"/>
      <c r="AG404"/>
      <c r="AH404"/>
      <c r="AI404"/>
      <c r="AJ404"/>
      <c r="AK404"/>
      <c r="AL404"/>
      <c r="AM404"/>
    </row>
    <row r="405" spans="2:39">
      <c r="B405" s="206"/>
      <c r="C405" s="206"/>
      <c r="I405"/>
      <c r="J405"/>
      <c r="K405"/>
      <c r="L405"/>
      <c r="M405"/>
      <c r="N405"/>
      <c r="Q405"/>
      <c r="R405"/>
      <c r="S405"/>
      <c r="T405"/>
      <c r="U405"/>
      <c r="V405"/>
      <c r="W405"/>
      <c r="X405"/>
      <c r="Y405"/>
      <c r="Z405"/>
      <c r="AA405"/>
      <c r="AB405"/>
      <c r="AC405"/>
      <c r="AD405"/>
      <c r="AE405"/>
      <c r="AF405"/>
      <c r="AG405"/>
      <c r="AH405"/>
      <c r="AI405"/>
      <c r="AJ405"/>
      <c r="AK405"/>
      <c r="AL405"/>
      <c r="AM405"/>
    </row>
    <row r="406" spans="2:39">
      <c r="B406" s="206"/>
      <c r="C406" s="206"/>
      <c r="I406"/>
      <c r="J406"/>
      <c r="K406"/>
      <c r="L406"/>
      <c r="M406"/>
      <c r="N406"/>
      <c r="Q406"/>
      <c r="R406"/>
      <c r="S406"/>
      <c r="T406"/>
      <c r="U406"/>
      <c r="V406"/>
      <c r="W406"/>
      <c r="X406"/>
      <c r="Y406"/>
      <c r="Z406"/>
      <c r="AA406"/>
      <c r="AB406"/>
      <c r="AC406"/>
      <c r="AD406"/>
      <c r="AE406"/>
      <c r="AF406"/>
      <c r="AG406"/>
      <c r="AH406"/>
      <c r="AI406"/>
      <c r="AJ406"/>
      <c r="AK406"/>
      <c r="AL406"/>
      <c r="AM406"/>
    </row>
    <row r="407" spans="2:39">
      <c r="B407" s="206"/>
      <c r="C407" s="206"/>
      <c r="I407"/>
      <c r="J407"/>
      <c r="K407"/>
      <c r="L407"/>
      <c r="M407"/>
      <c r="N407"/>
      <c r="Q407"/>
      <c r="R407"/>
      <c r="S407"/>
      <c r="T407"/>
      <c r="U407"/>
      <c r="V407"/>
      <c r="W407"/>
      <c r="X407"/>
      <c r="Y407"/>
      <c r="Z407"/>
      <c r="AA407"/>
      <c r="AB407"/>
      <c r="AC407"/>
      <c r="AD407"/>
      <c r="AE407"/>
      <c r="AF407"/>
      <c r="AG407"/>
      <c r="AH407"/>
      <c r="AI407"/>
      <c r="AJ407"/>
      <c r="AK407"/>
      <c r="AL407"/>
      <c r="AM407"/>
    </row>
    <row r="408" spans="2:39">
      <c r="B408" s="206"/>
      <c r="C408" s="206"/>
      <c r="I408"/>
      <c r="J408"/>
      <c r="K408"/>
      <c r="L408"/>
      <c r="M408"/>
      <c r="N408"/>
      <c r="Q408"/>
      <c r="R408"/>
      <c r="S408"/>
      <c r="T408"/>
      <c r="U408"/>
      <c r="V408"/>
      <c r="W408"/>
      <c r="X408"/>
      <c r="Y408"/>
      <c r="Z408"/>
      <c r="AA408"/>
      <c r="AB408"/>
      <c r="AC408"/>
      <c r="AD408"/>
      <c r="AE408"/>
      <c r="AF408"/>
      <c r="AG408"/>
      <c r="AH408"/>
      <c r="AI408"/>
      <c r="AJ408"/>
      <c r="AK408"/>
      <c r="AL408"/>
      <c r="AM408"/>
    </row>
    <row r="409" spans="2:39">
      <c r="B409" s="206"/>
      <c r="C409" s="206"/>
      <c r="I409"/>
      <c r="J409"/>
      <c r="K409"/>
      <c r="L409"/>
      <c r="M409"/>
      <c r="N409"/>
      <c r="Q409"/>
      <c r="R409"/>
      <c r="S409"/>
      <c r="T409"/>
      <c r="U409"/>
      <c r="V409"/>
      <c r="W409"/>
      <c r="X409"/>
      <c r="Y409"/>
      <c r="Z409"/>
      <c r="AA409"/>
      <c r="AB409"/>
      <c r="AC409"/>
      <c r="AD409"/>
      <c r="AE409"/>
      <c r="AF409"/>
      <c r="AG409"/>
      <c r="AH409"/>
      <c r="AI409"/>
      <c r="AJ409"/>
      <c r="AK409"/>
      <c r="AL409"/>
      <c r="AM409"/>
    </row>
    <row r="410" spans="2:39">
      <c r="B410" s="206"/>
      <c r="C410" s="206"/>
      <c r="I410"/>
      <c r="J410"/>
      <c r="K410"/>
      <c r="L410"/>
      <c r="M410"/>
      <c r="N410"/>
      <c r="Q410"/>
      <c r="R410"/>
      <c r="S410"/>
      <c r="T410"/>
      <c r="U410"/>
      <c r="V410"/>
      <c r="W410"/>
      <c r="X410"/>
      <c r="Y410"/>
      <c r="Z410"/>
      <c r="AA410"/>
      <c r="AB410"/>
      <c r="AC410"/>
      <c r="AD410"/>
      <c r="AE410"/>
      <c r="AF410"/>
      <c r="AG410"/>
      <c r="AH410"/>
      <c r="AI410"/>
      <c r="AJ410"/>
      <c r="AK410"/>
      <c r="AL410"/>
      <c r="AM410"/>
    </row>
    <row r="411" spans="2:39">
      <c r="B411" s="206"/>
      <c r="C411" s="206"/>
      <c r="I411"/>
      <c r="J411"/>
      <c r="K411"/>
      <c r="L411"/>
      <c r="M411"/>
      <c r="N411"/>
      <c r="Q411"/>
      <c r="R411"/>
      <c r="S411"/>
      <c r="T411"/>
      <c r="U411"/>
      <c r="V411"/>
      <c r="W411"/>
      <c r="X411"/>
      <c r="Y411"/>
      <c r="Z411"/>
      <c r="AA411"/>
      <c r="AB411"/>
      <c r="AC411"/>
      <c r="AD411"/>
      <c r="AE411"/>
      <c r="AF411"/>
      <c r="AG411"/>
      <c r="AH411"/>
      <c r="AI411"/>
      <c r="AJ411"/>
      <c r="AK411"/>
      <c r="AL411"/>
      <c r="AM411"/>
    </row>
    <row r="412" spans="2:39">
      <c r="B412" s="206"/>
      <c r="C412" s="206"/>
      <c r="I412"/>
      <c r="J412"/>
      <c r="K412"/>
      <c r="L412"/>
      <c r="M412"/>
      <c r="N412"/>
      <c r="Q412"/>
      <c r="R412"/>
      <c r="S412"/>
      <c r="T412"/>
      <c r="U412"/>
      <c r="V412"/>
      <c r="W412"/>
      <c r="X412"/>
      <c r="Y412"/>
      <c r="Z412"/>
      <c r="AA412"/>
      <c r="AB412"/>
      <c r="AC412"/>
      <c r="AD412"/>
      <c r="AE412"/>
      <c r="AF412"/>
      <c r="AG412"/>
      <c r="AH412"/>
      <c r="AI412"/>
      <c r="AJ412"/>
      <c r="AK412"/>
      <c r="AL412"/>
      <c r="AM412"/>
    </row>
    <row r="413" spans="2:39">
      <c r="B413" s="206"/>
      <c r="C413" s="206"/>
      <c r="I413"/>
      <c r="J413"/>
      <c r="K413"/>
      <c r="L413"/>
      <c r="M413"/>
      <c r="N413"/>
      <c r="Q413"/>
      <c r="R413"/>
      <c r="S413"/>
      <c r="T413"/>
      <c r="U413"/>
      <c r="V413"/>
      <c r="W413"/>
      <c r="X413"/>
      <c r="Y413"/>
      <c r="Z413"/>
      <c r="AA413"/>
      <c r="AB413"/>
      <c r="AC413"/>
      <c r="AD413"/>
      <c r="AE413"/>
      <c r="AF413"/>
      <c r="AG413"/>
      <c r="AH413"/>
      <c r="AI413"/>
      <c r="AJ413"/>
      <c r="AK413"/>
      <c r="AL413"/>
      <c r="AM413"/>
    </row>
    <row r="414" spans="2:39">
      <c r="B414" s="206"/>
      <c r="C414" s="206"/>
      <c r="I414"/>
      <c r="J414"/>
      <c r="K414"/>
      <c r="L414"/>
      <c r="M414"/>
      <c r="N414"/>
      <c r="Q414"/>
      <c r="R414"/>
      <c r="S414"/>
      <c r="T414"/>
      <c r="U414"/>
      <c r="V414"/>
      <c r="W414"/>
      <c r="X414"/>
      <c r="Y414"/>
      <c r="Z414"/>
      <c r="AA414"/>
      <c r="AB414"/>
      <c r="AC414"/>
      <c r="AD414"/>
      <c r="AE414"/>
      <c r="AF414"/>
      <c r="AG414"/>
      <c r="AH414"/>
      <c r="AI414"/>
      <c r="AJ414"/>
      <c r="AK414"/>
      <c r="AL414"/>
      <c r="AM414"/>
    </row>
    <row r="415" spans="2:39">
      <c r="B415" s="206"/>
      <c r="C415" s="206"/>
      <c r="I415"/>
      <c r="J415"/>
      <c r="K415"/>
      <c r="L415"/>
      <c r="M415"/>
      <c r="N415"/>
      <c r="Q415"/>
      <c r="R415"/>
      <c r="S415"/>
      <c r="T415"/>
      <c r="U415"/>
      <c r="V415"/>
      <c r="W415"/>
      <c r="X415"/>
      <c r="Y415"/>
      <c r="Z415"/>
      <c r="AA415"/>
      <c r="AB415"/>
      <c r="AC415"/>
      <c r="AD415"/>
      <c r="AE415"/>
      <c r="AF415"/>
      <c r="AG415"/>
      <c r="AH415"/>
      <c r="AI415"/>
      <c r="AJ415"/>
      <c r="AK415"/>
      <c r="AL415"/>
      <c r="AM415"/>
    </row>
    <row r="416" spans="2:39">
      <c r="B416" s="206"/>
      <c r="C416" s="206"/>
      <c r="I416"/>
      <c r="J416"/>
      <c r="K416"/>
      <c r="L416"/>
      <c r="M416"/>
      <c r="N416"/>
      <c r="Q416"/>
      <c r="R416"/>
      <c r="S416"/>
      <c r="T416"/>
      <c r="U416"/>
      <c r="V416"/>
      <c r="W416"/>
      <c r="X416"/>
      <c r="Y416"/>
      <c r="Z416"/>
      <c r="AA416"/>
      <c r="AB416"/>
      <c r="AC416"/>
      <c r="AD416"/>
      <c r="AE416"/>
      <c r="AF416"/>
      <c r="AG416"/>
      <c r="AH416"/>
      <c r="AI416"/>
      <c r="AJ416"/>
      <c r="AK416"/>
      <c r="AL416"/>
      <c r="AM416"/>
    </row>
    <row r="417" spans="2:39">
      <c r="B417" s="206"/>
      <c r="C417" s="206"/>
      <c r="I417"/>
      <c r="J417"/>
      <c r="K417"/>
      <c r="L417"/>
      <c r="M417"/>
      <c r="N417"/>
      <c r="Q417"/>
      <c r="R417"/>
      <c r="S417"/>
      <c r="T417"/>
      <c r="U417"/>
      <c r="V417"/>
      <c r="W417"/>
      <c r="X417"/>
      <c r="Y417"/>
      <c r="Z417"/>
      <c r="AA417"/>
      <c r="AB417"/>
      <c r="AC417"/>
      <c r="AD417"/>
      <c r="AE417"/>
      <c r="AF417"/>
      <c r="AG417"/>
      <c r="AH417"/>
      <c r="AI417"/>
      <c r="AJ417"/>
      <c r="AK417"/>
      <c r="AL417"/>
      <c r="AM417"/>
    </row>
    <row r="418" spans="2:39">
      <c r="B418" s="206"/>
      <c r="C418" s="206"/>
      <c r="I418"/>
      <c r="J418"/>
      <c r="K418"/>
      <c r="L418"/>
      <c r="M418"/>
      <c r="N418"/>
      <c r="Q418"/>
      <c r="R418"/>
      <c r="S418"/>
      <c r="T418"/>
      <c r="U418"/>
      <c r="V418"/>
      <c r="W418"/>
      <c r="X418"/>
      <c r="Y418"/>
      <c r="Z418"/>
      <c r="AA418"/>
      <c r="AB418"/>
      <c r="AC418"/>
      <c r="AD418"/>
      <c r="AE418"/>
      <c r="AF418"/>
      <c r="AG418"/>
      <c r="AH418"/>
      <c r="AI418"/>
      <c r="AJ418"/>
      <c r="AK418"/>
      <c r="AL418"/>
      <c r="AM418"/>
    </row>
    <row r="419" spans="2:39">
      <c r="B419" s="206"/>
      <c r="C419" s="206"/>
      <c r="I419"/>
      <c r="J419"/>
      <c r="K419"/>
      <c r="L419"/>
      <c r="M419"/>
      <c r="N419"/>
      <c r="Q419"/>
      <c r="R419"/>
      <c r="S419"/>
      <c r="T419"/>
      <c r="U419"/>
      <c r="V419"/>
      <c r="W419"/>
      <c r="X419"/>
      <c r="Y419"/>
      <c r="Z419"/>
      <c r="AA419"/>
      <c r="AB419"/>
      <c r="AC419"/>
      <c r="AD419"/>
      <c r="AE419"/>
      <c r="AF419"/>
      <c r="AG419"/>
      <c r="AH419"/>
      <c r="AI419"/>
      <c r="AJ419"/>
      <c r="AK419"/>
      <c r="AL419"/>
      <c r="AM419"/>
    </row>
    <row r="420" spans="2:39">
      <c r="B420" s="206"/>
      <c r="C420" s="206"/>
      <c r="I420"/>
      <c r="J420"/>
      <c r="K420"/>
      <c r="L420"/>
      <c r="M420"/>
      <c r="N420"/>
      <c r="Q420"/>
      <c r="R420"/>
      <c r="S420"/>
      <c r="T420"/>
      <c r="U420"/>
      <c r="V420"/>
      <c r="W420"/>
      <c r="X420"/>
      <c r="Y420"/>
      <c r="Z420"/>
      <c r="AA420"/>
      <c r="AB420"/>
      <c r="AC420"/>
      <c r="AD420"/>
      <c r="AE420"/>
      <c r="AF420"/>
      <c r="AG420"/>
      <c r="AH420"/>
      <c r="AI420"/>
      <c r="AJ420"/>
      <c r="AK420"/>
      <c r="AL420"/>
      <c r="AM420"/>
    </row>
    <row r="421" spans="2:39">
      <c r="B421" s="206"/>
      <c r="C421" s="206"/>
      <c r="I421"/>
      <c r="J421"/>
      <c r="K421"/>
      <c r="L421"/>
      <c r="M421"/>
      <c r="N421"/>
      <c r="Q421"/>
      <c r="R421"/>
      <c r="S421"/>
      <c r="T421"/>
      <c r="U421"/>
      <c r="V421"/>
      <c r="W421"/>
      <c r="X421"/>
      <c r="Y421"/>
      <c r="Z421"/>
      <c r="AA421"/>
      <c r="AB421"/>
      <c r="AC421"/>
      <c r="AD421"/>
      <c r="AE421"/>
      <c r="AF421"/>
      <c r="AG421"/>
      <c r="AH421"/>
      <c r="AI421"/>
      <c r="AJ421"/>
      <c r="AK421"/>
      <c r="AL421"/>
      <c r="AM421"/>
    </row>
    <row r="422" spans="2:39">
      <c r="B422" s="206"/>
      <c r="C422" s="206"/>
      <c r="I422"/>
      <c r="J422"/>
      <c r="K422"/>
      <c r="L422"/>
      <c r="M422"/>
      <c r="N422"/>
      <c r="Q422"/>
      <c r="R422"/>
      <c r="S422"/>
      <c r="T422"/>
      <c r="U422"/>
      <c r="V422"/>
      <c r="W422"/>
      <c r="X422"/>
      <c r="Y422"/>
      <c r="Z422"/>
      <c r="AA422"/>
      <c r="AB422"/>
      <c r="AC422"/>
      <c r="AD422"/>
      <c r="AE422"/>
      <c r="AF422"/>
      <c r="AG422"/>
      <c r="AH422"/>
      <c r="AI422"/>
      <c r="AJ422"/>
      <c r="AK422"/>
      <c r="AL422"/>
      <c r="AM422"/>
    </row>
    <row r="423" spans="2:39">
      <c r="B423" s="206"/>
      <c r="C423" s="206"/>
      <c r="I423"/>
      <c r="J423"/>
      <c r="K423"/>
      <c r="L423"/>
      <c r="M423"/>
      <c r="N423"/>
      <c r="Q423"/>
      <c r="R423"/>
      <c r="S423"/>
      <c r="T423"/>
      <c r="U423"/>
      <c r="V423"/>
      <c r="W423"/>
      <c r="X423"/>
      <c r="Y423"/>
      <c r="Z423"/>
      <c r="AA423"/>
      <c r="AB423"/>
      <c r="AC423"/>
      <c r="AD423"/>
      <c r="AE423"/>
      <c r="AF423"/>
      <c r="AG423"/>
      <c r="AH423"/>
      <c r="AI423"/>
      <c r="AJ423"/>
      <c r="AK423"/>
      <c r="AL423"/>
      <c r="AM423"/>
    </row>
    <row r="424" spans="2:39">
      <c r="B424" s="206"/>
      <c r="C424" s="206"/>
      <c r="I424"/>
      <c r="J424"/>
      <c r="K424"/>
      <c r="L424"/>
      <c r="M424"/>
      <c r="N424"/>
      <c r="Q424"/>
      <c r="R424"/>
      <c r="S424"/>
      <c r="T424"/>
      <c r="U424"/>
      <c r="V424"/>
      <c r="W424"/>
      <c r="X424"/>
      <c r="Y424"/>
      <c r="Z424"/>
      <c r="AA424"/>
      <c r="AB424"/>
      <c r="AC424"/>
      <c r="AD424"/>
      <c r="AE424"/>
      <c r="AF424"/>
      <c r="AG424"/>
      <c r="AH424"/>
      <c r="AI424"/>
      <c r="AJ424"/>
      <c r="AK424"/>
      <c r="AL424"/>
      <c r="AM424"/>
    </row>
    <row r="425" spans="2:39">
      <c r="B425" s="206"/>
      <c r="C425" s="206"/>
      <c r="I425"/>
      <c r="J425"/>
      <c r="K425"/>
      <c r="L425"/>
      <c r="M425"/>
      <c r="N425"/>
      <c r="Q425"/>
      <c r="R425"/>
      <c r="S425"/>
      <c r="T425"/>
      <c r="U425"/>
      <c r="V425"/>
      <c r="W425"/>
      <c r="X425"/>
      <c r="Y425"/>
      <c r="Z425"/>
      <c r="AA425"/>
      <c r="AB425"/>
      <c r="AC425"/>
      <c r="AD425"/>
      <c r="AE425"/>
      <c r="AF425"/>
      <c r="AG425"/>
      <c r="AH425"/>
      <c r="AI425"/>
      <c r="AJ425"/>
      <c r="AK425"/>
      <c r="AL425"/>
      <c r="AM425"/>
    </row>
    <row r="426" spans="2:39">
      <c r="B426" s="206"/>
      <c r="C426" s="206"/>
      <c r="I426"/>
      <c r="J426"/>
      <c r="K426"/>
      <c r="L426"/>
      <c r="M426"/>
      <c r="N426"/>
      <c r="Q426"/>
      <c r="R426"/>
      <c r="S426"/>
      <c r="T426"/>
      <c r="U426"/>
      <c r="V426"/>
      <c r="W426"/>
      <c r="X426"/>
      <c r="Y426"/>
      <c r="Z426"/>
      <c r="AA426"/>
      <c r="AB426"/>
      <c r="AC426"/>
      <c r="AD426"/>
      <c r="AE426"/>
      <c r="AF426"/>
      <c r="AG426"/>
      <c r="AH426"/>
      <c r="AI426"/>
      <c r="AJ426"/>
      <c r="AK426"/>
      <c r="AL426"/>
      <c r="AM426"/>
    </row>
    <row r="427" spans="2:39">
      <c r="B427" s="206"/>
      <c r="C427" s="206"/>
      <c r="I427"/>
      <c r="J427"/>
      <c r="K427"/>
      <c r="L427"/>
      <c r="M427"/>
      <c r="N427"/>
      <c r="Q427"/>
      <c r="R427"/>
      <c r="S427"/>
      <c r="T427"/>
      <c r="U427"/>
      <c r="V427"/>
      <c r="W427"/>
      <c r="X427"/>
      <c r="Y427"/>
      <c r="Z427"/>
      <c r="AA427"/>
      <c r="AB427"/>
      <c r="AC427"/>
      <c r="AD427"/>
      <c r="AE427"/>
      <c r="AF427"/>
      <c r="AG427"/>
      <c r="AH427"/>
      <c r="AI427"/>
      <c r="AJ427"/>
      <c r="AK427"/>
      <c r="AL427"/>
      <c r="AM427"/>
    </row>
    <row r="428" spans="2:39">
      <c r="B428" s="206"/>
      <c r="C428" s="206"/>
      <c r="I428"/>
      <c r="J428"/>
      <c r="K428"/>
      <c r="L428"/>
      <c r="M428"/>
      <c r="N428"/>
      <c r="Q428"/>
      <c r="R428"/>
      <c r="S428"/>
      <c r="T428"/>
      <c r="U428"/>
      <c r="V428"/>
      <c r="W428"/>
      <c r="X428"/>
      <c r="Y428"/>
      <c r="Z428"/>
      <c r="AA428"/>
      <c r="AB428"/>
      <c r="AC428"/>
      <c r="AD428"/>
      <c r="AE428"/>
      <c r="AF428"/>
      <c r="AG428"/>
      <c r="AH428"/>
      <c r="AI428"/>
      <c r="AJ428"/>
      <c r="AK428"/>
      <c r="AL428"/>
      <c r="AM428"/>
    </row>
    <row r="429" spans="2:39">
      <c r="B429" s="206"/>
      <c r="C429" s="206"/>
      <c r="I429"/>
      <c r="J429"/>
      <c r="K429"/>
      <c r="L429"/>
      <c r="M429"/>
      <c r="N429"/>
      <c r="Q429"/>
      <c r="R429"/>
      <c r="S429"/>
      <c r="T429"/>
      <c r="U429"/>
      <c r="V429"/>
      <c r="W429"/>
      <c r="X429"/>
      <c r="Y429"/>
      <c r="Z429"/>
      <c r="AA429"/>
      <c r="AB429"/>
      <c r="AC429"/>
      <c r="AD429"/>
      <c r="AE429"/>
      <c r="AF429"/>
      <c r="AG429"/>
      <c r="AH429"/>
      <c r="AI429"/>
      <c r="AJ429"/>
      <c r="AK429"/>
      <c r="AL429"/>
      <c r="AM429"/>
    </row>
    <row r="430" spans="2:39">
      <c r="B430" s="206"/>
      <c r="C430" s="206"/>
      <c r="I430"/>
      <c r="J430"/>
      <c r="K430"/>
      <c r="L430"/>
      <c r="M430"/>
      <c r="N430"/>
      <c r="Q430"/>
      <c r="R430"/>
      <c r="S430"/>
      <c r="T430"/>
      <c r="U430"/>
      <c r="V430"/>
      <c r="W430"/>
      <c r="X430"/>
      <c r="Y430"/>
      <c r="Z430"/>
      <c r="AA430"/>
      <c r="AB430"/>
      <c r="AC430"/>
      <c r="AD430"/>
      <c r="AE430"/>
      <c r="AF430"/>
      <c r="AG430"/>
      <c r="AH430"/>
      <c r="AI430"/>
      <c r="AJ430"/>
      <c r="AK430"/>
      <c r="AL430"/>
      <c r="AM430"/>
    </row>
    <row r="431" spans="2:39">
      <c r="B431" s="206"/>
      <c r="C431" s="206"/>
      <c r="I431"/>
      <c r="J431"/>
      <c r="K431"/>
      <c r="L431"/>
      <c r="M431"/>
      <c r="N431"/>
      <c r="Q431"/>
      <c r="R431"/>
      <c r="S431"/>
      <c r="T431"/>
      <c r="U431"/>
      <c r="V431"/>
      <c r="W431"/>
      <c r="X431"/>
      <c r="Y431"/>
      <c r="Z431"/>
      <c r="AA431"/>
      <c r="AB431"/>
      <c r="AC431"/>
      <c r="AD431"/>
      <c r="AE431"/>
      <c r="AF431"/>
      <c r="AG431"/>
      <c r="AH431"/>
      <c r="AI431"/>
      <c r="AJ431"/>
      <c r="AK431"/>
      <c r="AL431"/>
      <c r="AM431"/>
    </row>
    <row r="432" spans="2:39">
      <c r="B432" s="206"/>
      <c r="C432" s="206"/>
      <c r="I432"/>
      <c r="J432"/>
      <c r="K432"/>
      <c r="L432"/>
      <c r="M432"/>
      <c r="N432"/>
      <c r="Q432"/>
      <c r="R432"/>
      <c r="S432"/>
      <c r="T432"/>
      <c r="U432"/>
      <c r="V432"/>
      <c r="W432"/>
      <c r="X432"/>
      <c r="Y432"/>
      <c r="Z432"/>
      <c r="AA432"/>
      <c r="AB432"/>
      <c r="AC432"/>
      <c r="AD432"/>
      <c r="AE432"/>
      <c r="AF432"/>
      <c r="AG432"/>
      <c r="AH432"/>
      <c r="AI432"/>
      <c r="AJ432"/>
      <c r="AK432"/>
      <c r="AL432"/>
      <c r="AM432"/>
    </row>
    <row r="433" spans="2:39">
      <c r="B433" s="206"/>
      <c r="C433" s="206"/>
      <c r="I433"/>
      <c r="J433"/>
      <c r="K433"/>
      <c r="L433"/>
      <c r="M433"/>
      <c r="N433"/>
      <c r="Q433"/>
      <c r="R433"/>
      <c r="S433"/>
      <c r="T433"/>
      <c r="U433"/>
      <c r="V433"/>
      <c r="W433"/>
      <c r="X433"/>
      <c r="Y433"/>
      <c r="Z433"/>
      <c r="AA433"/>
      <c r="AB433"/>
      <c r="AC433"/>
      <c r="AD433"/>
      <c r="AE433"/>
      <c r="AF433"/>
      <c r="AG433"/>
      <c r="AH433"/>
      <c r="AI433"/>
      <c r="AJ433"/>
      <c r="AK433"/>
      <c r="AL433"/>
      <c r="AM433"/>
    </row>
    <row r="434" spans="2:39">
      <c r="B434" s="206"/>
      <c r="C434" s="206"/>
      <c r="I434"/>
      <c r="J434"/>
      <c r="K434"/>
      <c r="L434"/>
      <c r="M434"/>
      <c r="N434"/>
      <c r="Q434"/>
      <c r="R434"/>
      <c r="S434"/>
      <c r="T434"/>
      <c r="U434"/>
      <c r="V434"/>
      <c r="W434"/>
      <c r="X434"/>
      <c r="Y434"/>
      <c r="Z434"/>
      <c r="AA434"/>
      <c r="AB434"/>
      <c r="AC434"/>
      <c r="AD434"/>
      <c r="AE434"/>
      <c r="AF434"/>
      <c r="AG434"/>
      <c r="AH434"/>
      <c r="AI434"/>
      <c r="AJ434"/>
      <c r="AK434"/>
      <c r="AL434"/>
      <c r="AM434"/>
    </row>
    <row r="435" spans="2:39">
      <c r="B435" s="206"/>
      <c r="C435" s="206"/>
      <c r="I435"/>
      <c r="J435"/>
      <c r="K435"/>
      <c r="L435"/>
      <c r="M435"/>
      <c r="N435"/>
      <c r="Q435"/>
      <c r="R435"/>
      <c r="S435"/>
      <c r="T435"/>
      <c r="U435"/>
      <c r="V435"/>
      <c r="W435"/>
      <c r="X435"/>
      <c r="Y435"/>
      <c r="Z435"/>
      <c r="AA435"/>
      <c r="AB435"/>
      <c r="AC435"/>
      <c r="AD435"/>
      <c r="AE435"/>
      <c r="AF435"/>
      <c r="AG435"/>
      <c r="AH435"/>
      <c r="AI435"/>
      <c r="AJ435"/>
      <c r="AK435"/>
      <c r="AL435"/>
      <c r="AM435"/>
    </row>
    <row r="436" spans="2:39">
      <c r="B436" s="206"/>
      <c r="C436" s="206"/>
      <c r="I436"/>
      <c r="J436"/>
      <c r="K436"/>
      <c r="L436"/>
      <c r="M436"/>
      <c r="N436"/>
      <c r="Q436"/>
      <c r="R436"/>
      <c r="S436"/>
      <c r="T436"/>
      <c r="U436"/>
      <c r="V436"/>
      <c r="W436"/>
      <c r="X436"/>
      <c r="Y436"/>
      <c r="Z436"/>
      <c r="AA436"/>
      <c r="AB436"/>
      <c r="AC436"/>
      <c r="AD436"/>
      <c r="AE436"/>
      <c r="AF436"/>
      <c r="AG436"/>
      <c r="AH436"/>
      <c r="AI436"/>
      <c r="AJ436"/>
      <c r="AK436"/>
      <c r="AL436"/>
      <c r="AM436"/>
    </row>
    <row r="437" spans="2:39">
      <c r="B437" s="206"/>
      <c r="C437" s="206"/>
      <c r="I437"/>
      <c r="J437"/>
      <c r="K437"/>
      <c r="L437"/>
      <c r="M437"/>
      <c r="N437"/>
      <c r="Q437"/>
      <c r="R437"/>
      <c r="S437"/>
      <c r="T437"/>
      <c r="U437"/>
      <c r="V437"/>
      <c r="W437"/>
      <c r="X437"/>
      <c r="Y437"/>
      <c r="Z437"/>
      <c r="AA437"/>
      <c r="AB437"/>
      <c r="AC437"/>
      <c r="AD437"/>
      <c r="AE437"/>
      <c r="AF437"/>
      <c r="AG437"/>
      <c r="AH437"/>
      <c r="AI437"/>
      <c r="AJ437"/>
      <c r="AK437"/>
      <c r="AL437"/>
      <c r="AM437"/>
    </row>
    <row r="438" spans="2:39">
      <c r="B438" s="206"/>
      <c r="C438" s="206"/>
      <c r="I438"/>
      <c r="J438"/>
      <c r="K438"/>
      <c r="L438"/>
      <c r="M438"/>
      <c r="N438"/>
      <c r="Q438"/>
      <c r="R438"/>
      <c r="S438"/>
      <c r="T438"/>
      <c r="U438"/>
      <c r="V438"/>
      <c r="W438"/>
      <c r="X438"/>
      <c r="Y438"/>
      <c r="Z438"/>
      <c r="AA438"/>
      <c r="AB438"/>
      <c r="AC438"/>
      <c r="AD438"/>
      <c r="AE438"/>
      <c r="AF438"/>
      <c r="AG438"/>
      <c r="AH438"/>
      <c r="AI438"/>
      <c r="AJ438"/>
      <c r="AK438"/>
      <c r="AL438"/>
      <c r="AM438"/>
    </row>
    <row r="439" spans="2:39">
      <c r="B439" s="206"/>
      <c r="C439" s="206"/>
      <c r="I439"/>
      <c r="J439"/>
      <c r="K439"/>
      <c r="L439"/>
      <c r="M439"/>
      <c r="N439"/>
      <c r="Q439"/>
      <c r="R439"/>
      <c r="S439"/>
      <c r="T439"/>
      <c r="U439"/>
      <c r="V439"/>
      <c r="W439"/>
      <c r="X439"/>
      <c r="Y439"/>
      <c r="Z439"/>
      <c r="AA439"/>
      <c r="AB439"/>
      <c r="AC439"/>
      <c r="AD439"/>
      <c r="AE439"/>
      <c r="AF439"/>
      <c r="AG439"/>
      <c r="AH439"/>
      <c r="AI439"/>
      <c r="AJ439"/>
      <c r="AK439"/>
      <c r="AL439"/>
      <c r="AM439"/>
    </row>
    <row r="440" spans="2:39">
      <c r="B440" s="206"/>
      <c r="C440" s="206"/>
      <c r="I440"/>
      <c r="J440"/>
      <c r="K440"/>
      <c r="L440"/>
      <c r="M440"/>
      <c r="N440"/>
      <c r="Q440"/>
      <c r="R440"/>
      <c r="S440"/>
      <c r="T440"/>
      <c r="U440"/>
      <c r="V440"/>
      <c r="W440"/>
      <c r="X440"/>
      <c r="Y440"/>
      <c r="Z440"/>
      <c r="AA440"/>
      <c r="AB440"/>
      <c r="AC440"/>
      <c r="AD440"/>
      <c r="AE440"/>
      <c r="AF440"/>
      <c r="AG440"/>
      <c r="AH440"/>
      <c r="AI440"/>
      <c r="AJ440"/>
      <c r="AK440"/>
      <c r="AL440"/>
      <c r="AM440"/>
    </row>
    <row r="441" spans="2:39">
      <c r="B441" s="206"/>
      <c r="C441" s="206"/>
      <c r="I441"/>
      <c r="J441"/>
      <c r="K441"/>
      <c r="L441"/>
      <c r="M441"/>
      <c r="N441"/>
      <c r="Q441"/>
      <c r="R441"/>
      <c r="S441"/>
      <c r="T441"/>
      <c r="U441"/>
      <c r="V441"/>
      <c r="W441"/>
      <c r="X441"/>
      <c r="Y441"/>
      <c r="Z441"/>
      <c r="AA441"/>
      <c r="AB441"/>
      <c r="AC441"/>
      <c r="AD441"/>
      <c r="AE441"/>
      <c r="AF441"/>
      <c r="AG441"/>
      <c r="AH441"/>
      <c r="AI441"/>
      <c r="AJ441"/>
      <c r="AK441"/>
      <c r="AL441"/>
      <c r="AM441"/>
    </row>
    <row r="442" spans="2:39">
      <c r="B442" s="206"/>
      <c r="C442" s="206"/>
      <c r="I442"/>
      <c r="J442"/>
      <c r="K442"/>
      <c r="L442"/>
      <c r="M442"/>
      <c r="N442"/>
      <c r="Q442"/>
      <c r="R442"/>
      <c r="S442"/>
      <c r="T442"/>
      <c r="U442"/>
      <c r="V442"/>
      <c r="W442"/>
      <c r="X442"/>
      <c r="Y442"/>
      <c r="Z442"/>
      <c r="AA442"/>
      <c r="AB442"/>
      <c r="AC442"/>
      <c r="AD442"/>
      <c r="AE442"/>
      <c r="AF442"/>
      <c r="AG442"/>
      <c r="AH442"/>
      <c r="AI442"/>
      <c r="AJ442"/>
      <c r="AK442"/>
      <c r="AL442"/>
      <c r="AM442"/>
    </row>
    <row r="443" spans="2:39">
      <c r="B443" s="206"/>
      <c r="C443" s="206"/>
      <c r="I443"/>
      <c r="J443"/>
      <c r="K443"/>
      <c r="L443"/>
      <c r="M443"/>
      <c r="N443"/>
      <c r="Q443"/>
      <c r="R443"/>
      <c r="S443"/>
      <c r="T443"/>
      <c r="U443"/>
      <c r="V443"/>
      <c r="W443"/>
      <c r="X443"/>
      <c r="Y443"/>
      <c r="Z443"/>
      <c r="AA443"/>
      <c r="AB443"/>
      <c r="AC443"/>
      <c r="AD443"/>
      <c r="AE443"/>
      <c r="AF443"/>
      <c r="AG443"/>
      <c r="AH443"/>
      <c r="AI443"/>
      <c r="AJ443"/>
      <c r="AK443"/>
      <c r="AL443"/>
      <c r="AM443"/>
    </row>
    <row r="444" spans="2:39">
      <c r="B444" s="206"/>
      <c r="C444" s="206"/>
      <c r="I444"/>
      <c r="J444"/>
      <c r="K444"/>
      <c r="L444"/>
      <c r="M444"/>
      <c r="N444"/>
      <c r="Q444"/>
      <c r="R444"/>
      <c r="S444"/>
      <c r="T444"/>
      <c r="U444"/>
      <c r="V444"/>
      <c r="W444"/>
      <c r="X444"/>
      <c r="Y444"/>
      <c r="Z444"/>
      <c r="AA444"/>
      <c r="AB444"/>
      <c r="AC444"/>
      <c r="AD444"/>
      <c r="AE444"/>
      <c r="AF444"/>
      <c r="AG444"/>
      <c r="AH444"/>
      <c r="AI444"/>
      <c r="AJ444"/>
      <c r="AK444"/>
      <c r="AL444"/>
      <c r="AM444"/>
    </row>
    <row r="445" spans="2:39">
      <c r="B445" s="206"/>
      <c r="C445" s="206"/>
      <c r="I445"/>
      <c r="J445"/>
      <c r="K445"/>
      <c r="L445"/>
      <c r="M445"/>
      <c r="N445"/>
      <c r="Q445"/>
      <c r="R445"/>
      <c r="S445"/>
      <c r="T445"/>
      <c r="U445"/>
      <c r="V445"/>
      <c r="W445"/>
      <c r="X445"/>
      <c r="Y445"/>
      <c r="Z445"/>
      <c r="AA445"/>
      <c r="AB445"/>
      <c r="AC445"/>
      <c r="AD445"/>
      <c r="AE445"/>
      <c r="AF445"/>
      <c r="AG445"/>
      <c r="AH445"/>
      <c r="AI445"/>
      <c r="AJ445"/>
      <c r="AK445"/>
      <c r="AL445"/>
      <c r="AM445"/>
    </row>
    <row r="446" spans="2:39">
      <c r="B446" s="206"/>
      <c r="C446" s="206"/>
      <c r="I446"/>
      <c r="J446"/>
      <c r="K446"/>
      <c r="L446"/>
      <c r="M446"/>
      <c r="N446"/>
      <c r="Q446"/>
      <c r="R446"/>
      <c r="S446"/>
      <c r="T446"/>
      <c r="U446"/>
      <c r="V446"/>
      <c r="W446"/>
      <c r="X446"/>
      <c r="Y446"/>
      <c r="Z446"/>
      <c r="AA446"/>
      <c r="AB446"/>
      <c r="AC446"/>
      <c r="AD446"/>
      <c r="AE446"/>
      <c r="AF446"/>
      <c r="AG446"/>
      <c r="AH446"/>
      <c r="AI446"/>
      <c r="AJ446"/>
      <c r="AK446"/>
      <c r="AL446"/>
      <c r="AM446"/>
    </row>
    <row r="447" spans="2:39">
      <c r="B447" s="206"/>
      <c r="C447" s="206"/>
      <c r="I447"/>
      <c r="J447"/>
      <c r="K447"/>
      <c r="L447"/>
      <c r="M447"/>
      <c r="N447"/>
      <c r="Q447"/>
      <c r="R447"/>
      <c r="S447"/>
      <c r="T447"/>
      <c r="U447"/>
      <c r="V447"/>
      <c r="W447"/>
      <c r="X447"/>
      <c r="Y447"/>
      <c r="Z447"/>
      <c r="AA447"/>
      <c r="AB447"/>
      <c r="AC447"/>
      <c r="AD447"/>
      <c r="AE447"/>
      <c r="AF447"/>
      <c r="AG447"/>
      <c r="AH447"/>
      <c r="AI447"/>
      <c r="AJ447"/>
      <c r="AK447"/>
      <c r="AL447"/>
      <c r="AM447"/>
    </row>
    <row r="448" spans="2:39">
      <c r="B448" s="206"/>
      <c r="C448" s="206"/>
      <c r="I448"/>
      <c r="J448"/>
      <c r="K448"/>
      <c r="L448"/>
      <c r="M448"/>
      <c r="N448"/>
      <c r="Q448"/>
      <c r="R448"/>
      <c r="S448"/>
      <c r="T448"/>
      <c r="U448"/>
      <c r="V448"/>
      <c r="W448"/>
      <c r="X448"/>
      <c r="Y448"/>
      <c r="Z448"/>
      <c r="AA448"/>
      <c r="AB448"/>
      <c r="AC448"/>
      <c r="AD448"/>
      <c r="AE448"/>
      <c r="AF448"/>
      <c r="AG448"/>
      <c r="AH448"/>
      <c r="AI448"/>
      <c r="AJ448"/>
      <c r="AK448"/>
      <c r="AL448"/>
      <c r="AM448"/>
    </row>
    <row r="449" spans="2:39">
      <c r="B449" s="206"/>
      <c r="C449" s="206"/>
      <c r="I449"/>
      <c r="J449"/>
      <c r="K449"/>
      <c r="L449"/>
      <c r="M449"/>
      <c r="N449"/>
      <c r="Q449"/>
      <c r="R449"/>
      <c r="S449"/>
      <c r="T449"/>
      <c r="U449"/>
      <c r="V449"/>
      <c r="W449"/>
      <c r="X449"/>
      <c r="Y449"/>
      <c r="Z449"/>
      <c r="AA449"/>
      <c r="AB449"/>
      <c r="AC449"/>
      <c r="AD449"/>
      <c r="AE449"/>
      <c r="AF449"/>
      <c r="AG449"/>
      <c r="AH449"/>
      <c r="AI449"/>
      <c r="AJ449"/>
      <c r="AK449"/>
      <c r="AL449"/>
      <c r="AM449"/>
    </row>
    <row r="450" spans="2:39">
      <c r="B450" s="206"/>
      <c r="C450" s="206"/>
      <c r="I450"/>
      <c r="J450"/>
      <c r="K450"/>
      <c r="L450"/>
      <c r="M450"/>
      <c r="N450"/>
      <c r="Q450"/>
      <c r="R450"/>
      <c r="S450"/>
      <c r="T450"/>
      <c r="U450"/>
      <c r="V450"/>
      <c r="W450"/>
      <c r="X450"/>
      <c r="Y450"/>
      <c r="Z450"/>
      <c r="AA450"/>
      <c r="AB450"/>
      <c r="AC450"/>
      <c r="AD450"/>
      <c r="AE450"/>
      <c r="AF450"/>
      <c r="AG450"/>
      <c r="AH450"/>
      <c r="AI450"/>
      <c r="AJ450"/>
      <c r="AK450"/>
      <c r="AL450"/>
      <c r="AM450"/>
    </row>
    <row r="451" spans="2:39">
      <c r="B451" s="206"/>
      <c r="C451" s="206"/>
      <c r="I451"/>
      <c r="J451"/>
      <c r="K451"/>
      <c r="L451"/>
      <c r="M451"/>
      <c r="N451"/>
      <c r="Q451"/>
      <c r="R451"/>
      <c r="S451"/>
      <c r="T451"/>
      <c r="U451"/>
      <c r="V451"/>
      <c r="W451"/>
      <c r="X451"/>
      <c r="Y451"/>
      <c r="Z451"/>
      <c r="AA451"/>
      <c r="AB451"/>
      <c r="AC451"/>
      <c r="AD451"/>
      <c r="AE451"/>
      <c r="AF451"/>
      <c r="AG451"/>
      <c r="AH451"/>
      <c r="AI451"/>
      <c r="AJ451"/>
      <c r="AK451"/>
      <c r="AL451"/>
      <c r="AM451"/>
    </row>
    <row r="452" spans="2:39">
      <c r="B452" s="206"/>
      <c r="C452" s="206"/>
      <c r="I452"/>
      <c r="J452"/>
      <c r="K452"/>
      <c r="L452"/>
      <c r="M452"/>
      <c r="N452"/>
      <c r="Q452"/>
      <c r="R452"/>
      <c r="S452"/>
      <c r="T452"/>
      <c r="U452"/>
      <c r="V452"/>
      <c r="W452"/>
      <c r="X452"/>
      <c r="Y452"/>
      <c r="Z452"/>
      <c r="AA452"/>
      <c r="AB452"/>
      <c r="AC452"/>
      <c r="AD452"/>
      <c r="AE452"/>
      <c r="AF452"/>
      <c r="AG452"/>
      <c r="AH452"/>
      <c r="AI452"/>
      <c r="AJ452"/>
      <c r="AK452"/>
      <c r="AL452"/>
      <c r="AM452"/>
    </row>
    <row r="453" spans="2:39">
      <c r="B453" s="206"/>
      <c r="C453" s="206"/>
      <c r="I453"/>
      <c r="J453"/>
      <c r="K453"/>
      <c r="L453"/>
      <c r="M453"/>
      <c r="N453"/>
      <c r="Q453"/>
      <c r="R453"/>
      <c r="S453"/>
      <c r="T453"/>
      <c r="U453"/>
      <c r="V453"/>
      <c r="W453"/>
      <c r="X453"/>
      <c r="Y453"/>
      <c r="Z453"/>
      <c r="AA453"/>
      <c r="AB453"/>
      <c r="AC453"/>
      <c r="AD453"/>
      <c r="AE453"/>
      <c r="AF453"/>
      <c r="AG453"/>
      <c r="AH453"/>
      <c r="AI453"/>
      <c r="AJ453"/>
      <c r="AK453"/>
      <c r="AL453"/>
      <c r="AM453"/>
    </row>
    <row r="454" spans="2:39">
      <c r="B454" s="206"/>
      <c r="C454" s="206"/>
      <c r="I454"/>
      <c r="J454"/>
      <c r="K454"/>
      <c r="L454"/>
      <c r="M454"/>
      <c r="N454"/>
      <c r="Q454"/>
      <c r="R454"/>
      <c r="S454"/>
      <c r="T454"/>
      <c r="U454"/>
      <c r="V454"/>
      <c r="W454"/>
      <c r="X454"/>
      <c r="Y454"/>
      <c r="Z454"/>
      <c r="AA454"/>
      <c r="AB454"/>
      <c r="AC454"/>
      <c r="AD454"/>
      <c r="AE454"/>
      <c r="AF454"/>
      <c r="AG454"/>
      <c r="AH454"/>
      <c r="AI454"/>
      <c r="AJ454"/>
      <c r="AK454"/>
      <c r="AL454"/>
      <c r="AM454"/>
    </row>
    <row r="455" spans="2:39">
      <c r="B455" s="206"/>
      <c r="C455" s="206"/>
      <c r="I455"/>
      <c r="J455"/>
      <c r="K455"/>
      <c r="L455"/>
      <c r="M455"/>
      <c r="N455"/>
      <c r="Q455"/>
      <c r="R455"/>
      <c r="S455"/>
      <c r="T455"/>
      <c r="U455"/>
      <c r="V455"/>
      <c r="W455"/>
      <c r="X455"/>
      <c r="Y455"/>
      <c r="Z455"/>
      <c r="AA455"/>
      <c r="AB455"/>
      <c r="AC455"/>
      <c r="AD455"/>
      <c r="AE455"/>
      <c r="AF455"/>
      <c r="AG455"/>
      <c r="AH455"/>
      <c r="AI455"/>
      <c r="AJ455"/>
      <c r="AK455"/>
      <c r="AL455"/>
      <c r="AM455"/>
    </row>
    <row r="456" spans="2:39">
      <c r="B456" s="206"/>
      <c r="C456" s="206"/>
      <c r="I456"/>
      <c r="J456"/>
      <c r="K456"/>
      <c r="L456"/>
      <c r="M456"/>
      <c r="N456"/>
      <c r="Q456"/>
      <c r="R456"/>
      <c r="S456"/>
      <c r="T456"/>
      <c r="U456"/>
      <c r="V456"/>
      <c r="W456"/>
      <c r="X456"/>
      <c r="Y456"/>
      <c r="Z456"/>
      <c r="AA456"/>
      <c r="AB456"/>
      <c r="AC456"/>
      <c r="AD456"/>
      <c r="AE456"/>
      <c r="AF456"/>
      <c r="AG456"/>
      <c r="AH456"/>
      <c r="AI456"/>
      <c r="AJ456"/>
      <c r="AK456"/>
      <c r="AL456"/>
      <c r="AM456"/>
    </row>
    <row r="457" spans="2:39">
      <c r="B457" s="206"/>
      <c r="C457" s="206"/>
      <c r="I457"/>
      <c r="J457"/>
      <c r="K457"/>
      <c r="L457"/>
      <c r="M457"/>
      <c r="N457"/>
      <c r="Q457"/>
      <c r="R457"/>
      <c r="S457"/>
      <c r="T457"/>
      <c r="U457"/>
      <c r="V457"/>
      <c r="W457"/>
      <c r="X457"/>
      <c r="Y457"/>
      <c r="Z457"/>
      <c r="AA457"/>
      <c r="AB457"/>
      <c r="AC457"/>
      <c r="AD457"/>
      <c r="AE457"/>
      <c r="AF457"/>
      <c r="AG457"/>
      <c r="AH457"/>
      <c r="AI457"/>
      <c r="AJ457"/>
      <c r="AK457"/>
      <c r="AL457"/>
      <c r="AM457"/>
    </row>
    <row r="458" spans="2:39">
      <c r="B458" s="206"/>
      <c r="C458" s="206"/>
      <c r="I458"/>
      <c r="J458"/>
      <c r="K458"/>
      <c r="L458"/>
      <c r="M458"/>
      <c r="N458"/>
      <c r="Q458"/>
      <c r="R458"/>
      <c r="S458"/>
      <c r="T458"/>
      <c r="U458"/>
      <c r="V458"/>
      <c r="W458"/>
      <c r="X458"/>
      <c r="Y458"/>
      <c r="Z458"/>
      <c r="AA458"/>
      <c r="AB458"/>
      <c r="AC458"/>
      <c r="AD458"/>
      <c r="AE458"/>
      <c r="AF458"/>
      <c r="AG458"/>
      <c r="AH458"/>
      <c r="AI458"/>
      <c r="AJ458"/>
      <c r="AK458"/>
      <c r="AL458"/>
      <c r="AM458"/>
    </row>
    <row r="459" spans="2:39">
      <c r="B459" s="206"/>
      <c r="C459" s="206"/>
      <c r="I459"/>
      <c r="J459"/>
      <c r="K459"/>
      <c r="L459"/>
      <c r="M459"/>
      <c r="N459"/>
      <c r="Q459"/>
      <c r="R459"/>
      <c r="S459"/>
      <c r="T459"/>
      <c r="U459"/>
      <c r="V459"/>
      <c r="W459"/>
      <c r="X459"/>
      <c r="Y459"/>
      <c r="Z459"/>
      <c r="AA459"/>
      <c r="AB459"/>
      <c r="AC459"/>
      <c r="AD459"/>
      <c r="AE459"/>
      <c r="AF459"/>
      <c r="AG459"/>
      <c r="AH459"/>
      <c r="AI459"/>
      <c r="AJ459"/>
      <c r="AK459"/>
      <c r="AL459"/>
      <c r="AM459"/>
    </row>
    <row r="460" spans="2:39">
      <c r="B460" s="206"/>
      <c r="C460" s="206"/>
      <c r="I460"/>
      <c r="J460"/>
      <c r="K460"/>
      <c r="L460"/>
      <c r="M460"/>
      <c r="N460"/>
      <c r="Q460"/>
      <c r="R460"/>
      <c r="S460"/>
      <c r="T460"/>
      <c r="U460"/>
      <c r="V460"/>
      <c r="W460"/>
      <c r="X460"/>
      <c r="Y460"/>
      <c r="Z460"/>
      <c r="AA460"/>
      <c r="AB460"/>
      <c r="AC460"/>
      <c r="AD460"/>
      <c r="AE460"/>
      <c r="AF460"/>
      <c r="AG460"/>
      <c r="AH460"/>
      <c r="AI460"/>
      <c r="AJ460"/>
      <c r="AK460"/>
      <c r="AL460"/>
      <c r="AM460"/>
    </row>
    <row r="461" spans="2:39">
      <c r="B461" s="206"/>
      <c r="C461" s="206"/>
      <c r="I461"/>
      <c r="J461"/>
      <c r="K461"/>
      <c r="L461"/>
      <c r="M461"/>
      <c r="N461"/>
      <c r="Q461"/>
      <c r="R461"/>
      <c r="S461"/>
      <c r="T461"/>
      <c r="U461"/>
      <c r="V461"/>
      <c r="W461"/>
      <c r="X461"/>
      <c r="Y461"/>
      <c r="Z461"/>
      <c r="AA461"/>
      <c r="AB461"/>
      <c r="AC461"/>
      <c r="AD461"/>
      <c r="AE461"/>
      <c r="AF461"/>
      <c r="AG461"/>
      <c r="AH461"/>
      <c r="AI461"/>
      <c r="AJ461"/>
      <c r="AK461"/>
      <c r="AL461"/>
      <c r="AM461"/>
    </row>
    <row r="462" spans="2:39">
      <c r="B462" s="206"/>
      <c r="C462" s="206"/>
      <c r="I462"/>
      <c r="J462"/>
      <c r="K462"/>
      <c r="L462"/>
      <c r="M462"/>
      <c r="N462"/>
      <c r="Q462"/>
      <c r="R462"/>
      <c r="S462"/>
      <c r="T462"/>
      <c r="U462"/>
      <c r="V462"/>
      <c r="W462"/>
      <c r="X462"/>
      <c r="Y462"/>
      <c r="Z462"/>
      <c r="AA462"/>
      <c r="AB462"/>
      <c r="AC462"/>
      <c r="AD462"/>
      <c r="AE462"/>
      <c r="AF462"/>
      <c r="AG462"/>
      <c r="AH462"/>
      <c r="AI462"/>
      <c r="AJ462"/>
      <c r="AK462"/>
      <c r="AL462"/>
      <c r="AM462"/>
    </row>
    <row r="463" spans="2:39">
      <c r="B463" s="206"/>
      <c r="C463" s="206"/>
      <c r="I463"/>
      <c r="J463"/>
      <c r="K463"/>
      <c r="L463"/>
      <c r="M463"/>
      <c r="N463"/>
      <c r="Q463"/>
      <c r="R463"/>
      <c r="S463"/>
      <c r="T463"/>
      <c r="U463"/>
      <c r="V463"/>
      <c r="W463"/>
      <c r="X463"/>
      <c r="Y463"/>
      <c r="Z463"/>
      <c r="AA463"/>
      <c r="AB463"/>
      <c r="AC463"/>
      <c r="AD463"/>
      <c r="AE463"/>
      <c r="AF463"/>
      <c r="AG463"/>
      <c r="AH463"/>
      <c r="AI463"/>
      <c r="AJ463"/>
      <c r="AK463"/>
      <c r="AL463"/>
      <c r="AM463"/>
    </row>
    <row r="464" spans="2:39">
      <c r="B464" s="206"/>
      <c r="C464" s="206"/>
      <c r="I464"/>
      <c r="J464"/>
      <c r="K464"/>
      <c r="L464"/>
      <c r="M464"/>
      <c r="N464"/>
      <c r="Q464"/>
      <c r="R464"/>
      <c r="S464"/>
      <c r="T464"/>
      <c r="U464"/>
      <c r="V464"/>
      <c r="W464"/>
      <c r="X464"/>
      <c r="Y464"/>
      <c r="Z464"/>
      <c r="AA464"/>
      <c r="AB464"/>
      <c r="AC464"/>
      <c r="AD464"/>
      <c r="AE464"/>
      <c r="AF464"/>
      <c r="AG464"/>
      <c r="AH464"/>
      <c r="AI464"/>
      <c r="AJ464"/>
      <c r="AK464"/>
      <c r="AL464"/>
      <c r="AM464"/>
    </row>
    <row r="465" spans="2:39">
      <c r="B465" s="206"/>
      <c r="C465" s="206"/>
      <c r="I465"/>
      <c r="J465"/>
      <c r="K465"/>
      <c r="L465"/>
      <c r="M465"/>
      <c r="N465"/>
      <c r="Q465"/>
      <c r="R465"/>
      <c r="S465"/>
      <c r="T465"/>
      <c r="U465"/>
      <c r="V465"/>
      <c r="W465"/>
      <c r="X465"/>
      <c r="Y465"/>
      <c r="Z465"/>
      <c r="AA465"/>
      <c r="AB465"/>
      <c r="AC465"/>
      <c r="AD465"/>
      <c r="AE465"/>
      <c r="AF465"/>
      <c r="AG465"/>
      <c r="AH465"/>
      <c r="AI465"/>
      <c r="AJ465"/>
      <c r="AK465"/>
      <c r="AL465"/>
      <c r="AM465"/>
    </row>
    <row r="466" spans="2:39">
      <c r="B466" s="206"/>
      <c r="C466" s="206"/>
      <c r="I466"/>
      <c r="J466"/>
      <c r="K466"/>
      <c r="L466"/>
      <c r="M466"/>
      <c r="N466"/>
      <c r="Q466"/>
      <c r="R466"/>
      <c r="S466"/>
      <c r="T466"/>
      <c r="U466"/>
      <c r="V466"/>
      <c r="W466"/>
      <c r="X466"/>
      <c r="Y466"/>
      <c r="Z466"/>
      <c r="AA466"/>
      <c r="AB466"/>
      <c r="AC466"/>
      <c r="AD466"/>
      <c r="AE466"/>
      <c r="AF466"/>
      <c r="AG466"/>
      <c r="AH466"/>
      <c r="AI466"/>
      <c r="AJ466"/>
      <c r="AK466"/>
      <c r="AL466"/>
      <c r="AM466"/>
    </row>
    <row r="467" spans="2:39">
      <c r="B467" s="206"/>
      <c r="C467" s="206"/>
      <c r="I467"/>
      <c r="J467"/>
      <c r="K467"/>
      <c r="L467"/>
      <c r="M467"/>
      <c r="N467"/>
      <c r="Q467"/>
      <c r="R467"/>
      <c r="S467"/>
      <c r="T467"/>
      <c r="U467"/>
      <c r="V467"/>
      <c r="W467"/>
      <c r="X467"/>
      <c r="Y467"/>
      <c r="Z467"/>
      <c r="AA467"/>
      <c r="AB467"/>
      <c r="AC467"/>
      <c r="AD467"/>
      <c r="AE467"/>
      <c r="AF467"/>
      <c r="AG467"/>
      <c r="AH467"/>
      <c r="AI467"/>
      <c r="AJ467"/>
      <c r="AK467"/>
      <c r="AL467"/>
      <c r="AM467"/>
    </row>
    <row r="468" spans="2:39">
      <c r="B468" s="206"/>
      <c r="C468" s="206"/>
      <c r="I468"/>
      <c r="J468"/>
      <c r="K468"/>
      <c r="L468"/>
      <c r="M468"/>
      <c r="N468"/>
      <c r="Q468"/>
      <c r="R468"/>
      <c r="S468"/>
      <c r="T468"/>
      <c r="U468"/>
      <c r="V468"/>
      <c r="W468"/>
      <c r="X468"/>
      <c r="Y468"/>
      <c r="Z468"/>
      <c r="AA468"/>
      <c r="AB468"/>
      <c r="AC468"/>
      <c r="AD468"/>
      <c r="AE468"/>
      <c r="AF468"/>
      <c r="AG468"/>
      <c r="AH468"/>
      <c r="AI468"/>
      <c r="AJ468"/>
      <c r="AK468"/>
      <c r="AL468"/>
      <c r="AM468"/>
    </row>
    <row r="469" spans="2:39">
      <c r="B469" s="206"/>
      <c r="C469" s="206"/>
      <c r="I469"/>
      <c r="J469"/>
      <c r="K469"/>
      <c r="L469"/>
      <c r="M469"/>
      <c r="N469"/>
      <c r="Q469"/>
      <c r="R469"/>
      <c r="S469"/>
      <c r="T469"/>
      <c r="U469"/>
      <c r="V469"/>
      <c r="W469"/>
      <c r="X469"/>
      <c r="Y469"/>
      <c r="Z469"/>
      <c r="AA469"/>
      <c r="AB469"/>
      <c r="AC469"/>
      <c r="AD469"/>
      <c r="AE469"/>
      <c r="AF469"/>
      <c r="AG469"/>
      <c r="AH469"/>
      <c r="AI469"/>
      <c r="AJ469"/>
      <c r="AK469"/>
      <c r="AL469"/>
      <c r="AM469"/>
    </row>
    <row r="470" spans="2:39">
      <c r="B470" s="206"/>
      <c r="C470" s="206"/>
      <c r="I470"/>
      <c r="J470"/>
      <c r="K470"/>
      <c r="L470"/>
      <c r="M470"/>
      <c r="N470"/>
      <c r="Q470"/>
      <c r="R470"/>
      <c r="S470"/>
      <c r="T470"/>
      <c r="U470"/>
      <c r="V470"/>
      <c r="W470"/>
      <c r="X470"/>
      <c r="Y470"/>
      <c r="Z470"/>
      <c r="AA470"/>
      <c r="AB470"/>
      <c r="AC470"/>
      <c r="AD470"/>
      <c r="AE470"/>
      <c r="AF470"/>
      <c r="AG470"/>
      <c r="AH470"/>
      <c r="AI470"/>
      <c r="AJ470"/>
      <c r="AK470"/>
      <c r="AL470"/>
      <c r="AM470"/>
    </row>
    <row r="471" spans="2:39">
      <c r="B471" s="206"/>
      <c r="C471" s="206"/>
      <c r="I471"/>
      <c r="J471"/>
      <c r="K471"/>
      <c r="L471"/>
      <c r="M471"/>
      <c r="N471"/>
      <c r="Q471"/>
      <c r="R471"/>
      <c r="S471"/>
      <c r="T471"/>
      <c r="U471"/>
      <c r="V471"/>
      <c r="W471"/>
      <c r="X471"/>
      <c r="Y471"/>
      <c r="Z471"/>
      <c r="AA471"/>
      <c r="AB471"/>
      <c r="AC471"/>
      <c r="AD471"/>
      <c r="AE471"/>
      <c r="AF471"/>
      <c r="AG471"/>
      <c r="AH471"/>
      <c r="AI471"/>
      <c r="AJ471"/>
      <c r="AK471"/>
      <c r="AL471"/>
      <c r="AM471"/>
    </row>
    <row r="472" spans="2:39">
      <c r="B472" s="206"/>
      <c r="C472" s="206"/>
      <c r="I472"/>
      <c r="J472"/>
      <c r="K472"/>
      <c r="L472"/>
      <c r="M472"/>
      <c r="N472"/>
      <c r="Q472"/>
      <c r="R472"/>
      <c r="S472"/>
      <c r="T472"/>
      <c r="U472"/>
      <c r="V472"/>
      <c r="W472"/>
      <c r="X472"/>
      <c r="Y472"/>
      <c r="Z472"/>
      <c r="AA472"/>
      <c r="AB472"/>
      <c r="AC472"/>
      <c r="AD472"/>
      <c r="AE472"/>
      <c r="AF472"/>
      <c r="AG472"/>
      <c r="AH472"/>
      <c r="AI472"/>
      <c r="AJ472"/>
      <c r="AK472"/>
      <c r="AL472"/>
      <c r="AM472"/>
    </row>
    <row r="473" spans="2:39">
      <c r="B473" s="206"/>
      <c r="C473" s="206"/>
      <c r="I473"/>
      <c r="J473"/>
      <c r="K473"/>
      <c r="L473"/>
      <c r="M473"/>
      <c r="N473"/>
      <c r="Q473"/>
      <c r="R473"/>
      <c r="S473"/>
      <c r="T473"/>
      <c r="U473"/>
      <c r="V473"/>
      <c r="W473"/>
      <c r="X473"/>
      <c r="Y473"/>
      <c r="Z473"/>
      <c r="AA473"/>
      <c r="AB473"/>
      <c r="AC473"/>
      <c r="AD473"/>
      <c r="AE473"/>
      <c r="AF473"/>
      <c r="AG473"/>
      <c r="AH473"/>
      <c r="AI473"/>
      <c r="AJ473"/>
      <c r="AK473"/>
      <c r="AL473"/>
      <c r="AM473"/>
    </row>
    <row r="474" spans="2:39">
      <c r="B474" s="206"/>
      <c r="C474" s="206"/>
      <c r="I474"/>
      <c r="J474"/>
      <c r="K474"/>
      <c r="L474"/>
      <c r="M474"/>
      <c r="N474"/>
      <c r="Q474"/>
      <c r="R474"/>
      <c r="S474"/>
      <c r="T474"/>
      <c r="U474"/>
      <c r="V474"/>
      <c r="W474"/>
      <c r="X474"/>
      <c r="Y474"/>
      <c r="Z474"/>
      <c r="AA474"/>
      <c r="AB474"/>
      <c r="AC474"/>
      <c r="AD474"/>
      <c r="AE474"/>
      <c r="AF474"/>
      <c r="AG474"/>
      <c r="AH474"/>
      <c r="AI474"/>
      <c r="AJ474"/>
      <c r="AK474"/>
      <c r="AL474"/>
      <c r="AM474"/>
    </row>
    <row r="475" spans="2:39">
      <c r="B475" s="206"/>
      <c r="C475" s="206"/>
      <c r="I475"/>
      <c r="J475"/>
      <c r="K475"/>
      <c r="L475"/>
      <c r="M475"/>
      <c r="N475"/>
      <c r="Q475"/>
      <c r="R475"/>
      <c r="S475"/>
      <c r="T475"/>
      <c r="U475"/>
      <c r="V475"/>
      <c r="W475"/>
      <c r="X475"/>
      <c r="Y475"/>
      <c r="Z475"/>
      <c r="AA475"/>
      <c r="AB475"/>
      <c r="AC475"/>
      <c r="AD475"/>
      <c r="AE475"/>
      <c r="AF475"/>
      <c r="AG475"/>
      <c r="AH475"/>
      <c r="AI475"/>
      <c r="AJ475"/>
      <c r="AK475"/>
      <c r="AL475"/>
      <c r="AM475"/>
    </row>
    <row r="476" spans="2:39">
      <c r="B476" s="206"/>
      <c r="C476" s="206"/>
      <c r="I476"/>
      <c r="J476"/>
      <c r="K476"/>
      <c r="L476"/>
      <c r="M476"/>
      <c r="N476"/>
      <c r="Q476"/>
      <c r="R476"/>
      <c r="S476"/>
      <c r="T476"/>
      <c r="U476"/>
      <c r="V476"/>
      <c r="W476"/>
      <c r="X476"/>
      <c r="Y476"/>
      <c r="Z476"/>
      <c r="AA476"/>
      <c r="AB476"/>
      <c r="AC476"/>
      <c r="AD476"/>
      <c r="AE476"/>
      <c r="AF476"/>
      <c r="AG476"/>
      <c r="AH476"/>
      <c r="AI476"/>
      <c r="AJ476"/>
      <c r="AK476"/>
      <c r="AL476"/>
      <c r="AM476"/>
    </row>
    <row r="477" spans="2:39">
      <c r="B477" s="206"/>
      <c r="C477" s="206"/>
      <c r="I477"/>
      <c r="J477"/>
      <c r="K477"/>
      <c r="L477"/>
      <c r="M477"/>
      <c r="N477"/>
      <c r="Q477"/>
      <c r="R477"/>
      <c r="S477"/>
      <c r="T477"/>
      <c r="U477"/>
      <c r="V477"/>
      <c r="W477"/>
      <c r="X477"/>
      <c r="Y477"/>
      <c r="Z477"/>
      <c r="AA477"/>
      <c r="AB477"/>
      <c r="AC477"/>
      <c r="AD477"/>
      <c r="AE477"/>
      <c r="AF477"/>
      <c r="AG477"/>
      <c r="AH477"/>
      <c r="AI477"/>
      <c r="AJ477"/>
      <c r="AK477"/>
      <c r="AL477"/>
      <c r="AM477"/>
    </row>
    <row r="478" spans="2:39">
      <c r="B478" s="206"/>
      <c r="C478" s="206"/>
      <c r="I478"/>
      <c r="J478"/>
      <c r="K478"/>
      <c r="L478"/>
      <c r="M478"/>
      <c r="N478"/>
      <c r="Q478"/>
      <c r="R478"/>
      <c r="S478"/>
      <c r="T478"/>
      <c r="U478"/>
      <c r="V478"/>
      <c r="W478"/>
      <c r="X478"/>
      <c r="Y478"/>
      <c r="Z478"/>
      <c r="AA478"/>
      <c r="AB478"/>
      <c r="AC478"/>
      <c r="AD478"/>
      <c r="AE478"/>
      <c r="AF478"/>
      <c r="AG478"/>
      <c r="AH478"/>
      <c r="AI478"/>
      <c r="AJ478"/>
      <c r="AK478"/>
      <c r="AL478"/>
      <c r="AM478"/>
    </row>
    <row r="479" spans="2:39">
      <c r="B479" s="206"/>
      <c r="C479" s="206"/>
      <c r="I479"/>
      <c r="J479"/>
      <c r="K479"/>
      <c r="L479"/>
      <c r="M479"/>
      <c r="N479"/>
      <c r="Q479"/>
      <c r="R479"/>
      <c r="S479"/>
      <c r="T479"/>
      <c r="U479"/>
      <c r="V479"/>
      <c r="W479"/>
      <c r="X479"/>
      <c r="Y479"/>
      <c r="Z479"/>
      <c r="AA479"/>
      <c r="AB479"/>
      <c r="AC479"/>
      <c r="AD479"/>
      <c r="AE479"/>
      <c r="AF479"/>
      <c r="AG479"/>
      <c r="AH479"/>
      <c r="AI479"/>
      <c r="AJ479"/>
      <c r="AK479"/>
      <c r="AL479"/>
      <c r="AM479"/>
    </row>
    <row r="480" spans="2:39">
      <c r="B480" s="206"/>
      <c r="C480" s="206"/>
      <c r="I480"/>
      <c r="J480"/>
      <c r="K480"/>
      <c r="L480"/>
      <c r="M480"/>
      <c r="N480"/>
      <c r="Q480"/>
      <c r="R480"/>
      <c r="S480"/>
      <c r="T480"/>
      <c r="U480"/>
      <c r="V480"/>
      <c r="W480"/>
      <c r="X480"/>
      <c r="Y480"/>
      <c r="Z480"/>
      <c r="AA480"/>
      <c r="AB480"/>
      <c r="AC480"/>
      <c r="AD480"/>
      <c r="AE480"/>
      <c r="AF480"/>
      <c r="AG480"/>
      <c r="AH480"/>
      <c r="AI480"/>
      <c r="AJ480"/>
      <c r="AK480"/>
      <c r="AL480"/>
      <c r="AM480"/>
    </row>
    <row r="481" spans="2:39">
      <c r="B481" s="206"/>
      <c r="C481" s="206"/>
      <c r="I481"/>
      <c r="J481"/>
      <c r="K481"/>
      <c r="L481"/>
      <c r="M481"/>
      <c r="N481"/>
      <c r="Q481"/>
      <c r="R481"/>
      <c r="S481"/>
      <c r="T481"/>
      <c r="U481"/>
      <c r="V481"/>
      <c r="W481"/>
      <c r="X481"/>
      <c r="Y481"/>
      <c r="Z481"/>
      <c r="AA481"/>
      <c r="AB481"/>
      <c r="AC481"/>
      <c r="AD481"/>
      <c r="AE481"/>
      <c r="AF481"/>
      <c r="AG481"/>
      <c r="AH481"/>
      <c r="AI481"/>
      <c r="AJ481"/>
      <c r="AK481"/>
      <c r="AL481"/>
      <c r="AM481"/>
    </row>
    <row r="482" spans="2:39">
      <c r="B482" s="206"/>
      <c r="C482" s="206"/>
      <c r="I482"/>
      <c r="J482"/>
      <c r="K482"/>
      <c r="L482"/>
      <c r="M482"/>
      <c r="N482"/>
      <c r="Q482"/>
      <c r="R482"/>
      <c r="S482"/>
      <c r="T482"/>
      <c r="U482"/>
      <c r="V482"/>
      <c r="W482"/>
      <c r="X482"/>
      <c r="Y482"/>
      <c r="Z482"/>
      <c r="AA482"/>
      <c r="AB482"/>
      <c r="AC482"/>
      <c r="AD482"/>
      <c r="AE482"/>
      <c r="AF482"/>
      <c r="AG482"/>
      <c r="AH482"/>
      <c r="AI482"/>
      <c r="AJ482"/>
      <c r="AK482"/>
      <c r="AL482"/>
      <c r="AM482"/>
    </row>
    <row r="483" spans="2:39">
      <c r="B483" s="206"/>
      <c r="C483" s="206"/>
      <c r="I483"/>
      <c r="J483"/>
      <c r="K483"/>
      <c r="L483"/>
      <c r="M483"/>
      <c r="N483"/>
      <c r="Q483"/>
      <c r="R483"/>
      <c r="S483"/>
      <c r="T483"/>
      <c r="U483"/>
      <c r="V483"/>
      <c r="W483"/>
      <c r="X483"/>
      <c r="Y483"/>
      <c r="Z483"/>
      <c r="AA483"/>
      <c r="AB483"/>
      <c r="AC483"/>
      <c r="AD483"/>
      <c r="AE483"/>
      <c r="AF483"/>
      <c r="AG483"/>
      <c r="AH483"/>
      <c r="AI483"/>
      <c r="AJ483"/>
      <c r="AK483"/>
      <c r="AL483"/>
      <c r="AM483"/>
    </row>
    <row r="484" spans="2:39">
      <c r="B484" s="206"/>
      <c r="C484" s="206"/>
      <c r="I484"/>
      <c r="J484"/>
      <c r="K484"/>
      <c r="L484"/>
      <c r="M484"/>
      <c r="N484"/>
      <c r="Q484"/>
      <c r="R484"/>
      <c r="S484"/>
      <c r="T484"/>
      <c r="U484"/>
      <c r="V484"/>
      <c r="W484"/>
      <c r="X484"/>
      <c r="Y484"/>
      <c r="Z484"/>
      <c r="AA484"/>
      <c r="AB484"/>
      <c r="AC484"/>
      <c r="AD484"/>
      <c r="AE484"/>
      <c r="AF484"/>
      <c r="AG484"/>
      <c r="AH484"/>
      <c r="AI484"/>
      <c r="AJ484"/>
      <c r="AK484"/>
      <c r="AL484"/>
      <c r="AM484"/>
    </row>
    <row r="485" spans="2:39">
      <c r="B485" s="206"/>
      <c r="C485" s="206"/>
      <c r="I485"/>
      <c r="J485"/>
      <c r="K485"/>
      <c r="L485"/>
      <c r="M485"/>
      <c r="N485"/>
      <c r="Q485"/>
      <c r="R485"/>
      <c r="S485"/>
      <c r="T485"/>
      <c r="U485"/>
      <c r="V485"/>
      <c r="W485"/>
      <c r="X485"/>
      <c r="Y485"/>
      <c r="Z485"/>
      <c r="AA485"/>
      <c r="AB485"/>
      <c r="AC485"/>
      <c r="AD485"/>
      <c r="AE485"/>
      <c r="AF485"/>
      <c r="AG485"/>
      <c r="AH485"/>
      <c r="AI485"/>
      <c r="AJ485"/>
      <c r="AK485"/>
      <c r="AL485"/>
      <c r="AM485"/>
    </row>
    <row r="486" spans="2:39">
      <c r="B486" s="206"/>
      <c r="C486" s="206"/>
      <c r="I486"/>
      <c r="J486"/>
      <c r="K486"/>
      <c r="L486"/>
      <c r="M486"/>
      <c r="N486"/>
      <c r="Q486"/>
      <c r="R486"/>
      <c r="S486"/>
      <c r="T486"/>
      <c r="U486"/>
      <c r="V486"/>
      <c r="W486"/>
      <c r="X486"/>
      <c r="Y486"/>
      <c r="Z486"/>
      <c r="AA486"/>
      <c r="AB486"/>
      <c r="AC486"/>
      <c r="AD486"/>
      <c r="AE486"/>
      <c r="AF486"/>
      <c r="AG486"/>
      <c r="AH486"/>
      <c r="AI486"/>
      <c r="AJ486"/>
      <c r="AK486"/>
      <c r="AL486"/>
      <c r="AM486"/>
    </row>
    <row r="487" spans="2:39">
      <c r="B487" s="206"/>
      <c r="C487" s="206"/>
      <c r="I487"/>
      <c r="J487"/>
      <c r="K487"/>
      <c r="L487"/>
      <c r="M487"/>
      <c r="N487"/>
      <c r="Q487"/>
      <c r="R487"/>
      <c r="S487"/>
      <c r="T487"/>
      <c r="U487"/>
      <c r="V487"/>
      <c r="W487"/>
      <c r="X487"/>
      <c r="Y487"/>
      <c r="Z487"/>
      <c r="AA487"/>
      <c r="AB487"/>
      <c r="AC487"/>
      <c r="AD487"/>
      <c r="AE487"/>
      <c r="AF487"/>
      <c r="AG487"/>
      <c r="AH487"/>
      <c r="AI487"/>
      <c r="AJ487"/>
      <c r="AK487"/>
      <c r="AL487"/>
      <c r="AM487"/>
    </row>
    <row r="488" spans="2:39">
      <c r="B488" s="206"/>
      <c r="C488" s="206"/>
      <c r="I488"/>
      <c r="J488"/>
      <c r="K488"/>
      <c r="L488"/>
      <c r="M488"/>
      <c r="N488"/>
      <c r="Q488"/>
      <c r="R488"/>
      <c r="S488"/>
      <c r="T488"/>
      <c r="U488"/>
      <c r="V488"/>
      <c r="W488"/>
      <c r="X488"/>
      <c r="Y488"/>
      <c r="Z488"/>
      <c r="AA488"/>
      <c r="AB488"/>
      <c r="AC488"/>
      <c r="AD488"/>
      <c r="AE488"/>
      <c r="AF488"/>
      <c r="AG488"/>
      <c r="AH488"/>
      <c r="AI488"/>
      <c r="AJ488"/>
      <c r="AK488"/>
      <c r="AL488"/>
      <c r="AM488"/>
    </row>
    <row r="489" spans="2:39">
      <c r="B489" s="206"/>
      <c r="C489" s="206"/>
      <c r="I489"/>
      <c r="J489"/>
      <c r="K489"/>
      <c r="L489"/>
      <c r="M489"/>
      <c r="N489"/>
      <c r="Q489"/>
      <c r="R489"/>
      <c r="S489"/>
      <c r="T489"/>
      <c r="U489"/>
      <c r="V489"/>
      <c r="W489"/>
      <c r="X489"/>
      <c r="Y489"/>
      <c r="Z489"/>
      <c r="AA489"/>
      <c r="AB489"/>
      <c r="AC489"/>
      <c r="AD489"/>
      <c r="AE489"/>
      <c r="AF489"/>
      <c r="AG489"/>
      <c r="AH489"/>
      <c r="AI489"/>
      <c r="AJ489"/>
      <c r="AK489"/>
      <c r="AL489"/>
      <c r="AM489"/>
    </row>
    <row r="490" spans="2:39">
      <c r="B490" s="206"/>
      <c r="C490" s="206"/>
      <c r="I490"/>
      <c r="J490"/>
      <c r="K490"/>
      <c r="L490"/>
      <c r="M490"/>
      <c r="N490"/>
      <c r="Q490"/>
      <c r="R490"/>
      <c r="S490"/>
      <c r="T490"/>
      <c r="U490"/>
      <c r="V490"/>
      <c r="W490"/>
      <c r="X490"/>
      <c r="Y490"/>
      <c r="Z490"/>
      <c r="AA490"/>
      <c r="AB490"/>
      <c r="AC490"/>
      <c r="AD490"/>
      <c r="AE490"/>
      <c r="AF490"/>
      <c r="AG490"/>
      <c r="AH490"/>
      <c r="AI490"/>
      <c r="AJ490"/>
      <c r="AK490"/>
      <c r="AL490"/>
      <c r="AM490"/>
    </row>
    <row r="491" spans="2:39">
      <c r="B491" s="206"/>
      <c r="C491" s="206"/>
      <c r="I491"/>
      <c r="J491"/>
      <c r="K491"/>
      <c r="L491"/>
      <c r="M491"/>
      <c r="N491"/>
      <c r="Q491"/>
      <c r="R491"/>
      <c r="S491"/>
      <c r="T491"/>
      <c r="U491"/>
      <c r="V491"/>
      <c r="W491"/>
      <c r="X491"/>
      <c r="Y491"/>
      <c r="Z491"/>
      <c r="AA491"/>
      <c r="AB491"/>
      <c r="AC491"/>
      <c r="AD491"/>
      <c r="AE491"/>
      <c r="AF491"/>
      <c r="AG491"/>
      <c r="AH491"/>
      <c r="AI491"/>
      <c r="AJ491"/>
      <c r="AK491"/>
      <c r="AL491"/>
      <c r="AM491"/>
    </row>
    <row r="492" spans="2:39">
      <c r="B492" s="206"/>
      <c r="C492" s="206"/>
      <c r="I492"/>
      <c r="J492"/>
      <c r="K492"/>
      <c r="L492"/>
      <c r="M492"/>
      <c r="N492"/>
      <c r="Q492"/>
      <c r="R492"/>
      <c r="S492"/>
      <c r="T492"/>
      <c r="U492"/>
      <c r="V492"/>
      <c r="W492"/>
      <c r="X492"/>
      <c r="Y492"/>
      <c r="Z492"/>
      <c r="AA492"/>
      <c r="AB492"/>
      <c r="AC492"/>
      <c r="AD492"/>
      <c r="AE492"/>
      <c r="AF492"/>
      <c r="AG492"/>
      <c r="AH492"/>
      <c r="AI492"/>
      <c r="AJ492"/>
      <c r="AK492"/>
      <c r="AL492"/>
      <c r="AM492"/>
    </row>
    <row r="493" spans="2:39">
      <c r="B493" s="206"/>
      <c r="C493" s="206"/>
      <c r="I493"/>
      <c r="J493"/>
      <c r="K493"/>
      <c r="L493"/>
      <c r="M493"/>
      <c r="N493"/>
      <c r="Q493"/>
      <c r="R493"/>
      <c r="S493"/>
      <c r="T493"/>
      <c r="U493"/>
      <c r="V493"/>
      <c r="W493"/>
      <c r="X493"/>
      <c r="Y493"/>
      <c r="Z493"/>
      <c r="AA493"/>
      <c r="AB493"/>
      <c r="AC493"/>
      <c r="AD493"/>
      <c r="AE493"/>
      <c r="AF493"/>
      <c r="AG493"/>
      <c r="AH493"/>
      <c r="AI493"/>
      <c r="AJ493"/>
      <c r="AK493"/>
      <c r="AL493"/>
      <c r="AM493"/>
    </row>
    <row r="494" spans="2:39">
      <c r="B494" s="206"/>
      <c r="C494" s="206"/>
      <c r="I494"/>
      <c r="J494"/>
      <c r="K494"/>
      <c r="L494"/>
      <c r="M494"/>
      <c r="N494"/>
      <c r="Q494"/>
      <c r="R494"/>
      <c r="S494"/>
      <c r="T494"/>
      <c r="U494"/>
      <c r="V494"/>
      <c r="W494"/>
      <c r="X494"/>
      <c r="Y494"/>
      <c r="Z494"/>
      <c r="AA494"/>
      <c r="AB494"/>
      <c r="AC494"/>
      <c r="AD494"/>
      <c r="AE494"/>
      <c r="AF494"/>
      <c r="AG494"/>
      <c r="AH494"/>
      <c r="AI494"/>
      <c r="AJ494"/>
      <c r="AK494"/>
      <c r="AL494"/>
      <c r="AM494"/>
    </row>
    <row r="495" spans="2:39">
      <c r="B495" s="206"/>
      <c r="C495" s="206"/>
      <c r="I495"/>
      <c r="J495"/>
      <c r="K495"/>
      <c r="L495"/>
      <c r="M495"/>
      <c r="N495"/>
      <c r="Q495"/>
      <c r="R495"/>
      <c r="S495"/>
      <c r="T495"/>
      <c r="U495"/>
      <c r="V495"/>
      <c r="W495"/>
      <c r="X495"/>
      <c r="Y495"/>
      <c r="Z495"/>
      <c r="AA495"/>
      <c r="AB495"/>
      <c r="AC495"/>
      <c r="AD495"/>
      <c r="AE495"/>
      <c r="AF495"/>
      <c r="AG495"/>
      <c r="AH495"/>
      <c r="AI495"/>
      <c r="AJ495"/>
      <c r="AK495"/>
      <c r="AL495"/>
      <c r="AM495"/>
    </row>
    <row r="496" spans="2:39">
      <c r="B496" s="206"/>
      <c r="C496" s="206"/>
      <c r="I496"/>
      <c r="J496"/>
      <c r="K496"/>
      <c r="L496"/>
      <c r="M496"/>
      <c r="N496"/>
      <c r="Q496"/>
      <c r="R496"/>
      <c r="S496"/>
      <c r="T496"/>
      <c r="U496"/>
      <c r="V496"/>
      <c r="W496"/>
      <c r="X496"/>
      <c r="Y496"/>
      <c r="Z496"/>
      <c r="AA496"/>
      <c r="AB496"/>
      <c r="AC496"/>
      <c r="AD496"/>
      <c r="AE496"/>
      <c r="AF496"/>
      <c r="AG496"/>
      <c r="AH496"/>
      <c r="AI496"/>
      <c r="AJ496"/>
      <c r="AK496"/>
      <c r="AL496"/>
      <c r="AM496"/>
    </row>
    <row r="497" spans="2:39">
      <c r="B497" s="206"/>
      <c r="C497" s="206"/>
      <c r="I497"/>
      <c r="J497"/>
      <c r="K497"/>
      <c r="L497"/>
      <c r="M497"/>
      <c r="N497"/>
      <c r="Q497"/>
      <c r="R497"/>
      <c r="S497"/>
      <c r="T497"/>
      <c r="U497"/>
      <c r="V497"/>
      <c r="W497"/>
      <c r="X497"/>
      <c r="Y497"/>
      <c r="Z497"/>
      <c r="AA497"/>
      <c r="AB497"/>
      <c r="AC497"/>
      <c r="AD497"/>
      <c r="AE497"/>
      <c r="AF497"/>
      <c r="AG497"/>
      <c r="AH497"/>
      <c r="AI497"/>
      <c r="AJ497"/>
      <c r="AK497"/>
      <c r="AL497"/>
      <c r="AM497"/>
    </row>
    <row r="498" spans="2:39">
      <c r="B498" s="206"/>
      <c r="C498" s="206"/>
      <c r="I498"/>
      <c r="J498"/>
      <c r="K498"/>
      <c r="L498"/>
      <c r="M498"/>
      <c r="N498"/>
      <c r="Q498"/>
      <c r="R498"/>
      <c r="S498"/>
      <c r="T498"/>
      <c r="U498"/>
      <c r="V498"/>
      <c r="W498"/>
      <c r="X498"/>
      <c r="Y498"/>
      <c r="Z498"/>
      <c r="AA498"/>
      <c r="AB498"/>
      <c r="AC498"/>
      <c r="AD498"/>
      <c r="AE498"/>
      <c r="AF498"/>
      <c r="AG498"/>
      <c r="AH498"/>
      <c r="AI498"/>
      <c r="AJ498"/>
      <c r="AK498"/>
      <c r="AL498"/>
      <c r="AM498"/>
    </row>
    <row r="499" spans="2:39">
      <c r="B499" s="206"/>
      <c r="C499" s="206"/>
      <c r="I499"/>
      <c r="J499"/>
      <c r="K499"/>
      <c r="L499"/>
      <c r="M499"/>
      <c r="N499"/>
      <c r="Q499"/>
      <c r="R499"/>
      <c r="S499"/>
      <c r="T499"/>
      <c r="U499"/>
      <c r="V499"/>
      <c r="W499"/>
      <c r="X499"/>
      <c r="Y499"/>
      <c r="Z499"/>
      <c r="AA499"/>
      <c r="AB499"/>
      <c r="AC499"/>
      <c r="AD499"/>
      <c r="AE499"/>
      <c r="AF499"/>
      <c r="AG499"/>
      <c r="AH499"/>
      <c r="AI499"/>
      <c r="AJ499"/>
      <c r="AK499"/>
      <c r="AL499"/>
      <c r="AM499"/>
    </row>
    <row r="500" spans="2:39">
      <c r="B500" s="206"/>
      <c r="C500" s="206"/>
      <c r="I500"/>
      <c r="J500"/>
      <c r="K500"/>
      <c r="L500"/>
      <c r="M500"/>
      <c r="N500"/>
      <c r="Q500"/>
      <c r="R500"/>
      <c r="S500"/>
      <c r="T500"/>
      <c r="U500"/>
      <c r="V500"/>
      <c r="W500"/>
      <c r="X500"/>
      <c r="Y500"/>
      <c r="Z500"/>
      <c r="AA500"/>
      <c r="AB500"/>
      <c r="AC500"/>
      <c r="AD500"/>
      <c r="AE500"/>
      <c r="AF500"/>
      <c r="AG500"/>
      <c r="AH500"/>
      <c r="AI500"/>
      <c r="AJ500"/>
      <c r="AK500"/>
      <c r="AL500"/>
      <c r="AM500"/>
    </row>
    <row r="501" spans="2:39">
      <c r="B501" s="206"/>
      <c r="C501" s="206"/>
      <c r="I501"/>
      <c r="J501"/>
      <c r="K501"/>
      <c r="L501"/>
      <c r="M501"/>
      <c r="N501"/>
      <c r="Q501"/>
      <c r="R501"/>
      <c r="S501"/>
      <c r="T501"/>
      <c r="U501"/>
      <c r="V501"/>
      <c r="W501"/>
      <c r="X501"/>
      <c r="Y501"/>
      <c r="Z501"/>
      <c r="AA501"/>
      <c r="AB501"/>
      <c r="AC501"/>
      <c r="AD501"/>
      <c r="AE501"/>
      <c r="AF501"/>
      <c r="AG501"/>
      <c r="AH501"/>
      <c r="AI501"/>
      <c r="AJ501"/>
      <c r="AK501"/>
      <c r="AL501"/>
      <c r="AM501"/>
    </row>
    <row r="502" spans="2:39">
      <c r="B502" s="206"/>
      <c r="C502" s="206"/>
      <c r="I502"/>
      <c r="J502"/>
      <c r="K502"/>
      <c r="L502"/>
      <c r="M502"/>
      <c r="N502"/>
      <c r="Q502"/>
      <c r="R502"/>
      <c r="S502"/>
      <c r="T502"/>
      <c r="U502"/>
      <c r="V502"/>
      <c r="W502"/>
      <c r="X502"/>
      <c r="Y502"/>
      <c r="Z502"/>
      <c r="AA502"/>
      <c r="AB502"/>
      <c r="AC502"/>
      <c r="AD502"/>
      <c r="AE502"/>
      <c r="AF502"/>
      <c r="AG502"/>
      <c r="AH502"/>
      <c r="AI502"/>
      <c r="AJ502"/>
      <c r="AK502"/>
      <c r="AL502"/>
      <c r="AM502"/>
    </row>
    <row r="503" spans="2:39">
      <c r="B503" s="206"/>
      <c r="C503" s="206"/>
      <c r="I503"/>
      <c r="J503"/>
      <c r="K503"/>
      <c r="L503"/>
      <c r="M503"/>
      <c r="N503"/>
      <c r="Q503"/>
      <c r="R503"/>
      <c r="S503"/>
      <c r="T503"/>
      <c r="U503"/>
      <c r="V503"/>
      <c r="W503"/>
      <c r="X503"/>
      <c r="Y503"/>
      <c r="Z503"/>
      <c r="AA503"/>
      <c r="AB503"/>
      <c r="AC503"/>
      <c r="AD503"/>
      <c r="AE503"/>
      <c r="AF503"/>
      <c r="AG503"/>
      <c r="AH503"/>
      <c r="AI503"/>
      <c r="AJ503"/>
      <c r="AK503"/>
      <c r="AL503"/>
      <c r="AM503"/>
    </row>
    <row r="504" spans="2:39">
      <c r="B504" s="206"/>
      <c r="C504" s="206"/>
      <c r="I504"/>
      <c r="J504"/>
      <c r="K504"/>
      <c r="L504"/>
      <c r="M504"/>
      <c r="N504"/>
      <c r="Q504"/>
      <c r="R504"/>
      <c r="S504"/>
      <c r="T504"/>
      <c r="U504"/>
      <c r="V504"/>
      <c r="W504"/>
      <c r="X504"/>
      <c r="Y504"/>
      <c r="Z504"/>
      <c r="AA504"/>
      <c r="AB504"/>
      <c r="AC504"/>
      <c r="AD504"/>
      <c r="AE504"/>
      <c r="AF504"/>
      <c r="AG504"/>
      <c r="AH504"/>
      <c r="AI504"/>
      <c r="AJ504"/>
      <c r="AK504"/>
      <c r="AL504"/>
      <c r="AM504"/>
    </row>
    <row r="505" spans="2:39">
      <c r="B505" s="206"/>
      <c r="C505" s="206"/>
      <c r="I505"/>
      <c r="J505"/>
      <c r="K505"/>
      <c r="L505"/>
      <c r="M505"/>
      <c r="N505"/>
      <c r="Q505"/>
      <c r="R505"/>
      <c r="S505"/>
      <c r="T505"/>
      <c r="U505"/>
      <c r="V505"/>
      <c r="W505"/>
      <c r="X505"/>
      <c r="Y505"/>
      <c r="Z505"/>
      <c r="AA505"/>
      <c r="AB505"/>
      <c r="AC505"/>
      <c r="AD505"/>
      <c r="AE505"/>
      <c r="AF505"/>
      <c r="AG505"/>
      <c r="AH505"/>
      <c r="AI505"/>
      <c r="AJ505"/>
      <c r="AK505"/>
      <c r="AL505"/>
      <c r="AM505"/>
    </row>
    <row r="506" spans="2:39">
      <c r="B506" s="206"/>
      <c r="C506" s="206"/>
      <c r="I506"/>
      <c r="J506"/>
      <c r="K506"/>
      <c r="L506"/>
      <c r="M506"/>
      <c r="N506"/>
      <c r="Q506"/>
      <c r="R506"/>
      <c r="S506"/>
      <c r="T506"/>
      <c r="U506"/>
      <c r="V506"/>
      <c r="W506"/>
      <c r="X506"/>
      <c r="Y506"/>
      <c r="Z506"/>
      <c r="AA506"/>
      <c r="AB506"/>
      <c r="AC506"/>
      <c r="AD506"/>
      <c r="AE506"/>
      <c r="AF506"/>
      <c r="AG506"/>
      <c r="AH506"/>
      <c r="AI506"/>
      <c r="AJ506"/>
      <c r="AK506"/>
      <c r="AL506"/>
      <c r="AM506"/>
    </row>
    <row r="507" spans="2:39">
      <c r="B507" s="206"/>
      <c r="C507" s="206"/>
      <c r="I507"/>
      <c r="J507"/>
      <c r="K507"/>
      <c r="L507"/>
      <c r="M507"/>
      <c r="N507"/>
      <c r="Q507"/>
      <c r="R507"/>
      <c r="S507"/>
      <c r="T507"/>
      <c r="U507"/>
      <c r="V507"/>
      <c r="W507"/>
      <c r="X507"/>
      <c r="Y507"/>
      <c r="Z507"/>
      <c r="AA507"/>
      <c r="AB507"/>
      <c r="AC507"/>
      <c r="AD507"/>
      <c r="AE507"/>
      <c r="AF507"/>
      <c r="AG507"/>
      <c r="AH507"/>
      <c r="AI507"/>
      <c r="AJ507"/>
      <c r="AK507"/>
      <c r="AL507"/>
      <c r="AM507"/>
    </row>
    <row r="508" spans="2:39">
      <c r="B508" s="206"/>
      <c r="C508" s="206"/>
      <c r="I508"/>
      <c r="J508"/>
      <c r="K508"/>
      <c r="L508"/>
      <c r="M508"/>
      <c r="N508"/>
      <c r="Q508"/>
      <c r="R508"/>
      <c r="S508"/>
      <c r="T508"/>
      <c r="U508"/>
      <c r="V508"/>
      <c r="W508"/>
      <c r="X508"/>
      <c r="Y508"/>
      <c r="Z508"/>
      <c r="AA508"/>
      <c r="AB508"/>
      <c r="AC508"/>
      <c r="AD508"/>
      <c r="AE508"/>
      <c r="AF508"/>
      <c r="AG508"/>
      <c r="AH508"/>
      <c r="AI508"/>
      <c r="AJ508"/>
      <c r="AK508"/>
      <c r="AL508"/>
      <c r="AM508"/>
    </row>
    <row r="509" spans="2:39">
      <c r="B509" s="206"/>
      <c r="C509" s="206"/>
      <c r="I509"/>
      <c r="J509"/>
      <c r="K509"/>
      <c r="L509"/>
      <c r="M509"/>
      <c r="N509"/>
      <c r="Q509"/>
      <c r="R509"/>
      <c r="S509"/>
      <c r="T509"/>
      <c r="U509"/>
      <c r="V509"/>
      <c r="W509"/>
      <c r="X509"/>
      <c r="Y509"/>
      <c r="Z509"/>
      <c r="AA509"/>
      <c r="AB509"/>
      <c r="AC509"/>
      <c r="AD509"/>
      <c r="AE509"/>
      <c r="AF509"/>
      <c r="AG509"/>
      <c r="AH509"/>
      <c r="AI509"/>
      <c r="AJ509"/>
      <c r="AK509"/>
      <c r="AL509"/>
      <c r="AM509"/>
    </row>
    <row r="510" spans="2:39">
      <c r="B510" s="206"/>
      <c r="C510" s="206"/>
      <c r="I510"/>
      <c r="J510"/>
      <c r="K510"/>
      <c r="L510"/>
      <c r="M510"/>
      <c r="N510"/>
      <c r="Q510"/>
      <c r="R510"/>
      <c r="S510"/>
      <c r="T510"/>
      <c r="U510"/>
      <c r="V510"/>
      <c r="W510"/>
      <c r="X510"/>
      <c r="Y510"/>
      <c r="Z510"/>
      <c r="AA510"/>
      <c r="AB510"/>
      <c r="AC510"/>
      <c r="AD510"/>
      <c r="AE510"/>
      <c r="AF510"/>
      <c r="AG510"/>
      <c r="AH510"/>
      <c r="AI510"/>
      <c r="AJ510"/>
      <c r="AK510"/>
      <c r="AL510"/>
      <c r="AM510"/>
    </row>
    <row r="511" spans="2:39">
      <c r="B511" s="206"/>
      <c r="C511" s="206"/>
      <c r="I511"/>
      <c r="J511"/>
      <c r="K511"/>
      <c r="L511"/>
      <c r="M511"/>
      <c r="N511"/>
      <c r="Q511"/>
      <c r="R511"/>
      <c r="S511"/>
      <c r="T511"/>
      <c r="U511"/>
      <c r="V511"/>
      <c r="W511"/>
      <c r="X511"/>
      <c r="Y511"/>
      <c r="Z511"/>
      <c r="AA511"/>
      <c r="AB511"/>
      <c r="AC511"/>
      <c r="AD511"/>
      <c r="AE511"/>
      <c r="AF511"/>
      <c r="AG511"/>
      <c r="AH511"/>
      <c r="AI511"/>
      <c r="AJ511"/>
      <c r="AK511"/>
      <c r="AL511"/>
      <c r="AM511"/>
    </row>
    <row r="512" spans="2:39">
      <c r="B512" s="206"/>
      <c r="C512" s="206"/>
      <c r="I512"/>
      <c r="J512"/>
      <c r="K512"/>
      <c r="L512"/>
      <c r="M512"/>
      <c r="N512"/>
      <c r="Q512"/>
      <c r="R512"/>
      <c r="S512"/>
      <c r="T512"/>
      <c r="U512"/>
      <c r="V512"/>
      <c r="W512"/>
      <c r="X512"/>
      <c r="Y512"/>
      <c r="Z512"/>
      <c r="AA512"/>
      <c r="AB512"/>
      <c r="AC512"/>
      <c r="AD512"/>
      <c r="AE512"/>
      <c r="AF512"/>
      <c r="AG512"/>
      <c r="AH512"/>
      <c r="AI512"/>
      <c r="AJ512"/>
      <c r="AK512"/>
      <c r="AL512"/>
      <c r="AM512"/>
    </row>
    <row r="513" spans="2:39">
      <c r="B513" s="206"/>
      <c r="C513" s="206"/>
      <c r="I513"/>
      <c r="J513"/>
      <c r="K513"/>
      <c r="L513"/>
      <c r="M513"/>
      <c r="N513"/>
      <c r="Q513"/>
      <c r="R513"/>
      <c r="S513"/>
      <c r="T513"/>
      <c r="U513"/>
      <c r="V513"/>
      <c r="W513"/>
      <c r="X513"/>
      <c r="Y513"/>
      <c r="Z513"/>
      <c r="AA513"/>
      <c r="AB513"/>
      <c r="AC513"/>
      <c r="AD513"/>
      <c r="AE513"/>
      <c r="AF513"/>
      <c r="AG513"/>
      <c r="AH513"/>
      <c r="AI513"/>
      <c r="AJ513"/>
      <c r="AK513"/>
      <c r="AL513"/>
      <c r="AM513"/>
    </row>
    <row r="514" spans="2:39">
      <c r="B514" s="206"/>
      <c r="C514" s="206"/>
      <c r="I514"/>
      <c r="J514"/>
      <c r="K514"/>
      <c r="L514"/>
      <c r="M514"/>
      <c r="N514"/>
      <c r="Q514"/>
      <c r="R514"/>
      <c r="S514"/>
      <c r="T514"/>
      <c r="U514"/>
      <c r="V514"/>
      <c r="W514"/>
      <c r="X514"/>
      <c r="Y514"/>
      <c r="Z514"/>
      <c r="AA514"/>
      <c r="AB514"/>
      <c r="AC514"/>
      <c r="AD514"/>
      <c r="AE514"/>
      <c r="AF514"/>
      <c r="AG514"/>
      <c r="AH514"/>
      <c r="AI514"/>
      <c r="AJ514"/>
      <c r="AK514"/>
      <c r="AL514"/>
      <c r="AM514"/>
    </row>
    <row r="515" spans="2:39">
      <c r="B515" s="206"/>
      <c r="C515" s="206"/>
      <c r="I515"/>
      <c r="J515"/>
      <c r="K515"/>
      <c r="L515"/>
      <c r="M515"/>
      <c r="N515"/>
      <c r="Q515"/>
      <c r="R515"/>
      <c r="S515"/>
      <c r="T515"/>
      <c r="U515"/>
      <c r="V515"/>
      <c r="W515"/>
      <c r="X515"/>
      <c r="Y515"/>
      <c r="Z515"/>
      <c r="AA515"/>
      <c r="AB515"/>
      <c r="AC515"/>
      <c r="AD515"/>
      <c r="AE515"/>
      <c r="AF515"/>
      <c r="AG515"/>
      <c r="AH515"/>
      <c r="AI515"/>
      <c r="AJ515"/>
      <c r="AK515"/>
      <c r="AL515"/>
      <c r="AM515"/>
    </row>
    <row r="516" spans="2:39">
      <c r="B516" s="206"/>
      <c r="C516" s="206"/>
      <c r="I516"/>
      <c r="J516"/>
      <c r="K516"/>
      <c r="L516"/>
      <c r="M516"/>
      <c r="N516"/>
      <c r="Q516"/>
      <c r="R516"/>
      <c r="S516"/>
      <c r="T516"/>
      <c r="U516"/>
      <c r="V516"/>
      <c r="W516"/>
      <c r="X516"/>
      <c r="Y516"/>
      <c r="Z516"/>
      <c r="AA516"/>
      <c r="AB516"/>
      <c r="AC516"/>
      <c r="AD516"/>
      <c r="AE516"/>
      <c r="AF516"/>
      <c r="AG516"/>
      <c r="AH516"/>
      <c r="AI516"/>
      <c r="AJ516"/>
      <c r="AK516"/>
      <c r="AL516"/>
      <c r="AM516"/>
    </row>
    <row r="517" spans="2:39">
      <c r="B517" s="206"/>
      <c r="C517" s="206"/>
      <c r="I517"/>
      <c r="J517"/>
      <c r="K517"/>
      <c r="L517"/>
      <c r="M517"/>
      <c r="N517"/>
      <c r="Q517"/>
      <c r="R517"/>
      <c r="S517"/>
      <c r="T517"/>
      <c r="U517"/>
      <c r="V517"/>
      <c r="W517"/>
      <c r="X517"/>
      <c r="Y517"/>
      <c r="Z517"/>
      <c r="AA517"/>
      <c r="AB517"/>
      <c r="AC517"/>
      <c r="AD517"/>
      <c r="AE517"/>
      <c r="AF517"/>
      <c r="AG517"/>
      <c r="AH517"/>
      <c r="AI517"/>
      <c r="AJ517"/>
      <c r="AK517"/>
      <c r="AL517"/>
      <c r="AM517"/>
    </row>
    <row r="518" spans="2:39">
      <c r="B518" s="206"/>
      <c r="C518" s="206"/>
      <c r="I518"/>
      <c r="J518"/>
      <c r="K518"/>
      <c r="L518"/>
      <c r="M518"/>
      <c r="N518"/>
      <c r="Q518"/>
      <c r="R518"/>
      <c r="S518"/>
      <c r="T518"/>
      <c r="U518"/>
      <c r="V518"/>
      <c r="W518"/>
      <c r="X518"/>
      <c r="Y518"/>
      <c r="Z518"/>
      <c r="AA518"/>
      <c r="AB518"/>
      <c r="AC518"/>
      <c r="AD518"/>
      <c r="AE518"/>
      <c r="AF518"/>
      <c r="AG518"/>
      <c r="AH518"/>
      <c r="AI518"/>
      <c r="AJ518"/>
      <c r="AK518"/>
      <c r="AL518"/>
      <c r="AM518"/>
    </row>
    <row r="519" spans="2:39">
      <c r="B519" s="206"/>
      <c r="C519" s="206"/>
      <c r="I519"/>
      <c r="J519"/>
      <c r="K519"/>
      <c r="L519"/>
      <c r="M519"/>
      <c r="N519"/>
      <c r="Q519"/>
      <c r="R519"/>
      <c r="S519"/>
      <c r="T519"/>
      <c r="U519"/>
      <c r="V519"/>
      <c r="W519"/>
      <c r="X519"/>
      <c r="Y519"/>
      <c r="Z519"/>
      <c r="AA519"/>
      <c r="AB519"/>
      <c r="AC519"/>
      <c r="AD519"/>
      <c r="AE519"/>
      <c r="AF519"/>
      <c r="AG519"/>
      <c r="AH519"/>
      <c r="AI519"/>
      <c r="AJ519"/>
      <c r="AK519"/>
      <c r="AL519"/>
      <c r="AM519"/>
    </row>
    <row r="520" spans="2:39">
      <c r="B520" s="206"/>
      <c r="C520" s="206"/>
      <c r="I520"/>
      <c r="J520"/>
      <c r="K520"/>
      <c r="L520"/>
      <c r="M520"/>
      <c r="N520"/>
      <c r="Q520"/>
      <c r="R520"/>
      <c r="S520"/>
      <c r="T520"/>
      <c r="U520"/>
      <c r="V520"/>
      <c r="W520"/>
      <c r="X520"/>
      <c r="Y520"/>
      <c r="Z520"/>
      <c r="AA520"/>
      <c r="AB520"/>
      <c r="AC520"/>
      <c r="AD520"/>
      <c r="AE520"/>
      <c r="AF520"/>
      <c r="AG520"/>
      <c r="AH520"/>
      <c r="AI520"/>
      <c r="AJ520"/>
      <c r="AK520"/>
      <c r="AL520"/>
      <c r="AM520"/>
    </row>
    <row r="521" spans="2:39">
      <c r="B521" s="206"/>
      <c r="C521" s="206"/>
      <c r="I521"/>
      <c r="J521"/>
      <c r="K521"/>
      <c r="L521"/>
      <c r="M521"/>
      <c r="N521"/>
      <c r="Q521"/>
      <c r="R521"/>
      <c r="S521"/>
      <c r="T521"/>
      <c r="U521"/>
      <c r="V521"/>
      <c r="W521"/>
      <c r="X521"/>
      <c r="Y521"/>
      <c r="Z521"/>
      <c r="AA521"/>
      <c r="AB521"/>
      <c r="AC521"/>
      <c r="AD521"/>
      <c r="AE521"/>
      <c r="AF521"/>
      <c r="AG521"/>
      <c r="AH521"/>
      <c r="AI521"/>
      <c r="AJ521"/>
      <c r="AK521"/>
      <c r="AL521"/>
      <c r="AM521"/>
    </row>
    <row r="522" spans="2:39">
      <c r="B522" s="206"/>
      <c r="C522" s="206"/>
      <c r="I522"/>
      <c r="J522"/>
      <c r="K522"/>
      <c r="L522"/>
      <c r="M522"/>
      <c r="N522"/>
      <c r="Q522"/>
      <c r="R522"/>
      <c r="S522"/>
      <c r="T522"/>
      <c r="U522"/>
      <c r="V522"/>
      <c r="W522"/>
      <c r="X522"/>
      <c r="Y522"/>
      <c r="Z522"/>
      <c r="AA522"/>
      <c r="AB522"/>
      <c r="AC522"/>
      <c r="AD522"/>
      <c r="AE522"/>
      <c r="AF522"/>
      <c r="AG522"/>
      <c r="AH522"/>
      <c r="AI522"/>
      <c r="AJ522"/>
      <c r="AK522"/>
      <c r="AL522"/>
      <c r="AM522"/>
    </row>
    <row r="523" spans="2:39">
      <c r="B523" s="206"/>
      <c r="C523" s="206"/>
      <c r="I523"/>
      <c r="J523"/>
      <c r="K523"/>
      <c r="L523"/>
      <c r="M523"/>
      <c r="N523"/>
      <c r="Q523"/>
      <c r="R523"/>
      <c r="S523"/>
      <c r="T523"/>
      <c r="U523"/>
      <c r="V523"/>
      <c r="W523"/>
      <c r="X523"/>
      <c r="Y523"/>
      <c r="Z523"/>
      <c r="AA523"/>
      <c r="AB523"/>
      <c r="AC523"/>
      <c r="AD523"/>
      <c r="AE523"/>
      <c r="AF523"/>
      <c r="AG523"/>
      <c r="AH523"/>
      <c r="AI523"/>
      <c r="AJ523"/>
      <c r="AK523"/>
      <c r="AL523"/>
      <c r="AM523"/>
    </row>
    <row r="524" spans="2:39">
      <c r="B524" s="206"/>
      <c r="C524" s="206"/>
      <c r="I524"/>
      <c r="J524"/>
      <c r="K524"/>
      <c r="L524"/>
      <c r="M524"/>
      <c r="N524"/>
      <c r="Q524"/>
      <c r="R524"/>
      <c r="S524"/>
      <c r="T524"/>
      <c r="U524"/>
      <c r="V524"/>
      <c r="W524"/>
      <c r="X524"/>
      <c r="Y524"/>
      <c r="Z524"/>
      <c r="AA524"/>
      <c r="AB524"/>
      <c r="AC524"/>
      <c r="AD524"/>
      <c r="AE524"/>
      <c r="AF524"/>
      <c r="AG524"/>
      <c r="AH524"/>
      <c r="AI524"/>
      <c r="AJ524"/>
      <c r="AK524"/>
      <c r="AL524"/>
      <c r="AM524"/>
    </row>
    <row r="525" spans="2:39">
      <c r="B525" s="206"/>
      <c r="C525" s="206"/>
      <c r="I525"/>
      <c r="J525"/>
      <c r="K525"/>
      <c r="L525"/>
      <c r="M525"/>
      <c r="N525"/>
      <c r="Q525"/>
      <c r="R525"/>
      <c r="S525"/>
      <c r="T525"/>
      <c r="U525"/>
      <c r="V525"/>
      <c r="W525"/>
      <c r="X525"/>
      <c r="Y525"/>
      <c r="Z525"/>
      <c r="AA525"/>
      <c r="AB525"/>
      <c r="AC525"/>
      <c r="AD525"/>
      <c r="AE525"/>
      <c r="AF525"/>
      <c r="AG525"/>
      <c r="AH525"/>
      <c r="AI525"/>
      <c r="AJ525"/>
      <c r="AK525"/>
      <c r="AL525"/>
      <c r="AM525"/>
    </row>
    <row r="526" spans="2:39">
      <c r="B526" s="206"/>
      <c r="C526" s="206"/>
      <c r="I526"/>
      <c r="J526"/>
      <c r="K526"/>
      <c r="L526"/>
      <c r="M526"/>
      <c r="N526"/>
      <c r="Q526"/>
      <c r="R526"/>
      <c r="S526"/>
      <c r="T526"/>
      <c r="U526"/>
      <c r="V526"/>
      <c r="W526"/>
      <c r="X526"/>
      <c r="Y526"/>
      <c r="Z526"/>
      <c r="AA526"/>
      <c r="AB526"/>
      <c r="AC526"/>
      <c r="AD526"/>
      <c r="AE526"/>
      <c r="AF526"/>
      <c r="AG526"/>
      <c r="AH526"/>
      <c r="AI526"/>
      <c r="AJ526"/>
      <c r="AK526"/>
      <c r="AL526"/>
      <c r="AM526"/>
    </row>
    <row r="527" spans="2:39">
      <c r="B527" s="206"/>
      <c r="C527" s="206"/>
      <c r="I527"/>
      <c r="J527"/>
      <c r="K527"/>
      <c r="L527"/>
      <c r="M527"/>
      <c r="N527"/>
      <c r="Q527"/>
      <c r="R527"/>
      <c r="S527"/>
      <c r="T527"/>
      <c r="U527"/>
      <c r="V527"/>
      <c r="W527"/>
      <c r="X527"/>
      <c r="Y527"/>
      <c r="Z527"/>
      <c r="AA527"/>
      <c r="AB527"/>
      <c r="AC527"/>
      <c r="AD527"/>
      <c r="AE527"/>
      <c r="AF527"/>
      <c r="AG527"/>
      <c r="AH527"/>
      <c r="AI527"/>
      <c r="AJ527"/>
      <c r="AK527"/>
      <c r="AL527"/>
      <c r="AM527"/>
    </row>
    <row r="528" spans="2:39">
      <c r="B528" s="206"/>
      <c r="C528" s="206"/>
      <c r="I528"/>
      <c r="J528"/>
      <c r="K528"/>
      <c r="L528"/>
      <c r="M528"/>
      <c r="N528"/>
      <c r="Q528"/>
      <c r="R528"/>
      <c r="S528"/>
      <c r="T528"/>
      <c r="U528"/>
      <c r="V528"/>
      <c r="W528"/>
      <c r="X528"/>
      <c r="Y528"/>
      <c r="Z528"/>
      <c r="AA528"/>
      <c r="AB528"/>
      <c r="AC528"/>
      <c r="AD528"/>
      <c r="AE528"/>
      <c r="AF528"/>
      <c r="AG528"/>
      <c r="AH528"/>
      <c r="AI528"/>
      <c r="AJ528"/>
      <c r="AK528"/>
      <c r="AL528"/>
      <c r="AM528"/>
    </row>
    <row r="529" spans="2:39">
      <c r="B529" s="206"/>
      <c r="C529" s="206"/>
      <c r="I529"/>
      <c r="J529"/>
      <c r="K529"/>
      <c r="L529"/>
      <c r="M529"/>
      <c r="N529"/>
      <c r="Q529"/>
      <c r="R529"/>
      <c r="S529"/>
      <c r="T529"/>
      <c r="U529"/>
      <c r="V529"/>
      <c r="W529"/>
      <c r="X529"/>
      <c r="Y529"/>
      <c r="Z529"/>
      <c r="AA529"/>
      <c r="AB529"/>
      <c r="AC529"/>
      <c r="AD529"/>
      <c r="AE529"/>
      <c r="AF529"/>
      <c r="AG529"/>
      <c r="AH529"/>
      <c r="AI529"/>
      <c r="AJ529"/>
      <c r="AK529"/>
      <c r="AL529"/>
      <c r="AM529"/>
    </row>
    <row r="530" spans="2:39">
      <c r="B530" s="206"/>
      <c r="C530" s="206"/>
      <c r="I530"/>
      <c r="J530"/>
      <c r="K530"/>
      <c r="L530"/>
      <c r="M530"/>
      <c r="N530"/>
      <c r="Q530"/>
      <c r="R530"/>
      <c r="S530"/>
      <c r="T530"/>
      <c r="U530"/>
      <c r="V530"/>
      <c r="W530"/>
      <c r="X530"/>
      <c r="Y530"/>
      <c r="Z530"/>
      <c r="AA530"/>
      <c r="AB530"/>
      <c r="AC530"/>
      <c r="AD530"/>
      <c r="AE530"/>
      <c r="AF530"/>
      <c r="AG530"/>
      <c r="AH530"/>
      <c r="AI530"/>
      <c r="AJ530"/>
      <c r="AK530"/>
      <c r="AL530"/>
      <c r="AM530"/>
    </row>
    <row r="531" spans="2:39">
      <c r="B531" s="206"/>
      <c r="C531" s="206"/>
      <c r="I531"/>
      <c r="J531"/>
      <c r="K531"/>
      <c r="L531"/>
      <c r="M531"/>
      <c r="N531"/>
      <c r="Q531"/>
      <c r="R531"/>
      <c r="S531"/>
      <c r="T531"/>
      <c r="U531"/>
      <c r="V531"/>
      <c r="W531"/>
      <c r="X531"/>
      <c r="Y531"/>
      <c r="Z531"/>
      <c r="AA531"/>
      <c r="AB531"/>
      <c r="AC531"/>
      <c r="AD531"/>
      <c r="AE531"/>
      <c r="AF531"/>
      <c r="AG531"/>
      <c r="AH531"/>
      <c r="AI531"/>
      <c r="AJ531"/>
      <c r="AK531"/>
      <c r="AL531"/>
      <c r="AM531"/>
    </row>
    <row r="532" spans="2:39">
      <c r="B532" s="206"/>
      <c r="C532" s="206"/>
      <c r="I532"/>
      <c r="J532"/>
      <c r="K532"/>
      <c r="L532"/>
      <c r="M532"/>
      <c r="N532"/>
      <c r="Q532"/>
      <c r="R532"/>
      <c r="S532"/>
      <c r="T532"/>
      <c r="U532"/>
      <c r="V532"/>
      <c r="W532"/>
      <c r="X532"/>
      <c r="Y532"/>
      <c r="Z532"/>
      <c r="AA532"/>
      <c r="AB532"/>
      <c r="AC532"/>
      <c r="AD532"/>
      <c r="AE532"/>
      <c r="AF532"/>
      <c r="AG532"/>
      <c r="AH532"/>
      <c r="AI532"/>
      <c r="AJ532"/>
      <c r="AK532"/>
      <c r="AL532"/>
      <c r="AM532"/>
    </row>
    <row r="533" spans="2:39">
      <c r="B533" s="206"/>
      <c r="C533" s="206"/>
      <c r="I533"/>
      <c r="J533"/>
      <c r="K533"/>
      <c r="L533"/>
      <c r="M533"/>
      <c r="N533"/>
      <c r="Q533"/>
      <c r="R533"/>
      <c r="S533"/>
      <c r="T533"/>
      <c r="U533"/>
      <c r="V533"/>
      <c r="W533"/>
      <c r="X533"/>
      <c r="Y533"/>
      <c r="Z533"/>
      <c r="AA533"/>
      <c r="AB533"/>
      <c r="AC533"/>
      <c r="AD533"/>
      <c r="AE533"/>
      <c r="AF533"/>
      <c r="AG533"/>
      <c r="AH533"/>
      <c r="AI533"/>
      <c r="AJ533"/>
      <c r="AK533"/>
      <c r="AL533"/>
      <c r="AM533"/>
    </row>
    <row r="534" spans="2:39">
      <c r="B534" s="206"/>
      <c r="C534" s="206"/>
      <c r="I534"/>
      <c r="J534"/>
      <c r="K534"/>
      <c r="L534"/>
      <c r="M534"/>
      <c r="N534"/>
      <c r="Q534"/>
      <c r="R534"/>
      <c r="S534"/>
      <c r="T534"/>
      <c r="U534"/>
      <c r="V534"/>
      <c r="W534"/>
      <c r="X534"/>
      <c r="Y534"/>
      <c r="Z534"/>
      <c r="AA534"/>
      <c r="AB534"/>
      <c r="AC534"/>
      <c r="AD534"/>
      <c r="AE534"/>
      <c r="AF534"/>
      <c r="AG534"/>
      <c r="AH534"/>
      <c r="AI534"/>
      <c r="AJ534"/>
      <c r="AK534"/>
      <c r="AL534"/>
      <c r="AM534"/>
    </row>
    <row r="535" spans="2:39">
      <c r="B535" s="206"/>
      <c r="C535" s="206"/>
      <c r="I535"/>
      <c r="J535"/>
      <c r="K535"/>
      <c r="L535"/>
      <c r="M535"/>
      <c r="N535"/>
      <c r="Q535"/>
      <c r="R535"/>
      <c r="S535"/>
      <c r="T535"/>
      <c r="U535"/>
      <c r="V535"/>
      <c r="W535"/>
      <c r="X535"/>
      <c r="Y535"/>
      <c r="Z535"/>
      <c r="AA535"/>
      <c r="AB535"/>
      <c r="AC535"/>
      <c r="AD535"/>
      <c r="AE535"/>
      <c r="AF535"/>
      <c r="AG535"/>
      <c r="AH535"/>
      <c r="AI535"/>
      <c r="AJ535"/>
      <c r="AK535"/>
      <c r="AL535"/>
      <c r="AM535"/>
    </row>
    <row r="536" spans="2:39">
      <c r="B536" s="206"/>
      <c r="C536" s="206"/>
      <c r="I536"/>
      <c r="J536"/>
      <c r="K536"/>
      <c r="L536"/>
      <c r="M536"/>
      <c r="N536"/>
      <c r="Q536"/>
      <c r="R536"/>
      <c r="S536"/>
      <c r="T536"/>
      <c r="U536"/>
      <c r="V536"/>
      <c r="W536"/>
      <c r="X536"/>
      <c r="Y536"/>
      <c r="Z536"/>
      <c r="AA536"/>
      <c r="AB536"/>
      <c r="AC536"/>
      <c r="AD536"/>
      <c r="AE536"/>
      <c r="AF536"/>
      <c r="AG536"/>
      <c r="AH536"/>
      <c r="AI536"/>
      <c r="AJ536"/>
      <c r="AK536"/>
      <c r="AL536"/>
      <c r="AM536"/>
    </row>
    <row r="537" spans="2:39">
      <c r="B537" s="206"/>
      <c r="C537" s="206"/>
      <c r="I537"/>
      <c r="J537"/>
      <c r="K537"/>
      <c r="L537"/>
      <c r="M537"/>
      <c r="N537"/>
      <c r="Q537"/>
      <c r="R537"/>
      <c r="S537"/>
      <c r="T537"/>
      <c r="U537"/>
      <c r="V537"/>
      <c r="W537"/>
      <c r="X537"/>
      <c r="Y537"/>
      <c r="Z537"/>
      <c r="AA537"/>
      <c r="AB537"/>
      <c r="AC537"/>
      <c r="AD537"/>
      <c r="AE537"/>
      <c r="AF537"/>
      <c r="AG537"/>
      <c r="AH537"/>
      <c r="AI537"/>
      <c r="AJ537"/>
      <c r="AK537"/>
      <c r="AL537"/>
      <c r="AM537"/>
    </row>
    <row r="538" spans="2:39">
      <c r="B538" s="206"/>
      <c r="C538" s="206"/>
      <c r="I538"/>
      <c r="J538"/>
      <c r="K538"/>
      <c r="L538"/>
      <c r="M538"/>
      <c r="N538"/>
      <c r="Q538"/>
      <c r="R538"/>
      <c r="S538"/>
      <c r="T538"/>
      <c r="U538"/>
      <c r="V538"/>
      <c r="W538"/>
      <c r="X538"/>
      <c r="Y538"/>
      <c r="Z538"/>
      <c r="AA538"/>
      <c r="AB538"/>
      <c r="AC538"/>
      <c r="AD538"/>
      <c r="AE538"/>
      <c r="AF538"/>
      <c r="AG538"/>
      <c r="AH538"/>
      <c r="AI538"/>
      <c r="AJ538"/>
      <c r="AK538"/>
      <c r="AL538"/>
      <c r="AM538"/>
    </row>
    <row r="539" spans="2:39">
      <c r="B539" s="206"/>
      <c r="C539" s="206"/>
      <c r="I539"/>
      <c r="J539"/>
      <c r="K539"/>
      <c r="L539"/>
      <c r="M539"/>
      <c r="N539"/>
      <c r="Q539"/>
      <c r="R539"/>
      <c r="S539"/>
      <c r="T539"/>
      <c r="U539"/>
      <c r="V539"/>
      <c r="W539"/>
      <c r="X539"/>
      <c r="Y539"/>
      <c r="Z539"/>
      <c r="AA539"/>
      <c r="AB539"/>
      <c r="AC539"/>
      <c r="AD539"/>
      <c r="AE539"/>
      <c r="AF539"/>
      <c r="AG539"/>
      <c r="AH539"/>
      <c r="AI539"/>
      <c r="AJ539"/>
      <c r="AK539"/>
      <c r="AL539"/>
      <c r="AM539"/>
    </row>
    <row r="540" spans="2:39">
      <c r="B540" s="206"/>
      <c r="C540" s="206"/>
      <c r="I540"/>
      <c r="J540"/>
      <c r="K540"/>
      <c r="L540"/>
      <c r="M540"/>
      <c r="N540"/>
      <c r="Q540"/>
      <c r="R540"/>
      <c r="S540"/>
      <c r="T540"/>
      <c r="U540"/>
      <c r="V540"/>
      <c r="W540"/>
      <c r="X540"/>
      <c r="Y540"/>
      <c r="Z540"/>
      <c r="AA540"/>
      <c r="AB540"/>
      <c r="AC540"/>
      <c r="AD540"/>
      <c r="AE540"/>
      <c r="AF540"/>
      <c r="AG540"/>
      <c r="AH540"/>
      <c r="AI540"/>
      <c r="AJ540"/>
      <c r="AK540"/>
      <c r="AL540"/>
      <c r="AM540"/>
    </row>
    <row r="541" spans="2:39">
      <c r="B541" s="206"/>
      <c r="C541" s="206"/>
      <c r="I541"/>
      <c r="J541"/>
      <c r="K541"/>
      <c r="L541"/>
      <c r="M541"/>
      <c r="N541"/>
      <c r="Q541"/>
      <c r="R541"/>
      <c r="S541"/>
      <c r="T541"/>
      <c r="U541"/>
      <c r="V541"/>
      <c r="W541"/>
      <c r="X541"/>
      <c r="Y541"/>
      <c r="Z541"/>
      <c r="AA541"/>
      <c r="AB541"/>
      <c r="AC541"/>
      <c r="AD541"/>
      <c r="AE541"/>
      <c r="AF541"/>
      <c r="AG541"/>
      <c r="AH541"/>
      <c r="AI541"/>
      <c r="AJ541"/>
      <c r="AK541"/>
      <c r="AL541"/>
      <c r="AM541"/>
    </row>
    <row r="542" spans="2:39">
      <c r="B542" s="206"/>
      <c r="C542" s="206"/>
      <c r="I542"/>
      <c r="J542"/>
      <c r="K542"/>
      <c r="L542"/>
      <c r="M542"/>
      <c r="N542"/>
      <c r="Q542"/>
      <c r="R542"/>
      <c r="S542"/>
      <c r="T542"/>
      <c r="U542"/>
      <c r="V542"/>
      <c r="W542"/>
      <c r="X542"/>
      <c r="Y542"/>
      <c r="Z542"/>
      <c r="AA542"/>
      <c r="AB542"/>
      <c r="AC542"/>
      <c r="AD542"/>
      <c r="AE542"/>
      <c r="AF542"/>
      <c r="AG542"/>
      <c r="AH542"/>
      <c r="AI542"/>
      <c r="AJ542"/>
      <c r="AK542"/>
      <c r="AL542"/>
      <c r="AM542"/>
    </row>
    <row r="543" spans="2:39">
      <c r="B543" s="206"/>
      <c r="C543" s="206"/>
      <c r="I543"/>
      <c r="J543"/>
      <c r="K543"/>
      <c r="L543"/>
      <c r="M543"/>
      <c r="N543"/>
      <c r="Q543"/>
      <c r="R543"/>
      <c r="S543"/>
      <c r="T543"/>
      <c r="U543"/>
      <c r="V543"/>
      <c r="W543"/>
      <c r="X543"/>
      <c r="Y543"/>
      <c r="Z543"/>
      <c r="AA543"/>
      <c r="AB543"/>
      <c r="AC543"/>
      <c r="AD543"/>
      <c r="AE543"/>
      <c r="AF543"/>
      <c r="AG543"/>
      <c r="AH543"/>
      <c r="AI543"/>
      <c r="AJ543"/>
      <c r="AK543"/>
      <c r="AL543"/>
      <c r="AM543"/>
    </row>
    <row r="544" spans="2:39">
      <c r="B544" s="206"/>
      <c r="C544" s="206"/>
      <c r="I544"/>
      <c r="J544"/>
      <c r="K544"/>
      <c r="L544"/>
      <c r="M544"/>
      <c r="N544"/>
      <c r="Q544"/>
      <c r="R544"/>
      <c r="S544"/>
      <c r="T544"/>
      <c r="U544"/>
      <c r="V544"/>
      <c r="W544"/>
      <c r="X544"/>
      <c r="Y544"/>
      <c r="Z544"/>
      <c r="AA544"/>
      <c r="AB544"/>
      <c r="AC544"/>
      <c r="AD544"/>
      <c r="AE544"/>
      <c r="AF544"/>
      <c r="AG544"/>
      <c r="AH544"/>
      <c r="AI544"/>
      <c r="AJ544"/>
      <c r="AK544"/>
      <c r="AL544"/>
      <c r="AM544"/>
    </row>
    <row r="545" spans="2:39">
      <c r="B545" s="206"/>
      <c r="C545" s="206"/>
      <c r="I545"/>
      <c r="J545"/>
      <c r="K545"/>
      <c r="L545"/>
      <c r="M545"/>
      <c r="N545"/>
      <c r="Q545"/>
      <c r="R545"/>
      <c r="S545"/>
      <c r="T545"/>
      <c r="U545"/>
      <c r="V545"/>
      <c r="W545"/>
      <c r="X545"/>
      <c r="Y545"/>
      <c r="Z545"/>
      <c r="AA545"/>
      <c r="AB545"/>
      <c r="AC545"/>
      <c r="AD545"/>
      <c r="AE545"/>
      <c r="AF545"/>
      <c r="AG545"/>
      <c r="AH545"/>
      <c r="AI545"/>
      <c r="AJ545"/>
      <c r="AK545"/>
      <c r="AL545"/>
      <c r="AM545"/>
    </row>
    <row r="546" spans="2:39">
      <c r="B546" s="206"/>
      <c r="C546" s="206"/>
      <c r="I546"/>
      <c r="J546"/>
      <c r="K546"/>
      <c r="L546"/>
      <c r="M546"/>
      <c r="N546"/>
      <c r="Q546"/>
      <c r="R546"/>
      <c r="S546"/>
      <c r="T546"/>
      <c r="U546"/>
      <c r="V546"/>
      <c r="W546"/>
      <c r="X546"/>
      <c r="Y546"/>
      <c r="Z546"/>
      <c r="AA546"/>
      <c r="AB546"/>
      <c r="AC546"/>
      <c r="AD546"/>
      <c r="AE546"/>
      <c r="AF546"/>
      <c r="AG546"/>
      <c r="AH546"/>
      <c r="AI546"/>
      <c r="AJ546"/>
      <c r="AK546"/>
      <c r="AL546"/>
      <c r="AM546"/>
    </row>
    <row r="547" spans="2:39">
      <c r="B547" s="206"/>
      <c r="C547" s="206"/>
      <c r="I547"/>
      <c r="J547"/>
      <c r="K547"/>
      <c r="L547"/>
      <c r="M547"/>
      <c r="N547"/>
      <c r="Q547"/>
      <c r="R547"/>
      <c r="S547"/>
      <c r="T547"/>
      <c r="U547"/>
      <c r="V547"/>
      <c r="W547"/>
      <c r="X547"/>
      <c r="Y547"/>
      <c r="Z547"/>
      <c r="AA547"/>
      <c r="AB547"/>
      <c r="AC547"/>
      <c r="AD547"/>
      <c r="AE547"/>
      <c r="AF547"/>
      <c r="AG547"/>
      <c r="AH547"/>
      <c r="AI547"/>
      <c r="AJ547"/>
      <c r="AK547"/>
      <c r="AL547"/>
      <c r="AM547"/>
    </row>
    <row r="548" spans="2:39">
      <c r="B548" s="206"/>
      <c r="C548" s="206"/>
      <c r="I548"/>
      <c r="J548"/>
      <c r="K548"/>
      <c r="L548"/>
      <c r="M548"/>
      <c r="N548"/>
      <c r="Q548"/>
      <c r="R548"/>
      <c r="S548"/>
      <c r="T548"/>
      <c r="U548"/>
      <c r="V548"/>
      <c r="W548"/>
      <c r="X548"/>
      <c r="Y548"/>
      <c r="Z548"/>
      <c r="AA548"/>
      <c r="AB548"/>
      <c r="AC548"/>
      <c r="AD548"/>
      <c r="AE548"/>
      <c r="AF548"/>
      <c r="AG548"/>
      <c r="AH548"/>
      <c r="AI548"/>
      <c r="AJ548"/>
      <c r="AK548"/>
      <c r="AL548"/>
      <c r="AM548"/>
    </row>
    <row r="549" spans="2:39">
      <c r="B549" s="206"/>
      <c r="C549" s="206"/>
      <c r="I549"/>
      <c r="J549"/>
      <c r="K549"/>
      <c r="L549"/>
      <c r="M549"/>
      <c r="N549"/>
      <c r="Q549"/>
      <c r="R549"/>
      <c r="S549"/>
      <c r="T549"/>
      <c r="U549"/>
      <c r="V549"/>
      <c r="W549"/>
      <c r="X549"/>
      <c r="Y549"/>
      <c r="Z549"/>
      <c r="AA549"/>
      <c r="AB549"/>
      <c r="AC549"/>
      <c r="AD549"/>
      <c r="AE549"/>
      <c r="AF549"/>
      <c r="AG549"/>
      <c r="AH549"/>
      <c r="AI549"/>
      <c r="AJ549"/>
      <c r="AK549"/>
      <c r="AL549"/>
      <c r="AM549"/>
    </row>
    <row r="550" spans="2:39">
      <c r="B550" s="206"/>
      <c r="C550" s="206"/>
      <c r="I550"/>
      <c r="J550"/>
      <c r="K550"/>
      <c r="L550"/>
      <c r="M550"/>
      <c r="N550"/>
      <c r="Q550"/>
      <c r="R550"/>
      <c r="S550"/>
      <c r="T550"/>
      <c r="U550"/>
      <c r="V550"/>
      <c r="W550"/>
      <c r="X550"/>
      <c r="Y550"/>
      <c r="Z550"/>
      <c r="AA550"/>
      <c r="AB550"/>
      <c r="AC550"/>
      <c r="AD550"/>
      <c r="AE550"/>
      <c r="AF550"/>
      <c r="AG550"/>
      <c r="AH550"/>
      <c r="AI550"/>
      <c r="AJ550"/>
      <c r="AK550"/>
      <c r="AL550"/>
      <c r="AM550"/>
    </row>
    <row r="551" spans="2:39">
      <c r="B551" s="206"/>
      <c r="C551" s="206"/>
      <c r="I551"/>
      <c r="J551"/>
      <c r="K551"/>
      <c r="L551"/>
      <c r="M551"/>
      <c r="N551"/>
      <c r="Q551"/>
      <c r="R551"/>
      <c r="S551"/>
      <c r="T551"/>
      <c r="U551"/>
      <c r="V551"/>
      <c r="W551"/>
      <c r="X551"/>
      <c r="Y551"/>
      <c r="Z551"/>
      <c r="AA551"/>
      <c r="AB551"/>
      <c r="AC551"/>
      <c r="AD551"/>
      <c r="AE551"/>
      <c r="AF551"/>
      <c r="AG551"/>
      <c r="AH551"/>
      <c r="AI551"/>
      <c r="AJ551"/>
      <c r="AK551"/>
      <c r="AL551"/>
      <c r="AM551"/>
    </row>
    <row r="552" spans="2:39">
      <c r="B552" s="206"/>
      <c r="C552" s="206"/>
      <c r="I552"/>
      <c r="J552"/>
      <c r="K552"/>
      <c r="L552"/>
      <c r="M552"/>
      <c r="N552"/>
      <c r="Q552"/>
      <c r="R552"/>
      <c r="S552"/>
      <c r="T552"/>
      <c r="U552"/>
      <c r="V552"/>
      <c r="W552"/>
      <c r="X552"/>
      <c r="Y552"/>
      <c r="Z552"/>
      <c r="AA552"/>
      <c r="AB552"/>
      <c r="AC552"/>
      <c r="AD552"/>
      <c r="AE552"/>
      <c r="AF552"/>
      <c r="AG552"/>
      <c r="AH552"/>
      <c r="AI552"/>
      <c r="AJ552"/>
      <c r="AK552"/>
      <c r="AL552"/>
      <c r="AM552"/>
    </row>
    <row r="553" spans="2:39">
      <c r="B553" s="206"/>
      <c r="C553" s="206"/>
      <c r="I553"/>
      <c r="J553"/>
      <c r="K553"/>
      <c r="L553"/>
      <c r="M553"/>
      <c r="N553"/>
      <c r="Q553"/>
      <c r="R553"/>
      <c r="S553"/>
      <c r="T553"/>
      <c r="U553"/>
      <c r="V553"/>
      <c r="W553"/>
      <c r="X553"/>
      <c r="Y553"/>
      <c r="Z553"/>
      <c r="AA553"/>
      <c r="AB553"/>
      <c r="AC553"/>
      <c r="AD553"/>
      <c r="AE553"/>
      <c r="AF553"/>
      <c r="AG553"/>
      <c r="AH553"/>
      <c r="AI553"/>
      <c r="AJ553"/>
      <c r="AK553"/>
      <c r="AL553"/>
      <c r="AM553"/>
    </row>
    <row r="554" spans="2:39">
      <c r="B554" s="206"/>
      <c r="C554" s="206"/>
      <c r="I554"/>
      <c r="J554"/>
      <c r="K554"/>
      <c r="L554"/>
      <c r="M554"/>
      <c r="N554"/>
      <c r="Q554"/>
      <c r="R554"/>
      <c r="S554"/>
      <c r="T554"/>
      <c r="U554"/>
      <c r="V554"/>
      <c r="W554"/>
      <c r="X554"/>
      <c r="Y554"/>
      <c r="Z554"/>
      <c r="AA554"/>
      <c r="AB554"/>
      <c r="AC554"/>
      <c r="AD554"/>
      <c r="AE554"/>
      <c r="AF554"/>
      <c r="AG554"/>
      <c r="AH554"/>
      <c r="AI554"/>
      <c r="AJ554"/>
      <c r="AK554"/>
      <c r="AL554"/>
      <c r="AM554"/>
    </row>
    <row r="555" spans="2:39">
      <c r="B555" s="206"/>
      <c r="C555" s="206"/>
      <c r="I555"/>
      <c r="J555"/>
      <c r="K555"/>
      <c r="L555"/>
      <c r="M555"/>
      <c r="N555"/>
      <c r="Q555"/>
      <c r="R555"/>
      <c r="S555"/>
      <c r="T555"/>
      <c r="U555"/>
      <c r="V555"/>
      <c r="W555"/>
      <c r="X555"/>
      <c r="Y555"/>
      <c r="Z555"/>
      <c r="AA555"/>
      <c r="AB555"/>
      <c r="AC555"/>
      <c r="AD555"/>
      <c r="AE555"/>
      <c r="AF555"/>
      <c r="AG555"/>
      <c r="AH555"/>
      <c r="AI555"/>
      <c r="AJ555"/>
      <c r="AK555"/>
      <c r="AL555"/>
      <c r="AM555"/>
    </row>
    <row r="556" spans="2:39">
      <c r="B556" s="206"/>
      <c r="C556" s="206"/>
      <c r="I556"/>
      <c r="J556"/>
      <c r="K556"/>
      <c r="L556"/>
      <c r="M556"/>
      <c r="N556"/>
      <c r="Q556"/>
      <c r="R556"/>
      <c r="S556"/>
      <c r="T556"/>
      <c r="U556"/>
      <c r="V556"/>
      <c r="W556"/>
      <c r="X556"/>
      <c r="Y556"/>
      <c r="Z556"/>
      <c r="AA556"/>
      <c r="AB556"/>
      <c r="AC556"/>
      <c r="AD556"/>
      <c r="AE556"/>
      <c r="AF556"/>
      <c r="AG556"/>
      <c r="AH556"/>
      <c r="AI556"/>
      <c r="AJ556"/>
      <c r="AK556"/>
      <c r="AL556"/>
      <c r="AM556"/>
    </row>
    <row r="557" spans="2:39">
      <c r="B557" s="206"/>
      <c r="C557" s="206"/>
      <c r="I557"/>
      <c r="J557"/>
      <c r="K557"/>
      <c r="L557"/>
      <c r="M557"/>
      <c r="N557"/>
      <c r="Q557"/>
      <c r="R557"/>
      <c r="S557"/>
      <c r="T557"/>
      <c r="U557"/>
      <c r="V557"/>
      <c r="W557"/>
      <c r="X557"/>
      <c r="Y557"/>
      <c r="Z557"/>
      <c r="AA557"/>
      <c r="AB557"/>
      <c r="AC557"/>
      <c r="AD557"/>
      <c r="AE557"/>
      <c r="AF557"/>
      <c r="AG557"/>
      <c r="AH557"/>
      <c r="AI557"/>
      <c r="AJ557"/>
      <c r="AK557"/>
      <c r="AL557"/>
      <c r="AM557"/>
    </row>
    <row r="558" spans="2:39">
      <c r="B558" s="206"/>
      <c r="C558" s="206"/>
      <c r="I558"/>
      <c r="J558"/>
      <c r="K558"/>
      <c r="L558"/>
      <c r="M558"/>
      <c r="N558"/>
      <c r="Q558"/>
      <c r="R558"/>
      <c r="S558"/>
      <c r="T558"/>
      <c r="U558"/>
      <c r="V558"/>
      <c r="W558"/>
      <c r="X558"/>
      <c r="Y558"/>
      <c r="Z558"/>
      <c r="AA558"/>
      <c r="AB558"/>
      <c r="AC558"/>
      <c r="AD558"/>
      <c r="AE558"/>
      <c r="AF558"/>
      <c r="AG558"/>
      <c r="AH558"/>
      <c r="AI558"/>
      <c r="AJ558"/>
      <c r="AK558"/>
      <c r="AL558"/>
      <c r="AM558"/>
    </row>
    <row r="559" spans="2:39">
      <c r="B559" s="206"/>
      <c r="C559" s="206"/>
      <c r="I559"/>
      <c r="J559"/>
      <c r="K559"/>
      <c r="L559"/>
      <c r="M559"/>
      <c r="N559"/>
      <c r="Q559"/>
      <c r="R559"/>
      <c r="S559"/>
      <c r="T559"/>
      <c r="U559"/>
      <c r="V559"/>
      <c r="W559"/>
      <c r="X559"/>
      <c r="Y559"/>
      <c r="Z559"/>
      <c r="AA559"/>
      <c r="AB559"/>
      <c r="AC559"/>
      <c r="AD559"/>
      <c r="AE559"/>
      <c r="AF559"/>
      <c r="AG559"/>
      <c r="AH559"/>
      <c r="AI559"/>
      <c r="AJ559"/>
      <c r="AK559"/>
      <c r="AL559"/>
      <c r="AM559"/>
    </row>
    <row r="560" spans="2:39">
      <c r="B560" s="206"/>
      <c r="C560" s="206"/>
      <c r="I560"/>
      <c r="J560"/>
      <c r="K560"/>
      <c r="L560"/>
      <c r="M560"/>
      <c r="N560"/>
      <c r="Q560"/>
      <c r="R560"/>
      <c r="S560"/>
      <c r="T560"/>
      <c r="U560"/>
      <c r="V560"/>
      <c r="W560"/>
      <c r="X560"/>
      <c r="Y560"/>
      <c r="Z560"/>
      <c r="AA560"/>
      <c r="AB560"/>
      <c r="AC560"/>
      <c r="AD560"/>
      <c r="AE560"/>
      <c r="AF560"/>
      <c r="AG560"/>
      <c r="AH560"/>
      <c r="AI560"/>
      <c r="AJ560"/>
      <c r="AK560"/>
      <c r="AL560"/>
      <c r="AM560"/>
    </row>
    <row r="561" spans="2:39">
      <c r="B561" s="206"/>
      <c r="C561" s="206"/>
      <c r="I561"/>
      <c r="J561"/>
      <c r="K561"/>
      <c r="L561"/>
      <c r="M561"/>
      <c r="N561"/>
      <c r="Q561"/>
      <c r="R561"/>
      <c r="S561"/>
      <c r="T561"/>
      <c r="U561"/>
      <c r="V561"/>
      <c r="W561"/>
      <c r="X561"/>
      <c r="Y561"/>
      <c r="Z561"/>
      <c r="AA561"/>
      <c r="AB561"/>
      <c r="AC561"/>
      <c r="AD561"/>
      <c r="AE561"/>
      <c r="AF561"/>
      <c r="AG561"/>
      <c r="AH561"/>
      <c r="AI561"/>
      <c r="AJ561"/>
      <c r="AK561"/>
      <c r="AL561"/>
      <c r="AM561"/>
    </row>
    <row r="562" spans="2:39">
      <c r="B562" s="206"/>
      <c r="C562" s="206"/>
      <c r="I562"/>
      <c r="J562"/>
      <c r="K562"/>
      <c r="L562"/>
      <c r="M562"/>
      <c r="N562"/>
      <c r="Q562"/>
      <c r="R562"/>
      <c r="S562"/>
      <c r="T562"/>
      <c r="U562"/>
      <c r="V562"/>
      <c r="W562"/>
      <c r="X562"/>
      <c r="Y562"/>
      <c r="Z562"/>
      <c r="AA562"/>
      <c r="AB562"/>
      <c r="AC562"/>
      <c r="AD562"/>
      <c r="AE562"/>
      <c r="AF562"/>
      <c r="AG562"/>
      <c r="AH562"/>
      <c r="AI562"/>
      <c r="AJ562"/>
      <c r="AK562"/>
      <c r="AL562"/>
      <c r="AM562"/>
    </row>
    <row r="563" spans="2:39">
      <c r="B563" s="206"/>
      <c r="C563" s="206"/>
      <c r="I563"/>
      <c r="J563"/>
      <c r="K563"/>
      <c r="L563"/>
      <c r="M563"/>
      <c r="N563"/>
      <c r="Q563"/>
      <c r="R563"/>
      <c r="S563"/>
      <c r="T563"/>
      <c r="U563"/>
      <c r="V563"/>
      <c r="W563"/>
      <c r="X563"/>
      <c r="Y563"/>
      <c r="Z563"/>
      <c r="AA563"/>
      <c r="AB563"/>
      <c r="AC563"/>
      <c r="AD563"/>
      <c r="AE563"/>
      <c r="AF563"/>
      <c r="AG563"/>
      <c r="AH563"/>
      <c r="AI563"/>
      <c r="AJ563"/>
      <c r="AK563"/>
      <c r="AL563"/>
      <c r="AM563"/>
    </row>
    <row r="564" spans="2:39">
      <c r="B564" s="206"/>
      <c r="C564" s="206"/>
      <c r="I564"/>
      <c r="J564"/>
      <c r="K564"/>
      <c r="L564"/>
      <c r="M564"/>
      <c r="N564"/>
      <c r="Q564"/>
      <c r="R564"/>
      <c r="S564"/>
      <c r="T564"/>
      <c r="U564"/>
      <c r="V564"/>
      <c r="W564"/>
      <c r="X564"/>
      <c r="Y564"/>
      <c r="Z564"/>
      <c r="AA564"/>
      <c r="AB564"/>
      <c r="AC564"/>
      <c r="AD564"/>
      <c r="AE564"/>
      <c r="AF564"/>
      <c r="AG564"/>
      <c r="AH564"/>
      <c r="AI564"/>
      <c r="AJ564"/>
      <c r="AK564"/>
      <c r="AL564"/>
      <c r="AM564"/>
    </row>
    <row r="565" spans="2:39">
      <c r="B565" s="206"/>
      <c r="C565" s="206"/>
      <c r="I565"/>
      <c r="J565"/>
      <c r="K565"/>
      <c r="L565"/>
      <c r="M565"/>
      <c r="N565"/>
      <c r="Q565"/>
      <c r="R565"/>
      <c r="S565"/>
      <c r="T565"/>
      <c r="U565"/>
      <c r="V565"/>
      <c r="W565"/>
      <c r="X565"/>
      <c r="Y565"/>
      <c r="Z565"/>
      <c r="AA565"/>
      <c r="AB565"/>
      <c r="AC565"/>
      <c r="AD565"/>
      <c r="AE565"/>
      <c r="AF565"/>
      <c r="AG565"/>
      <c r="AH565"/>
      <c r="AI565"/>
      <c r="AJ565"/>
      <c r="AK565"/>
      <c r="AL565"/>
      <c r="AM565"/>
    </row>
    <row r="566" spans="2:39">
      <c r="B566" s="206"/>
      <c r="C566" s="206"/>
      <c r="I566"/>
      <c r="J566"/>
      <c r="K566"/>
      <c r="L566"/>
      <c r="M566"/>
      <c r="N566"/>
      <c r="Q566"/>
      <c r="R566"/>
      <c r="S566"/>
      <c r="T566"/>
      <c r="U566"/>
      <c r="V566"/>
      <c r="W566"/>
      <c r="X566"/>
      <c r="Y566"/>
      <c r="Z566"/>
      <c r="AA566"/>
      <c r="AB566"/>
      <c r="AC566"/>
      <c r="AD566"/>
      <c r="AE566"/>
      <c r="AF566"/>
      <c r="AG566"/>
      <c r="AH566"/>
      <c r="AI566"/>
      <c r="AJ566"/>
      <c r="AK566"/>
      <c r="AL566"/>
      <c r="AM566"/>
    </row>
    <row r="567" spans="2:39">
      <c r="B567" s="206"/>
      <c r="C567" s="206"/>
      <c r="I567"/>
      <c r="J567"/>
      <c r="K567"/>
      <c r="L567"/>
      <c r="M567"/>
      <c r="N567"/>
      <c r="Q567"/>
      <c r="R567"/>
      <c r="S567"/>
      <c r="T567"/>
      <c r="U567"/>
      <c r="V567"/>
      <c r="W567"/>
      <c r="X567"/>
      <c r="Y567"/>
      <c r="Z567"/>
      <c r="AA567"/>
      <c r="AB567"/>
      <c r="AC567"/>
      <c r="AD567"/>
      <c r="AE567"/>
      <c r="AF567"/>
      <c r="AG567"/>
      <c r="AH567"/>
      <c r="AI567"/>
      <c r="AJ567"/>
      <c r="AK567"/>
      <c r="AL567"/>
      <c r="AM567"/>
    </row>
    <row r="568" spans="2:39">
      <c r="B568" s="206"/>
      <c r="C568" s="206"/>
      <c r="I568"/>
      <c r="J568"/>
      <c r="K568"/>
      <c r="L568"/>
      <c r="M568"/>
      <c r="N568"/>
      <c r="Q568"/>
      <c r="R568"/>
      <c r="S568"/>
      <c r="T568"/>
      <c r="U568"/>
      <c r="V568"/>
      <c r="W568"/>
      <c r="X568"/>
      <c r="Y568"/>
      <c r="Z568"/>
      <c r="AA568"/>
      <c r="AB568"/>
      <c r="AC568"/>
      <c r="AD568"/>
      <c r="AE568"/>
      <c r="AF568"/>
      <c r="AG568"/>
      <c r="AH568"/>
      <c r="AI568"/>
      <c r="AJ568"/>
      <c r="AK568"/>
      <c r="AL568"/>
      <c r="AM568"/>
    </row>
    <row r="569" spans="2:39">
      <c r="B569" s="206"/>
      <c r="C569" s="206"/>
      <c r="I569"/>
      <c r="J569"/>
      <c r="K569"/>
      <c r="L569"/>
      <c r="M569"/>
      <c r="N569"/>
      <c r="Q569"/>
      <c r="R569"/>
      <c r="S569"/>
      <c r="T569"/>
      <c r="U569"/>
      <c r="V569"/>
      <c r="W569"/>
      <c r="X569"/>
      <c r="Y569"/>
      <c r="Z569"/>
      <c r="AA569"/>
      <c r="AB569"/>
      <c r="AC569"/>
      <c r="AD569"/>
      <c r="AE569"/>
      <c r="AF569"/>
      <c r="AG569"/>
      <c r="AH569"/>
      <c r="AI569"/>
      <c r="AJ569"/>
      <c r="AK569"/>
      <c r="AL569"/>
      <c r="AM569"/>
    </row>
    <row r="570" spans="2:39">
      <c r="B570" s="206"/>
      <c r="C570" s="206"/>
      <c r="I570"/>
      <c r="J570"/>
      <c r="K570"/>
      <c r="L570"/>
      <c r="M570"/>
      <c r="N570"/>
      <c r="Q570"/>
      <c r="R570"/>
      <c r="S570"/>
      <c r="T570"/>
      <c r="U570"/>
      <c r="V570"/>
      <c r="W570"/>
      <c r="X570"/>
      <c r="Y570"/>
      <c r="Z570"/>
      <c r="AA570"/>
      <c r="AB570"/>
      <c r="AC570"/>
      <c r="AD570"/>
      <c r="AE570"/>
      <c r="AF570"/>
      <c r="AG570"/>
      <c r="AH570"/>
      <c r="AI570"/>
      <c r="AJ570"/>
      <c r="AK570"/>
      <c r="AL570"/>
      <c r="AM570"/>
    </row>
    <row r="571" spans="2:39">
      <c r="B571" s="206"/>
      <c r="C571" s="206"/>
      <c r="I571"/>
      <c r="J571"/>
      <c r="K571"/>
      <c r="L571"/>
      <c r="M571"/>
      <c r="N571"/>
      <c r="Q571"/>
      <c r="R571"/>
      <c r="S571"/>
      <c r="T571"/>
      <c r="U571"/>
      <c r="V571"/>
      <c r="W571"/>
      <c r="X571"/>
      <c r="Y571"/>
      <c r="Z571"/>
      <c r="AA571"/>
      <c r="AB571"/>
      <c r="AC571"/>
      <c r="AD571"/>
      <c r="AE571"/>
      <c r="AF571"/>
      <c r="AG571"/>
      <c r="AH571"/>
      <c r="AI571"/>
      <c r="AJ571"/>
      <c r="AK571"/>
      <c r="AL571"/>
      <c r="AM571"/>
    </row>
    <row r="572" spans="2:39">
      <c r="B572" s="206"/>
      <c r="C572" s="206"/>
      <c r="I572"/>
      <c r="J572"/>
      <c r="K572"/>
      <c r="L572"/>
      <c r="M572"/>
      <c r="N572"/>
      <c r="Q572"/>
      <c r="R572"/>
      <c r="S572"/>
      <c r="T572"/>
      <c r="U572"/>
      <c r="V572"/>
      <c r="W572"/>
      <c r="X572"/>
      <c r="Y572"/>
      <c r="Z572"/>
      <c r="AA572"/>
      <c r="AB572"/>
      <c r="AC572"/>
      <c r="AD572"/>
      <c r="AE572"/>
      <c r="AF572"/>
      <c r="AG572"/>
      <c r="AH572"/>
      <c r="AI572"/>
      <c r="AJ572"/>
      <c r="AK572"/>
      <c r="AL572"/>
      <c r="AM572"/>
    </row>
    <row r="573" spans="2:39">
      <c r="B573" s="206"/>
      <c r="C573" s="206"/>
      <c r="I573"/>
      <c r="J573"/>
      <c r="K573"/>
      <c r="L573"/>
      <c r="M573"/>
      <c r="N573"/>
      <c r="Q573"/>
      <c r="R573"/>
      <c r="S573"/>
      <c r="T573"/>
      <c r="U573"/>
      <c r="V573"/>
      <c r="W573"/>
      <c r="X573"/>
      <c r="Y573"/>
      <c r="Z573"/>
      <c r="AA573"/>
      <c r="AB573"/>
      <c r="AC573"/>
      <c r="AD573"/>
      <c r="AE573"/>
      <c r="AF573"/>
      <c r="AG573"/>
      <c r="AH573"/>
      <c r="AI573"/>
      <c r="AJ573"/>
      <c r="AK573"/>
      <c r="AL573"/>
      <c r="AM573"/>
    </row>
    <row r="574" spans="2:39">
      <c r="B574" s="206"/>
      <c r="C574" s="206"/>
      <c r="I574"/>
      <c r="J574"/>
      <c r="K574"/>
      <c r="L574"/>
      <c r="M574"/>
      <c r="N574"/>
      <c r="Q574"/>
      <c r="R574"/>
      <c r="S574"/>
      <c r="T574"/>
      <c r="U574"/>
      <c r="V574"/>
      <c r="W574"/>
      <c r="X574"/>
      <c r="Y574"/>
      <c r="Z574"/>
      <c r="AA574"/>
      <c r="AB574"/>
      <c r="AC574"/>
      <c r="AD574"/>
      <c r="AE574"/>
      <c r="AF574"/>
      <c r="AG574"/>
      <c r="AH574"/>
      <c r="AI574"/>
      <c r="AJ574"/>
      <c r="AK574"/>
      <c r="AL574"/>
      <c r="AM574"/>
    </row>
    <row r="575" spans="2:39">
      <c r="B575" s="206"/>
      <c r="C575" s="206"/>
      <c r="I575"/>
      <c r="J575"/>
      <c r="K575"/>
      <c r="L575"/>
      <c r="M575"/>
      <c r="N575"/>
      <c r="Q575"/>
      <c r="R575"/>
      <c r="S575"/>
      <c r="T575"/>
      <c r="U575"/>
      <c r="V575"/>
      <c r="W575"/>
      <c r="X575"/>
      <c r="Y575"/>
      <c r="Z575"/>
      <c r="AA575"/>
      <c r="AB575"/>
      <c r="AC575"/>
      <c r="AD575"/>
      <c r="AE575"/>
      <c r="AF575"/>
      <c r="AG575"/>
      <c r="AH575"/>
      <c r="AI575"/>
      <c r="AJ575"/>
      <c r="AK575"/>
      <c r="AL575"/>
      <c r="AM575"/>
    </row>
    <row r="576" spans="2:39">
      <c r="B576" s="206"/>
      <c r="C576" s="206"/>
      <c r="I576"/>
      <c r="J576"/>
      <c r="K576"/>
      <c r="L576"/>
      <c r="M576"/>
      <c r="N576"/>
      <c r="Q576"/>
      <c r="R576"/>
      <c r="S576"/>
      <c r="T576"/>
      <c r="U576"/>
      <c r="V576"/>
      <c r="W576"/>
      <c r="X576"/>
      <c r="Y576"/>
      <c r="Z576"/>
      <c r="AA576"/>
      <c r="AB576"/>
      <c r="AC576"/>
      <c r="AD576"/>
      <c r="AE576"/>
      <c r="AF576"/>
      <c r="AG576"/>
      <c r="AH576"/>
      <c r="AI576"/>
      <c r="AJ576"/>
      <c r="AK576"/>
      <c r="AL576"/>
      <c r="AM576"/>
    </row>
    <row r="577" spans="2:39">
      <c r="B577" s="206"/>
      <c r="C577" s="206"/>
      <c r="I577"/>
      <c r="J577"/>
      <c r="K577"/>
      <c r="L577"/>
      <c r="M577"/>
      <c r="N577"/>
      <c r="Q577"/>
      <c r="R577"/>
      <c r="S577"/>
      <c r="T577"/>
      <c r="U577"/>
      <c r="V577"/>
      <c r="W577"/>
      <c r="X577"/>
      <c r="Y577"/>
      <c r="Z577"/>
      <c r="AA577"/>
      <c r="AB577"/>
      <c r="AC577"/>
      <c r="AD577"/>
      <c r="AE577"/>
      <c r="AF577"/>
      <c r="AG577"/>
      <c r="AH577"/>
      <c r="AI577"/>
      <c r="AJ577"/>
      <c r="AK577"/>
      <c r="AL577"/>
      <c r="AM577"/>
    </row>
    <row r="578" spans="2:39">
      <c r="B578" s="206"/>
      <c r="C578" s="206"/>
      <c r="I578"/>
      <c r="J578"/>
      <c r="K578"/>
      <c r="L578"/>
      <c r="M578"/>
      <c r="N578"/>
      <c r="Q578"/>
      <c r="R578"/>
      <c r="S578"/>
      <c r="T578"/>
      <c r="U578"/>
      <c r="V578"/>
      <c r="W578"/>
      <c r="X578"/>
      <c r="Y578"/>
      <c r="Z578"/>
      <c r="AA578"/>
      <c r="AB578"/>
      <c r="AC578"/>
      <c r="AD578"/>
      <c r="AE578"/>
      <c r="AF578"/>
      <c r="AG578"/>
      <c r="AH578"/>
      <c r="AI578"/>
      <c r="AJ578"/>
      <c r="AK578"/>
      <c r="AL578"/>
      <c r="AM578"/>
    </row>
    <row r="579" spans="2:39">
      <c r="B579" s="206"/>
      <c r="C579" s="206"/>
      <c r="I579"/>
      <c r="J579"/>
      <c r="K579"/>
      <c r="L579"/>
      <c r="M579"/>
      <c r="N579"/>
      <c r="Q579"/>
      <c r="R579"/>
      <c r="S579"/>
      <c r="T579"/>
      <c r="U579"/>
      <c r="V579"/>
      <c r="W579"/>
      <c r="X579"/>
      <c r="Y579"/>
      <c r="Z579"/>
      <c r="AA579"/>
      <c r="AB579"/>
      <c r="AC579"/>
      <c r="AD579"/>
      <c r="AE579"/>
      <c r="AF579"/>
      <c r="AG579"/>
      <c r="AH579"/>
      <c r="AI579"/>
      <c r="AJ579"/>
      <c r="AK579"/>
      <c r="AL579"/>
      <c r="AM579"/>
    </row>
    <row r="580" spans="2:39">
      <c r="B580" s="206"/>
      <c r="C580" s="206"/>
      <c r="I580"/>
      <c r="J580"/>
      <c r="K580"/>
      <c r="L580"/>
      <c r="M580"/>
      <c r="N580"/>
      <c r="Q580"/>
      <c r="R580"/>
      <c r="S580"/>
      <c r="T580"/>
      <c r="U580"/>
      <c r="V580"/>
      <c r="W580"/>
      <c r="X580"/>
      <c r="Y580"/>
      <c r="Z580"/>
      <c r="AA580"/>
      <c r="AB580"/>
      <c r="AC580"/>
      <c r="AD580"/>
      <c r="AE580"/>
      <c r="AF580"/>
      <c r="AG580"/>
      <c r="AH580"/>
      <c r="AI580"/>
      <c r="AJ580"/>
      <c r="AK580"/>
      <c r="AL580"/>
      <c r="AM580"/>
    </row>
    <row r="581" spans="2:39">
      <c r="B581" s="206"/>
      <c r="C581" s="206"/>
      <c r="I581"/>
      <c r="J581"/>
      <c r="K581"/>
      <c r="L581"/>
      <c r="M581"/>
      <c r="N581"/>
      <c r="Q581"/>
      <c r="R581"/>
      <c r="S581"/>
      <c r="T581"/>
      <c r="U581"/>
      <c r="V581"/>
      <c r="W581"/>
      <c r="X581"/>
      <c r="Y581"/>
      <c r="Z581"/>
      <c r="AA581"/>
      <c r="AB581"/>
      <c r="AC581"/>
      <c r="AD581"/>
      <c r="AE581"/>
      <c r="AF581"/>
      <c r="AG581"/>
      <c r="AH581"/>
      <c r="AI581"/>
      <c r="AJ581"/>
      <c r="AK581"/>
      <c r="AL581"/>
      <c r="AM581"/>
    </row>
    <row r="582" spans="2:39">
      <c r="B582" s="206"/>
      <c r="C582" s="206"/>
      <c r="I582"/>
      <c r="J582"/>
      <c r="K582"/>
      <c r="L582"/>
      <c r="M582"/>
      <c r="N582"/>
      <c r="Q582"/>
      <c r="R582"/>
      <c r="S582"/>
      <c r="T582"/>
      <c r="U582"/>
      <c r="V582"/>
      <c r="W582"/>
      <c r="X582"/>
      <c r="Y582"/>
      <c r="Z582"/>
      <c r="AA582"/>
      <c r="AB582"/>
      <c r="AC582"/>
      <c r="AD582"/>
      <c r="AE582"/>
      <c r="AF582"/>
      <c r="AG582"/>
      <c r="AH582"/>
      <c r="AI582"/>
      <c r="AJ582"/>
      <c r="AK582"/>
      <c r="AL582"/>
      <c r="AM582"/>
    </row>
    <row r="583" spans="2:39">
      <c r="B583" s="206"/>
      <c r="C583" s="206"/>
      <c r="I583"/>
      <c r="J583"/>
      <c r="K583"/>
      <c r="L583"/>
      <c r="M583"/>
      <c r="N583"/>
      <c r="Q583"/>
      <c r="R583"/>
      <c r="S583"/>
      <c r="T583"/>
      <c r="U583"/>
      <c r="V583"/>
      <c r="W583"/>
      <c r="X583"/>
      <c r="Y583"/>
      <c r="Z583"/>
      <c r="AA583"/>
      <c r="AB583"/>
      <c r="AC583"/>
      <c r="AD583"/>
      <c r="AE583"/>
      <c r="AF583"/>
      <c r="AG583"/>
      <c r="AH583"/>
      <c r="AI583"/>
      <c r="AJ583"/>
      <c r="AK583"/>
      <c r="AL583"/>
      <c r="AM583"/>
    </row>
    <row r="584" spans="2:39">
      <c r="B584" s="206"/>
      <c r="C584" s="206"/>
      <c r="I584"/>
      <c r="J584"/>
      <c r="K584"/>
      <c r="L584"/>
      <c r="M584"/>
      <c r="N584"/>
      <c r="Q584"/>
      <c r="R584"/>
      <c r="S584"/>
      <c r="T584"/>
      <c r="U584"/>
      <c r="V584"/>
      <c r="W584"/>
      <c r="X584"/>
      <c r="Y584"/>
      <c r="Z584"/>
      <c r="AA584"/>
      <c r="AB584"/>
      <c r="AC584"/>
      <c r="AD584"/>
      <c r="AE584"/>
      <c r="AF584"/>
      <c r="AG584"/>
      <c r="AH584"/>
      <c r="AI584"/>
      <c r="AJ584"/>
      <c r="AK584"/>
      <c r="AL584"/>
      <c r="AM584"/>
    </row>
    <row r="585" spans="2:39">
      <c r="B585" s="206"/>
      <c r="C585" s="206"/>
      <c r="I585"/>
      <c r="J585"/>
      <c r="K585"/>
      <c r="L585"/>
      <c r="M585"/>
      <c r="N585"/>
      <c r="Q585"/>
      <c r="R585"/>
      <c r="S585"/>
      <c r="T585"/>
      <c r="U585"/>
      <c r="V585"/>
      <c r="W585"/>
      <c r="X585"/>
      <c r="Y585"/>
      <c r="Z585"/>
      <c r="AA585"/>
      <c r="AB585"/>
      <c r="AC585"/>
      <c r="AD585"/>
      <c r="AE585"/>
      <c r="AF585"/>
      <c r="AG585"/>
      <c r="AH585"/>
      <c r="AI585"/>
      <c r="AJ585"/>
      <c r="AK585"/>
      <c r="AL585"/>
      <c r="AM585"/>
    </row>
    <row r="586" spans="2:39">
      <c r="B586" s="206"/>
      <c r="C586" s="206"/>
      <c r="I586"/>
      <c r="J586"/>
      <c r="K586"/>
      <c r="L586"/>
      <c r="M586"/>
      <c r="N586"/>
      <c r="Q586"/>
      <c r="R586"/>
      <c r="S586"/>
      <c r="T586"/>
      <c r="U586"/>
      <c r="V586"/>
      <c r="W586"/>
      <c r="X586"/>
      <c r="Y586"/>
      <c r="Z586"/>
      <c r="AA586"/>
      <c r="AB586"/>
      <c r="AC586"/>
      <c r="AD586"/>
      <c r="AE586"/>
      <c r="AF586"/>
      <c r="AG586"/>
      <c r="AH586"/>
      <c r="AI586"/>
      <c r="AJ586"/>
      <c r="AK586"/>
      <c r="AL586"/>
      <c r="AM586"/>
    </row>
    <row r="587" spans="2:39">
      <c r="B587" s="206"/>
      <c r="C587" s="206"/>
      <c r="I587"/>
      <c r="J587"/>
      <c r="K587"/>
      <c r="L587"/>
      <c r="M587"/>
      <c r="N587"/>
      <c r="Q587"/>
      <c r="R587"/>
      <c r="S587"/>
      <c r="T587"/>
      <c r="U587"/>
      <c r="V587"/>
      <c r="W587"/>
      <c r="X587"/>
      <c r="Y587"/>
      <c r="Z587"/>
      <c r="AA587"/>
      <c r="AB587"/>
      <c r="AC587"/>
      <c r="AD587"/>
      <c r="AE587"/>
      <c r="AF587"/>
      <c r="AG587"/>
      <c r="AH587"/>
      <c r="AI587"/>
      <c r="AJ587"/>
      <c r="AK587"/>
      <c r="AL587"/>
      <c r="AM587"/>
    </row>
    <row r="588" spans="2:39">
      <c r="B588" s="206"/>
      <c r="C588" s="206"/>
      <c r="I588"/>
      <c r="J588"/>
      <c r="K588"/>
      <c r="L588"/>
      <c r="M588"/>
      <c r="N588"/>
      <c r="Q588"/>
      <c r="R588"/>
      <c r="S588"/>
      <c r="T588"/>
      <c r="U588"/>
      <c r="V588"/>
      <c r="W588"/>
      <c r="X588"/>
      <c r="Y588"/>
      <c r="Z588"/>
      <c r="AA588"/>
      <c r="AB588"/>
      <c r="AC588"/>
      <c r="AD588"/>
      <c r="AE588"/>
      <c r="AF588"/>
      <c r="AG588"/>
      <c r="AH588"/>
      <c r="AI588"/>
      <c r="AJ588"/>
      <c r="AK588"/>
      <c r="AL588"/>
      <c r="AM588"/>
    </row>
    <row r="589" spans="2:39">
      <c r="B589" s="206"/>
      <c r="C589" s="206"/>
      <c r="I589"/>
      <c r="J589"/>
      <c r="K589"/>
      <c r="L589"/>
      <c r="M589"/>
      <c r="N589"/>
      <c r="Q589"/>
      <c r="R589"/>
      <c r="S589"/>
      <c r="T589"/>
      <c r="U589"/>
      <c r="V589"/>
      <c r="W589"/>
      <c r="X589"/>
      <c r="Y589"/>
      <c r="Z589"/>
      <c r="AA589"/>
      <c r="AB589"/>
      <c r="AC589"/>
      <c r="AD589"/>
      <c r="AE589"/>
      <c r="AF589"/>
      <c r="AG589"/>
      <c r="AH589"/>
      <c r="AI589"/>
      <c r="AJ589"/>
      <c r="AK589"/>
      <c r="AL589"/>
      <c r="AM589"/>
    </row>
    <row r="590" spans="2:39">
      <c r="B590" s="206"/>
      <c r="C590" s="206"/>
      <c r="I590"/>
      <c r="J590"/>
      <c r="K590"/>
      <c r="L590"/>
      <c r="M590"/>
      <c r="N590"/>
      <c r="Q590"/>
      <c r="R590"/>
      <c r="S590"/>
      <c r="T590"/>
      <c r="U590"/>
      <c r="V590"/>
      <c r="W590"/>
      <c r="X590"/>
      <c r="Y590"/>
      <c r="Z590"/>
      <c r="AA590"/>
      <c r="AB590"/>
      <c r="AC590"/>
      <c r="AD590"/>
      <c r="AE590"/>
      <c r="AF590"/>
      <c r="AG590"/>
      <c r="AH590"/>
      <c r="AI590"/>
      <c r="AJ590"/>
      <c r="AK590"/>
      <c r="AL590"/>
      <c r="AM590"/>
    </row>
    <row r="591" spans="2:39">
      <c r="B591" s="206"/>
      <c r="C591" s="206"/>
      <c r="I591"/>
      <c r="J591"/>
      <c r="K591"/>
      <c r="L591"/>
      <c r="M591"/>
      <c r="N591"/>
      <c r="Q591"/>
      <c r="R591"/>
      <c r="S591"/>
      <c r="T591"/>
      <c r="U591"/>
      <c r="V591"/>
      <c r="W591"/>
      <c r="X591"/>
      <c r="Y591"/>
      <c r="Z591"/>
      <c r="AA591"/>
      <c r="AB591"/>
      <c r="AC591"/>
      <c r="AD591"/>
      <c r="AE591"/>
      <c r="AF591"/>
      <c r="AG591"/>
      <c r="AH591"/>
      <c r="AI591"/>
      <c r="AJ591"/>
      <c r="AK591"/>
      <c r="AL591"/>
      <c r="AM591"/>
    </row>
    <row r="592" spans="2:39">
      <c r="B592" s="206"/>
      <c r="C592" s="206"/>
      <c r="I592"/>
      <c r="J592"/>
      <c r="K592"/>
      <c r="L592"/>
      <c r="M592"/>
      <c r="N592"/>
      <c r="Q592"/>
      <c r="R592"/>
      <c r="S592"/>
      <c r="T592"/>
      <c r="U592"/>
      <c r="V592"/>
      <c r="W592"/>
      <c r="X592"/>
      <c r="Y592"/>
      <c r="Z592"/>
      <c r="AA592"/>
      <c r="AB592"/>
      <c r="AC592"/>
      <c r="AD592"/>
      <c r="AE592"/>
      <c r="AF592"/>
      <c r="AG592"/>
      <c r="AH592"/>
      <c r="AI592"/>
      <c r="AJ592"/>
      <c r="AK592"/>
      <c r="AL592"/>
      <c r="AM592"/>
    </row>
    <row r="593" spans="2:39">
      <c r="B593" s="206"/>
      <c r="C593" s="206"/>
      <c r="I593"/>
      <c r="J593"/>
      <c r="K593"/>
      <c r="L593"/>
      <c r="M593"/>
      <c r="N593"/>
      <c r="Q593"/>
      <c r="R593"/>
      <c r="S593"/>
      <c r="T593"/>
      <c r="U593"/>
      <c r="V593"/>
      <c r="W593"/>
      <c r="X593"/>
      <c r="Y593"/>
      <c r="Z593"/>
      <c r="AA593"/>
      <c r="AB593"/>
      <c r="AC593"/>
      <c r="AD593"/>
      <c r="AE593"/>
      <c r="AF593"/>
      <c r="AG593"/>
      <c r="AH593"/>
      <c r="AI593"/>
      <c r="AJ593"/>
      <c r="AK593"/>
      <c r="AL593"/>
      <c r="AM593"/>
    </row>
    <row r="594" spans="2:39">
      <c r="B594" s="206"/>
      <c r="C594" s="206"/>
      <c r="I594"/>
      <c r="J594"/>
      <c r="K594"/>
      <c r="L594"/>
      <c r="M594"/>
      <c r="N594"/>
      <c r="Q594"/>
      <c r="R594"/>
      <c r="S594"/>
      <c r="T594"/>
      <c r="U594"/>
      <c r="V594"/>
      <c r="W594"/>
      <c r="X594"/>
      <c r="Y594"/>
      <c r="Z594"/>
      <c r="AA594"/>
      <c r="AB594"/>
      <c r="AC594"/>
      <c r="AD594"/>
      <c r="AE594"/>
      <c r="AF594"/>
      <c r="AG594"/>
      <c r="AH594"/>
      <c r="AI594"/>
      <c r="AJ594"/>
      <c r="AK594"/>
      <c r="AL594"/>
      <c r="AM594"/>
    </row>
    <row r="595" spans="2:39">
      <c r="B595" s="206"/>
      <c r="C595" s="206"/>
      <c r="I595"/>
      <c r="J595"/>
      <c r="K595"/>
      <c r="L595"/>
      <c r="M595"/>
      <c r="N595"/>
      <c r="Q595"/>
      <c r="R595"/>
      <c r="S595"/>
      <c r="T595"/>
      <c r="U595"/>
      <c r="V595"/>
      <c r="W595"/>
      <c r="X595"/>
      <c r="Y595"/>
      <c r="Z595"/>
      <c r="AA595"/>
      <c r="AB595"/>
      <c r="AC595"/>
      <c r="AD595"/>
      <c r="AE595"/>
      <c r="AF595"/>
      <c r="AG595"/>
      <c r="AH595"/>
      <c r="AI595"/>
      <c r="AJ595"/>
      <c r="AK595"/>
      <c r="AL595"/>
      <c r="AM595"/>
    </row>
    <row r="596" spans="2:39">
      <c r="B596" s="206"/>
      <c r="C596" s="206"/>
      <c r="I596"/>
      <c r="J596"/>
      <c r="K596"/>
      <c r="L596"/>
      <c r="M596"/>
      <c r="N596"/>
      <c r="Q596"/>
      <c r="R596"/>
      <c r="S596"/>
      <c r="T596"/>
      <c r="U596"/>
      <c r="V596"/>
      <c r="W596"/>
      <c r="X596"/>
      <c r="Y596"/>
      <c r="Z596"/>
      <c r="AA596"/>
      <c r="AB596"/>
      <c r="AC596"/>
      <c r="AD596"/>
      <c r="AE596"/>
      <c r="AF596"/>
      <c r="AG596"/>
      <c r="AH596"/>
      <c r="AI596"/>
      <c r="AJ596"/>
      <c r="AK596"/>
      <c r="AL596"/>
      <c r="AM596"/>
    </row>
    <row r="597" spans="2:39">
      <c r="B597" s="206"/>
      <c r="C597" s="206"/>
      <c r="I597"/>
      <c r="J597"/>
      <c r="K597"/>
      <c r="L597"/>
      <c r="M597"/>
      <c r="N597"/>
      <c r="Q597"/>
      <c r="R597"/>
      <c r="S597"/>
      <c r="T597"/>
      <c r="U597"/>
      <c r="V597"/>
      <c r="W597"/>
      <c r="X597"/>
      <c r="Y597"/>
      <c r="Z597"/>
      <c r="AA597"/>
      <c r="AB597"/>
      <c r="AC597"/>
      <c r="AD597"/>
      <c r="AE597"/>
      <c r="AF597"/>
      <c r="AG597"/>
      <c r="AH597"/>
      <c r="AI597"/>
      <c r="AJ597"/>
      <c r="AK597"/>
      <c r="AL597"/>
      <c r="AM597"/>
    </row>
    <row r="598" spans="2:39">
      <c r="B598" s="206"/>
      <c r="C598" s="206"/>
      <c r="I598"/>
      <c r="J598"/>
      <c r="K598"/>
      <c r="L598"/>
      <c r="M598"/>
      <c r="N598"/>
      <c r="Q598"/>
      <c r="R598"/>
      <c r="S598"/>
      <c r="T598"/>
      <c r="U598"/>
      <c r="V598"/>
      <c r="W598"/>
      <c r="X598"/>
      <c r="Y598"/>
      <c r="Z598"/>
      <c r="AA598"/>
      <c r="AB598"/>
      <c r="AC598"/>
      <c r="AD598"/>
      <c r="AE598"/>
      <c r="AF598"/>
      <c r="AG598"/>
      <c r="AH598"/>
      <c r="AI598"/>
      <c r="AJ598"/>
      <c r="AK598"/>
      <c r="AL598"/>
      <c r="AM598"/>
    </row>
    <row r="599" spans="2:39">
      <c r="B599" s="206"/>
      <c r="C599" s="206"/>
      <c r="I599"/>
      <c r="J599"/>
      <c r="K599"/>
      <c r="L599"/>
      <c r="M599"/>
      <c r="N599"/>
      <c r="Q599"/>
      <c r="R599"/>
      <c r="S599"/>
      <c r="T599"/>
      <c r="U599"/>
      <c r="V599"/>
      <c r="W599"/>
      <c r="X599"/>
      <c r="Y599"/>
      <c r="Z599"/>
      <c r="AA599"/>
      <c r="AB599"/>
      <c r="AC599"/>
      <c r="AD599"/>
      <c r="AE599"/>
      <c r="AF599"/>
      <c r="AG599"/>
      <c r="AH599"/>
      <c r="AI599"/>
      <c r="AJ599"/>
      <c r="AK599"/>
      <c r="AL599"/>
      <c r="AM599"/>
    </row>
    <row r="600" spans="2:39">
      <c r="B600" s="206"/>
      <c r="C600" s="206"/>
      <c r="I600"/>
      <c r="J600"/>
      <c r="K600"/>
      <c r="L600"/>
      <c r="M600"/>
      <c r="N600"/>
      <c r="Q600"/>
      <c r="R600"/>
      <c r="S600"/>
      <c r="T600"/>
      <c r="U600"/>
      <c r="V600"/>
      <c r="W600"/>
      <c r="X600"/>
      <c r="Y600"/>
      <c r="Z600"/>
      <c r="AA600"/>
      <c r="AB600"/>
      <c r="AC600"/>
      <c r="AD600"/>
      <c r="AE600"/>
      <c r="AF600"/>
      <c r="AG600"/>
      <c r="AH600"/>
      <c r="AI600"/>
      <c r="AJ600"/>
      <c r="AK600"/>
      <c r="AL600"/>
      <c r="AM600"/>
    </row>
    <row r="601" spans="2:39">
      <c r="B601" s="206"/>
      <c r="C601" s="206"/>
      <c r="I601"/>
      <c r="J601"/>
      <c r="K601"/>
      <c r="L601"/>
      <c r="M601"/>
      <c r="N601"/>
      <c r="Q601"/>
      <c r="R601"/>
      <c r="S601"/>
      <c r="T601"/>
      <c r="U601"/>
      <c r="V601"/>
      <c r="W601"/>
      <c r="X601"/>
      <c r="Y601"/>
      <c r="Z601"/>
      <c r="AA601"/>
      <c r="AB601"/>
      <c r="AC601"/>
      <c r="AD601"/>
      <c r="AE601"/>
      <c r="AF601"/>
      <c r="AG601"/>
      <c r="AH601"/>
      <c r="AI601"/>
      <c r="AJ601"/>
      <c r="AK601"/>
      <c r="AL601"/>
      <c r="AM601"/>
    </row>
    <row r="602" spans="2:39">
      <c r="B602" s="206"/>
      <c r="C602" s="206"/>
      <c r="I602"/>
      <c r="J602"/>
      <c r="K602"/>
      <c r="L602"/>
      <c r="M602"/>
      <c r="N602"/>
      <c r="Q602"/>
      <c r="R602"/>
      <c r="S602"/>
      <c r="T602"/>
      <c r="U602"/>
      <c r="V602"/>
      <c r="W602"/>
      <c r="X602"/>
      <c r="Y602"/>
      <c r="Z602"/>
      <c r="AA602"/>
      <c r="AB602"/>
      <c r="AC602"/>
      <c r="AD602"/>
      <c r="AE602"/>
      <c r="AF602"/>
      <c r="AG602"/>
      <c r="AH602"/>
      <c r="AI602"/>
      <c r="AJ602"/>
      <c r="AK602"/>
      <c r="AL602"/>
      <c r="AM602"/>
    </row>
    <row r="603" spans="2:39">
      <c r="B603" s="206"/>
      <c r="C603" s="206"/>
      <c r="I603"/>
      <c r="J603"/>
      <c r="K603"/>
      <c r="L603"/>
      <c r="M603"/>
      <c r="N603"/>
      <c r="Q603"/>
      <c r="R603"/>
      <c r="S603"/>
      <c r="T603"/>
      <c r="U603"/>
      <c r="V603"/>
      <c r="W603"/>
      <c r="X603"/>
      <c r="Y603"/>
      <c r="Z603"/>
      <c r="AA603"/>
      <c r="AB603"/>
      <c r="AC603"/>
      <c r="AD603"/>
      <c r="AE603"/>
      <c r="AF603"/>
      <c r="AG603"/>
      <c r="AH603"/>
      <c r="AI603"/>
      <c r="AJ603"/>
      <c r="AK603"/>
      <c r="AL603"/>
      <c r="AM603"/>
    </row>
    <row r="604" spans="2:39">
      <c r="B604" s="206"/>
      <c r="C604" s="206"/>
      <c r="I604"/>
      <c r="J604"/>
      <c r="K604"/>
      <c r="L604"/>
      <c r="M604"/>
      <c r="N604"/>
      <c r="Q604"/>
      <c r="R604"/>
      <c r="S604"/>
      <c r="T604"/>
      <c r="U604"/>
      <c r="V604"/>
      <c r="W604"/>
      <c r="X604"/>
      <c r="Y604"/>
      <c r="Z604"/>
      <c r="AA604"/>
      <c r="AB604"/>
      <c r="AC604"/>
      <c r="AD604"/>
      <c r="AE604"/>
      <c r="AF604"/>
      <c r="AG604"/>
      <c r="AH604"/>
      <c r="AI604"/>
      <c r="AJ604"/>
      <c r="AK604"/>
      <c r="AL604"/>
      <c r="AM604"/>
    </row>
    <row r="605" spans="2:39">
      <c r="B605" s="206"/>
      <c r="C605" s="206"/>
      <c r="I605"/>
      <c r="J605"/>
      <c r="K605"/>
      <c r="L605"/>
      <c r="M605"/>
      <c r="N605"/>
      <c r="Q605"/>
      <c r="R605"/>
      <c r="S605"/>
      <c r="T605"/>
      <c r="U605"/>
      <c r="V605"/>
      <c r="W605"/>
      <c r="X605"/>
      <c r="Y605"/>
      <c r="Z605"/>
      <c r="AA605"/>
      <c r="AB605"/>
      <c r="AC605"/>
      <c r="AD605"/>
      <c r="AE605"/>
      <c r="AF605"/>
      <c r="AG605"/>
      <c r="AH605"/>
      <c r="AI605"/>
      <c r="AJ605"/>
      <c r="AK605"/>
      <c r="AL605"/>
      <c r="AM605"/>
    </row>
    <row r="606" spans="2:39">
      <c r="B606" s="206"/>
      <c r="C606" s="206"/>
      <c r="I606"/>
      <c r="J606"/>
      <c r="K606"/>
      <c r="L606"/>
      <c r="M606"/>
      <c r="N606"/>
      <c r="Q606"/>
      <c r="R606"/>
      <c r="S606"/>
      <c r="T606"/>
      <c r="U606"/>
      <c r="V606"/>
      <c r="W606"/>
      <c r="X606"/>
      <c r="Y606"/>
      <c r="Z606"/>
      <c r="AA606"/>
      <c r="AB606"/>
      <c r="AC606"/>
      <c r="AD606"/>
      <c r="AE606"/>
      <c r="AF606"/>
      <c r="AG606"/>
      <c r="AH606"/>
      <c r="AI606"/>
      <c r="AJ606"/>
      <c r="AK606"/>
      <c r="AL606"/>
      <c r="AM606"/>
    </row>
    <row r="607" spans="2:39">
      <c r="B607" s="206"/>
      <c r="C607" s="206"/>
      <c r="I607"/>
      <c r="J607"/>
      <c r="K607"/>
      <c r="L607"/>
      <c r="M607"/>
      <c r="N607"/>
      <c r="Q607"/>
      <c r="R607"/>
      <c r="S607"/>
      <c r="T607"/>
      <c r="U607"/>
      <c r="V607"/>
      <c r="W607"/>
      <c r="X607"/>
      <c r="Y607"/>
      <c r="Z607"/>
      <c r="AA607"/>
      <c r="AB607"/>
      <c r="AC607"/>
      <c r="AD607"/>
      <c r="AE607"/>
      <c r="AF607"/>
      <c r="AG607"/>
      <c r="AH607"/>
      <c r="AI607"/>
      <c r="AJ607"/>
      <c r="AK607"/>
      <c r="AL607"/>
      <c r="AM607"/>
    </row>
    <row r="608" spans="2:39">
      <c r="B608" s="206"/>
      <c r="C608" s="206"/>
      <c r="I608"/>
      <c r="J608"/>
      <c r="K608"/>
      <c r="L608"/>
      <c r="M608"/>
      <c r="N608"/>
      <c r="Q608"/>
      <c r="R608"/>
      <c r="S608"/>
      <c r="T608"/>
      <c r="U608"/>
      <c r="V608"/>
      <c r="W608"/>
      <c r="X608"/>
      <c r="Y608"/>
      <c r="Z608"/>
      <c r="AA608"/>
      <c r="AB608"/>
      <c r="AC608"/>
      <c r="AD608"/>
      <c r="AE608"/>
      <c r="AF608"/>
      <c r="AG608"/>
      <c r="AH608"/>
      <c r="AI608"/>
      <c r="AJ608"/>
      <c r="AK608"/>
      <c r="AL608"/>
      <c r="AM608"/>
    </row>
    <row r="609" spans="2:39">
      <c r="B609" s="206"/>
      <c r="C609" s="206"/>
      <c r="I609"/>
      <c r="J609"/>
      <c r="K609"/>
      <c r="L609"/>
      <c r="M609"/>
      <c r="N609"/>
      <c r="Q609"/>
      <c r="R609"/>
      <c r="S609"/>
      <c r="T609"/>
      <c r="U609"/>
      <c r="V609"/>
      <c r="W609"/>
      <c r="X609"/>
      <c r="Y609"/>
      <c r="Z609"/>
      <c r="AA609"/>
      <c r="AB609"/>
      <c r="AC609"/>
      <c r="AD609"/>
      <c r="AE609"/>
      <c r="AF609"/>
      <c r="AG609"/>
      <c r="AH609"/>
      <c r="AI609"/>
      <c r="AJ609"/>
      <c r="AK609"/>
      <c r="AL609"/>
      <c r="AM609"/>
    </row>
    <row r="610" spans="2:39">
      <c r="B610" s="206"/>
      <c r="C610" s="206"/>
      <c r="I610"/>
      <c r="J610"/>
      <c r="K610"/>
      <c r="L610"/>
      <c r="M610"/>
      <c r="N610"/>
      <c r="Q610"/>
      <c r="R610"/>
      <c r="S610"/>
      <c r="T610"/>
      <c r="U610"/>
      <c r="V610"/>
      <c r="W610"/>
      <c r="X610"/>
      <c r="Y610"/>
      <c r="Z610"/>
      <c r="AA610"/>
      <c r="AB610"/>
      <c r="AC610"/>
      <c r="AD610"/>
      <c r="AE610"/>
      <c r="AF610"/>
      <c r="AG610"/>
      <c r="AH610"/>
      <c r="AI610"/>
      <c r="AJ610"/>
      <c r="AK610"/>
      <c r="AL610"/>
      <c r="AM610"/>
    </row>
    <row r="611" spans="2:39">
      <c r="B611" s="206"/>
      <c r="C611" s="206"/>
      <c r="I611"/>
      <c r="J611"/>
      <c r="K611"/>
      <c r="L611"/>
      <c r="M611"/>
      <c r="N611"/>
      <c r="Q611"/>
      <c r="R611"/>
      <c r="S611"/>
      <c r="T611"/>
      <c r="U611"/>
      <c r="V611"/>
      <c r="W611"/>
      <c r="X611"/>
      <c r="Y611"/>
      <c r="Z611"/>
      <c r="AA611"/>
      <c r="AB611"/>
      <c r="AC611"/>
      <c r="AD611"/>
      <c r="AE611"/>
      <c r="AF611"/>
      <c r="AG611"/>
      <c r="AH611"/>
      <c r="AI611"/>
      <c r="AJ611"/>
      <c r="AK611"/>
      <c r="AL611"/>
      <c r="AM611"/>
    </row>
    <row r="612" spans="2:39">
      <c r="B612" s="206"/>
      <c r="C612" s="206"/>
      <c r="I612"/>
      <c r="J612"/>
      <c r="K612"/>
      <c r="L612"/>
      <c r="M612"/>
      <c r="N612"/>
      <c r="Q612"/>
      <c r="R612"/>
      <c r="S612"/>
      <c r="T612"/>
      <c r="U612"/>
      <c r="V612"/>
      <c r="W612"/>
      <c r="X612"/>
      <c r="Y612"/>
      <c r="Z612"/>
      <c r="AA612"/>
      <c r="AB612"/>
      <c r="AC612"/>
      <c r="AD612"/>
      <c r="AE612"/>
      <c r="AF612"/>
      <c r="AG612"/>
      <c r="AH612"/>
      <c r="AI612"/>
      <c r="AJ612"/>
      <c r="AK612"/>
      <c r="AL612"/>
      <c r="AM612"/>
    </row>
    <row r="613" spans="2:39">
      <c r="B613" s="206"/>
      <c r="C613" s="206"/>
      <c r="I613"/>
      <c r="J613"/>
      <c r="K613"/>
      <c r="L613"/>
      <c r="M613"/>
      <c r="N613"/>
      <c r="Q613"/>
      <c r="R613"/>
      <c r="S613"/>
      <c r="T613"/>
      <c r="U613"/>
      <c r="V613"/>
      <c r="W613"/>
      <c r="X613"/>
      <c r="Y613"/>
      <c r="Z613"/>
      <c r="AA613"/>
      <c r="AB613"/>
      <c r="AC613"/>
      <c r="AD613"/>
      <c r="AE613"/>
      <c r="AF613"/>
      <c r="AG613"/>
      <c r="AH613"/>
      <c r="AI613"/>
      <c r="AJ613"/>
      <c r="AK613"/>
      <c r="AL613"/>
      <c r="AM613"/>
    </row>
    <row r="614" spans="2:39">
      <c r="B614" s="206"/>
      <c r="C614" s="206"/>
      <c r="I614"/>
      <c r="J614"/>
      <c r="K614"/>
      <c r="L614"/>
      <c r="M614"/>
      <c r="N614"/>
      <c r="Q614"/>
      <c r="R614"/>
      <c r="S614"/>
      <c r="T614"/>
      <c r="U614"/>
      <c r="V614"/>
      <c r="W614"/>
      <c r="X614"/>
      <c r="Y614"/>
      <c r="Z614"/>
      <c r="AA614"/>
      <c r="AB614"/>
      <c r="AC614"/>
      <c r="AD614"/>
      <c r="AE614"/>
      <c r="AF614"/>
      <c r="AG614"/>
      <c r="AH614"/>
      <c r="AI614"/>
      <c r="AJ614"/>
      <c r="AK614"/>
      <c r="AL614"/>
      <c r="AM614"/>
    </row>
    <row r="615" spans="2:39">
      <c r="B615" s="206"/>
      <c r="C615" s="206"/>
      <c r="I615"/>
      <c r="J615"/>
      <c r="K615"/>
      <c r="L615"/>
      <c r="M615"/>
      <c r="N615"/>
      <c r="Q615"/>
      <c r="R615"/>
      <c r="S615"/>
      <c r="T615"/>
      <c r="U615"/>
      <c r="V615"/>
      <c r="W615"/>
      <c r="X615"/>
      <c r="Y615"/>
      <c r="Z615"/>
      <c r="AA615"/>
      <c r="AB615"/>
      <c r="AC615"/>
      <c r="AD615"/>
      <c r="AE615"/>
      <c r="AF615"/>
      <c r="AG615"/>
      <c r="AH615"/>
      <c r="AI615"/>
      <c r="AJ615"/>
      <c r="AK615"/>
      <c r="AL615"/>
      <c r="AM615"/>
    </row>
    <row r="616" spans="2:39">
      <c r="B616" s="206"/>
      <c r="C616" s="206"/>
      <c r="I616"/>
      <c r="J616"/>
      <c r="K616"/>
      <c r="L616"/>
      <c r="M616"/>
      <c r="N616"/>
      <c r="Q616"/>
      <c r="R616"/>
      <c r="S616"/>
      <c r="T616"/>
      <c r="U616"/>
      <c r="V616"/>
      <c r="W616"/>
      <c r="X616"/>
      <c r="Y616"/>
      <c r="Z616"/>
      <c r="AA616"/>
      <c r="AB616"/>
      <c r="AC616"/>
      <c r="AD616"/>
      <c r="AE616"/>
      <c r="AF616"/>
      <c r="AG616"/>
      <c r="AH616"/>
      <c r="AI616"/>
      <c r="AJ616"/>
      <c r="AK616"/>
      <c r="AL616"/>
      <c r="AM616"/>
    </row>
    <row r="617" spans="2:39">
      <c r="B617" s="206"/>
      <c r="C617" s="206"/>
      <c r="I617"/>
      <c r="J617"/>
      <c r="K617"/>
      <c r="L617"/>
      <c r="M617"/>
      <c r="N617"/>
      <c r="Q617"/>
      <c r="R617"/>
      <c r="S617"/>
      <c r="T617"/>
      <c r="U617"/>
      <c r="V617"/>
      <c r="W617"/>
      <c r="X617"/>
      <c r="Y617"/>
      <c r="Z617"/>
      <c r="AA617"/>
      <c r="AB617"/>
      <c r="AC617"/>
      <c r="AD617"/>
      <c r="AE617"/>
      <c r="AF617"/>
      <c r="AG617"/>
      <c r="AH617"/>
      <c r="AI617"/>
      <c r="AJ617"/>
      <c r="AK617"/>
      <c r="AL617"/>
      <c r="AM617"/>
    </row>
    <row r="618" spans="2:39">
      <c r="B618" s="206"/>
      <c r="C618" s="206"/>
      <c r="I618"/>
      <c r="J618"/>
      <c r="K618"/>
      <c r="L618"/>
      <c r="M618"/>
      <c r="N618"/>
      <c r="Q618"/>
      <c r="R618"/>
      <c r="S618"/>
      <c r="T618"/>
      <c r="U618"/>
      <c r="V618"/>
      <c r="W618"/>
      <c r="X618"/>
      <c r="Y618"/>
      <c r="Z618"/>
      <c r="AA618"/>
      <c r="AB618"/>
      <c r="AC618"/>
      <c r="AD618"/>
      <c r="AE618"/>
      <c r="AF618"/>
      <c r="AG618"/>
      <c r="AH618"/>
      <c r="AI618"/>
      <c r="AJ618"/>
      <c r="AK618"/>
      <c r="AL618"/>
      <c r="AM618"/>
    </row>
    <row r="619" spans="2:39">
      <c r="B619" s="206"/>
      <c r="C619" s="206"/>
      <c r="I619"/>
      <c r="J619"/>
      <c r="K619"/>
      <c r="L619"/>
      <c r="M619"/>
      <c r="N619"/>
      <c r="Q619"/>
      <c r="R619"/>
      <c r="S619"/>
      <c r="T619"/>
      <c r="U619"/>
      <c r="V619"/>
      <c r="W619"/>
      <c r="X619"/>
      <c r="Y619"/>
      <c r="Z619"/>
      <c r="AA619"/>
      <c r="AB619"/>
      <c r="AC619"/>
      <c r="AD619"/>
      <c r="AE619"/>
      <c r="AF619"/>
      <c r="AG619"/>
      <c r="AH619"/>
      <c r="AI619"/>
      <c r="AJ619"/>
      <c r="AK619"/>
      <c r="AL619"/>
      <c r="AM619"/>
    </row>
    <row r="620" spans="2:39">
      <c r="B620" s="206"/>
      <c r="C620" s="206"/>
      <c r="I620"/>
      <c r="J620"/>
      <c r="K620"/>
      <c r="L620"/>
      <c r="M620"/>
      <c r="N620"/>
      <c r="Q620"/>
      <c r="R620"/>
      <c r="S620"/>
      <c r="T620"/>
      <c r="U620"/>
      <c r="V620"/>
      <c r="W620"/>
      <c r="X620"/>
      <c r="Y620"/>
      <c r="Z620"/>
      <c r="AA620"/>
      <c r="AB620"/>
      <c r="AC620"/>
      <c r="AD620"/>
      <c r="AE620"/>
      <c r="AF620"/>
      <c r="AG620"/>
      <c r="AH620"/>
      <c r="AI620"/>
      <c r="AJ620"/>
      <c r="AK620"/>
      <c r="AL620"/>
      <c r="AM620"/>
    </row>
    <row r="621" spans="2:39">
      <c r="B621" s="206"/>
      <c r="C621" s="206"/>
      <c r="I621"/>
      <c r="J621"/>
      <c r="K621"/>
      <c r="L621"/>
      <c r="M621"/>
      <c r="N621"/>
      <c r="Q621"/>
      <c r="R621"/>
      <c r="S621"/>
      <c r="T621"/>
      <c r="U621"/>
      <c r="V621"/>
      <c r="W621"/>
      <c r="X621"/>
      <c r="Y621"/>
      <c r="Z621"/>
      <c r="AA621"/>
      <c r="AB621"/>
      <c r="AC621"/>
      <c r="AD621"/>
      <c r="AE621"/>
      <c r="AF621"/>
      <c r="AG621"/>
      <c r="AH621"/>
      <c r="AI621"/>
      <c r="AJ621"/>
      <c r="AK621"/>
      <c r="AL621"/>
      <c r="AM621"/>
    </row>
    <row r="622" spans="2:39">
      <c r="B622" s="206"/>
      <c r="C622" s="206"/>
      <c r="I622"/>
      <c r="J622"/>
      <c r="K622"/>
      <c r="L622"/>
      <c r="M622"/>
      <c r="N622"/>
      <c r="Q622"/>
      <c r="R622"/>
      <c r="S622"/>
      <c r="T622"/>
      <c r="U622"/>
      <c r="V622"/>
      <c r="W622"/>
      <c r="X622"/>
      <c r="Y622"/>
      <c r="Z622"/>
      <c r="AA622"/>
      <c r="AB622"/>
      <c r="AC622"/>
      <c r="AD622"/>
      <c r="AE622"/>
      <c r="AF622"/>
      <c r="AG622"/>
      <c r="AH622"/>
      <c r="AI622"/>
      <c r="AJ622"/>
      <c r="AK622"/>
      <c r="AL622"/>
      <c r="AM622"/>
    </row>
    <row r="623" spans="2:39">
      <c r="B623" s="206"/>
      <c r="C623" s="206"/>
      <c r="I623"/>
      <c r="J623"/>
      <c r="K623"/>
      <c r="L623"/>
      <c r="M623"/>
      <c r="N623"/>
      <c r="Q623"/>
      <c r="R623"/>
      <c r="S623"/>
      <c r="T623"/>
      <c r="U623"/>
      <c r="V623"/>
      <c r="W623"/>
      <c r="X623"/>
      <c r="Y623"/>
      <c r="Z623"/>
      <c r="AA623"/>
      <c r="AB623"/>
      <c r="AC623"/>
      <c r="AD623"/>
      <c r="AE623"/>
      <c r="AF623"/>
      <c r="AG623"/>
      <c r="AH623"/>
      <c r="AI623"/>
      <c r="AJ623"/>
      <c r="AK623"/>
      <c r="AL623"/>
      <c r="AM623"/>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62"/>
  <sheetViews>
    <sheetView zoomScaleNormal="100" workbookViewId="0">
      <pane xSplit="1" topLeftCell="B1" activePane="topRight" state="frozenSplit"/>
      <selection activeCell="N16" sqref="N16"/>
      <selection pane="topRight" activeCell="A3" sqref="A3"/>
    </sheetView>
  </sheetViews>
  <sheetFormatPr defaultColWidth="10.875" defaultRowHeight="15.75"/>
  <cols>
    <col min="1" max="1" width="38" style="218" customWidth="1"/>
    <col min="2" max="2" width="37.5" style="218" bestFit="1" customWidth="1"/>
    <col min="3" max="3" width="38.375" style="218" bestFit="1" customWidth="1"/>
    <col min="4" max="4" width="38.5" style="218" bestFit="1" customWidth="1"/>
    <col min="5" max="5" width="40.375" style="218" bestFit="1" customWidth="1"/>
    <col min="6" max="6" width="36.625" style="218" bestFit="1" customWidth="1"/>
    <col min="7" max="7" width="36.125" style="218" bestFit="1" customWidth="1"/>
    <col min="8" max="8" width="46" style="218" bestFit="1" customWidth="1"/>
    <col min="9" max="9" width="46.5" style="218" bestFit="1" customWidth="1"/>
    <col min="10" max="10" width="46" style="218" bestFit="1" customWidth="1"/>
    <col min="11" max="11" width="44.625" style="218" bestFit="1" customWidth="1"/>
    <col min="12" max="12" width="45.125" style="218" bestFit="1" customWidth="1"/>
    <col min="13" max="13" width="44.625" style="218" bestFit="1" customWidth="1"/>
    <col min="14" max="14" width="25.375" style="218" bestFit="1" customWidth="1"/>
    <col min="15" max="15" width="25.875" style="218" bestFit="1" customWidth="1"/>
    <col min="16" max="16" width="25.375" style="218" bestFit="1" customWidth="1"/>
    <col min="17" max="17" width="23.625" style="218" bestFit="1" customWidth="1"/>
    <col min="18" max="18" width="24.375" style="218" bestFit="1" customWidth="1"/>
    <col min="19" max="19" width="23.625" style="218" bestFit="1" customWidth="1"/>
    <col min="20" max="20" width="32.125" style="218" bestFit="1" customWidth="1"/>
    <col min="21" max="21" width="32.625" style="218" bestFit="1" customWidth="1"/>
    <col min="22" max="22" width="32.125" style="218" bestFit="1" customWidth="1"/>
    <col min="23" max="16384" width="10.875" style="218"/>
  </cols>
  <sheetData>
    <row r="1" spans="1:24">
      <c r="A1" s="218" t="s">
        <v>982</v>
      </c>
    </row>
    <row r="2" spans="1:24" s="384" customFormat="1">
      <c r="A2" s="384" t="s">
        <v>1845</v>
      </c>
    </row>
    <row r="3" spans="1:24">
      <c r="B3" s="302">
        <f>COLUMN()</f>
        <v>2</v>
      </c>
      <c r="C3" s="218">
        <f>COLUMN()</f>
        <v>3</v>
      </c>
      <c r="D3" s="302">
        <f>COLUMN()</f>
        <v>4</v>
      </c>
      <c r="E3" s="302">
        <f>COLUMN()</f>
        <v>5</v>
      </c>
      <c r="F3" s="302">
        <f>COLUMN()</f>
        <v>6</v>
      </c>
      <c r="G3" s="302">
        <f>COLUMN()</f>
        <v>7</v>
      </c>
      <c r="H3" s="302">
        <f>COLUMN()</f>
        <v>8</v>
      </c>
      <c r="I3" s="302">
        <f>COLUMN()</f>
        <v>9</v>
      </c>
      <c r="J3" s="302">
        <f>COLUMN()</f>
        <v>10</v>
      </c>
      <c r="K3" s="302">
        <f>COLUMN()</f>
        <v>11</v>
      </c>
      <c r="L3" s="302">
        <f>COLUMN()</f>
        <v>12</v>
      </c>
      <c r="M3" s="302">
        <f>COLUMN()</f>
        <v>13</v>
      </c>
      <c r="N3" s="302">
        <f>COLUMN()</f>
        <v>14</v>
      </c>
      <c r="O3" s="302">
        <f>COLUMN()</f>
        <v>15</v>
      </c>
      <c r="P3" s="302">
        <f>COLUMN()</f>
        <v>16</v>
      </c>
      <c r="Q3" s="302">
        <f>COLUMN()</f>
        <v>17</v>
      </c>
      <c r="R3" s="302">
        <f>COLUMN()</f>
        <v>18</v>
      </c>
      <c r="S3" s="302">
        <f>COLUMN()</f>
        <v>19</v>
      </c>
      <c r="T3" s="302">
        <f>COLUMN()</f>
        <v>20</v>
      </c>
      <c r="U3" s="302">
        <f>COLUMN()</f>
        <v>21</v>
      </c>
      <c r="V3" s="302">
        <f>COLUMN()</f>
        <v>22</v>
      </c>
    </row>
    <row r="4" spans="1:24">
      <c r="A4" s="180" t="s">
        <v>827</v>
      </c>
      <c r="P4" s="280"/>
    </row>
    <row r="5" spans="1:24">
      <c r="A5" s="179" t="s">
        <v>159</v>
      </c>
      <c r="B5" s="179" t="s">
        <v>1023</v>
      </c>
      <c r="C5" s="179" t="s">
        <v>1024</v>
      </c>
      <c r="D5" s="179" t="s">
        <v>1025</v>
      </c>
      <c r="E5" s="179" t="s">
        <v>1026</v>
      </c>
      <c r="F5" s="179" t="s">
        <v>1027</v>
      </c>
      <c r="G5" s="179" t="s">
        <v>1031</v>
      </c>
      <c r="H5" s="179" t="s">
        <v>1028</v>
      </c>
      <c r="I5" s="179" t="s">
        <v>1029</v>
      </c>
      <c r="J5" s="179" t="s">
        <v>1030</v>
      </c>
      <c r="K5" s="179" t="s">
        <v>1032</v>
      </c>
      <c r="L5" s="179" t="s">
        <v>1033</v>
      </c>
      <c r="M5" s="179" t="s">
        <v>1034</v>
      </c>
      <c r="N5" s="179" t="s">
        <v>828</v>
      </c>
      <c r="O5" s="179" t="s">
        <v>829</v>
      </c>
      <c r="P5" s="179" t="s">
        <v>830</v>
      </c>
      <c r="Q5" s="179" t="s">
        <v>831</v>
      </c>
      <c r="R5" s="179" t="s">
        <v>832</v>
      </c>
      <c r="S5" s="179" t="s">
        <v>833</v>
      </c>
      <c r="T5" s="179" t="s">
        <v>834</v>
      </c>
      <c r="U5" s="179" t="s">
        <v>835</v>
      </c>
      <c r="V5" s="179" t="s">
        <v>836</v>
      </c>
      <c r="X5" s="280"/>
    </row>
    <row r="6" spans="1:24">
      <c r="A6" s="218" t="s">
        <v>837</v>
      </c>
      <c r="B6" s="307" t="s">
        <v>1036</v>
      </c>
      <c r="C6" s="307" t="s">
        <v>1036</v>
      </c>
      <c r="D6" s="307">
        <v>2</v>
      </c>
      <c r="E6" s="307">
        <v>2</v>
      </c>
      <c r="F6" s="307">
        <v>4</v>
      </c>
      <c r="G6" s="307">
        <v>3</v>
      </c>
      <c r="H6" s="307">
        <v>1</v>
      </c>
      <c r="I6" s="307">
        <v>3</v>
      </c>
      <c r="J6" s="307">
        <v>2</v>
      </c>
      <c r="K6" s="307">
        <v>3</v>
      </c>
      <c r="L6" s="307">
        <v>5</v>
      </c>
      <c r="M6" s="307">
        <v>4</v>
      </c>
      <c r="N6" s="307">
        <v>0.125</v>
      </c>
      <c r="O6" s="307">
        <v>0.15</v>
      </c>
      <c r="P6" s="307">
        <f t="shared" ref="P6:P13" si="0">AVERAGE(N6:O6)</f>
        <v>0.13750000000000001</v>
      </c>
      <c r="Q6" s="307">
        <v>108</v>
      </c>
      <c r="R6" s="307">
        <v>123</v>
      </c>
      <c r="S6" s="307">
        <f t="shared" ref="S6" si="1">AVERAGE(Q6:R6)</f>
        <v>115.5</v>
      </c>
      <c r="T6" s="307">
        <v>14</v>
      </c>
      <c r="U6" s="307">
        <v>18</v>
      </c>
      <c r="V6" s="307">
        <f t="shared" ref="V6:V13" si="2">AVERAGE(T6:U6)</f>
        <v>16</v>
      </c>
      <c r="X6" s="280"/>
    </row>
    <row r="7" spans="1:24">
      <c r="A7" s="218" t="s">
        <v>838</v>
      </c>
      <c r="B7" s="307" t="s">
        <v>1036</v>
      </c>
      <c r="C7" s="307" t="s">
        <v>1036</v>
      </c>
      <c r="D7" s="307">
        <v>2</v>
      </c>
      <c r="E7" s="307">
        <v>2</v>
      </c>
      <c r="F7" s="307">
        <v>3</v>
      </c>
      <c r="G7" s="307">
        <v>2.5</v>
      </c>
      <c r="H7" s="307">
        <v>4</v>
      </c>
      <c r="I7" s="307">
        <v>8</v>
      </c>
      <c r="J7" s="307">
        <v>6</v>
      </c>
      <c r="K7" s="307">
        <v>2</v>
      </c>
      <c r="L7" s="307">
        <v>8</v>
      </c>
      <c r="M7" s="307">
        <v>5</v>
      </c>
      <c r="N7" s="307">
        <v>0.125</v>
      </c>
      <c r="O7" s="307">
        <v>0.15</v>
      </c>
      <c r="P7" s="307">
        <f t="shared" si="0"/>
        <v>0.13750000000000001</v>
      </c>
      <c r="Q7" s="307">
        <v>94</v>
      </c>
      <c r="R7" s="307">
        <v>115</v>
      </c>
      <c r="S7" s="307">
        <f>AVERAGE(Q7:R7)</f>
        <v>104.5</v>
      </c>
      <c r="T7" s="307">
        <v>15</v>
      </c>
      <c r="U7" s="307">
        <v>21</v>
      </c>
      <c r="V7" s="307">
        <f t="shared" si="2"/>
        <v>18</v>
      </c>
      <c r="X7" s="280"/>
    </row>
    <row r="8" spans="1:24">
      <c r="A8" s="218" t="s">
        <v>839</v>
      </c>
      <c r="B8" s="307" t="s">
        <v>1036</v>
      </c>
      <c r="C8" s="307" t="s">
        <v>1036</v>
      </c>
      <c r="D8" s="307">
        <v>5</v>
      </c>
      <c r="E8" s="307" t="s">
        <v>1036</v>
      </c>
      <c r="F8" s="307" t="s">
        <v>1036</v>
      </c>
      <c r="G8" s="307">
        <v>5</v>
      </c>
      <c r="H8" s="307" t="s">
        <v>1036</v>
      </c>
      <c r="I8" s="307" t="s">
        <v>1036</v>
      </c>
      <c r="J8" s="307">
        <v>5</v>
      </c>
      <c r="K8" s="307" t="s">
        <v>1036</v>
      </c>
      <c r="L8" s="307" t="s">
        <v>1036</v>
      </c>
      <c r="M8" s="307">
        <v>5</v>
      </c>
      <c r="N8" s="307">
        <v>0.125</v>
      </c>
      <c r="O8" s="307">
        <v>0.15</v>
      </c>
      <c r="P8" s="307">
        <f t="shared" si="0"/>
        <v>0.13750000000000001</v>
      </c>
      <c r="Q8" s="307">
        <v>108</v>
      </c>
      <c r="R8" s="307">
        <v>123</v>
      </c>
      <c r="S8" s="307">
        <f>AVERAGE(Q8:R8)</f>
        <v>115.5</v>
      </c>
      <c r="T8" s="307">
        <v>14</v>
      </c>
      <c r="U8" s="307">
        <v>18</v>
      </c>
      <c r="V8" s="307">
        <f t="shared" si="2"/>
        <v>16</v>
      </c>
      <c r="X8" s="280"/>
    </row>
    <row r="9" spans="1:24">
      <c r="A9" s="218" t="s">
        <v>383</v>
      </c>
      <c r="B9" s="307" t="s">
        <v>1036</v>
      </c>
      <c r="C9" s="307" t="s">
        <v>1036</v>
      </c>
      <c r="D9" s="307">
        <v>5</v>
      </c>
      <c r="E9" s="307" t="s">
        <v>1036</v>
      </c>
      <c r="F9" s="307" t="s">
        <v>1036</v>
      </c>
      <c r="G9" s="307">
        <v>5</v>
      </c>
      <c r="H9" s="307" t="s">
        <v>1036</v>
      </c>
      <c r="I9" s="307" t="s">
        <v>1036</v>
      </c>
      <c r="J9" s="307">
        <v>5</v>
      </c>
      <c r="K9" s="307" t="s">
        <v>1036</v>
      </c>
      <c r="L9" s="307" t="s">
        <v>1036</v>
      </c>
      <c r="M9" s="307">
        <v>5</v>
      </c>
      <c r="N9" s="307">
        <v>0.125</v>
      </c>
      <c r="O9" s="307">
        <v>0.15</v>
      </c>
      <c r="P9" s="307">
        <f t="shared" si="0"/>
        <v>0.13750000000000001</v>
      </c>
      <c r="Q9" s="307">
        <v>108</v>
      </c>
      <c r="R9" s="307">
        <v>123</v>
      </c>
      <c r="S9" s="307">
        <f t="shared" ref="S9:S13" si="3">AVERAGE(Q9:R9)</f>
        <v>115.5</v>
      </c>
      <c r="T9" s="307">
        <v>14</v>
      </c>
      <c r="U9" s="307">
        <v>18</v>
      </c>
      <c r="V9" s="307">
        <f t="shared" si="2"/>
        <v>16</v>
      </c>
      <c r="X9" s="280"/>
    </row>
    <row r="10" spans="1:24">
      <c r="A10" s="218" t="s">
        <v>840</v>
      </c>
      <c r="B10" s="307" t="s">
        <v>1036</v>
      </c>
      <c r="C10" s="307" t="s">
        <v>1036</v>
      </c>
      <c r="D10" s="307">
        <v>2</v>
      </c>
      <c r="E10" s="307">
        <v>2</v>
      </c>
      <c r="F10" s="307">
        <v>4</v>
      </c>
      <c r="G10" s="307">
        <v>3</v>
      </c>
      <c r="H10" s="307">
        <v>1</v>
      </c>
      <c r="I10" s="307">
        <v>3</v>
      </c>
      <c r="J10" s="307">
        <v>2</v>
      </c>
      <c r="K10" s="307">
        <v>3</v>
      </c>
      <c r="L10" s="307">
        <v>5</v>
      </c>
      <c r="M10" s="307">
        <v>4</v>
      </c>
      <c r="N10" s="307">
        <v>0.125</v>
      </c>
      <c r="O10" s="307">
        <v>0.15</v>
      </c>
      <c r="P10" s="307">
        <f t="shared" si="0"/>
        <v>0.13750000000000001</v>
      </c>
      <c r="Q10" s="307">
        <v>108</v>
      </c>
      <c r="R10" s="307">
        <v>123</v>
      </c>
      <c r="S10" s="307">
        <f t="shared" si="3"/>
        <v>115.5</v>
      </c>
      <c r="T10" s="307">
        <v>14</v>
      </c>
      <c r="U10" s="307">
        <v>18</v>
      </c>
      <c r="V10" s="307">
        <f t="shared" si="2"/>
        <v>16</v>
      </c>
      <c r="X10" s="280"/>
    </row>
    <row r="11" spans="1:24">
      <c r="A11" s="218" t="s">
        <v>841</v>
      </c>
      <c r="B11" s="307" t="s">
        <v>1036</v>
      </c>
      <c r="C11" s="307" t="s">
        <v>1036</v>
      </c>
      <c r="D11" s="307" t="s">
        <v>1036</v>
      </c>
      <c r="E11" s="307" t="s">
        <v>1036</v>
      </c>
      <c r="F11" s="307" t="s">
        <v>1036</v>
      </c>
      <c r="G11" s="307">
        <v>5</v>
      </c>
      <c r="H11" s="307" t="s">
        <v>1036</v>
      </c>
      <c r="I11" s="307" t="s">
        <v>1036</v>
      </c>
      <c r="J11" s="307" t="s">
        <v>1036</v>
      </c>
      <c r="K11" s="307" t="s">
        <v>1036</v>
      </c>
      <c r="L11" s="307" t="s">
        <v>1036</v>
      </c>
      <c r="M11" s="307">
        <v>5</v>
      </c>
      <c r="N11" s="307">
        <v>0.125</v>
      </c>
      <c r="O11" s="307">
        <v>0.15</v>
      </c>
      <c r="P11" s="307">
        <f t="shared" si="0"/>
        <v>0.13750000000000001</v>
      </c>
      <c r="Q11" s="307">
        <v>81</v>
      </c>
      <c r="R11" s="307">
        <v>92</v>
      </c>
      <c r="S11" s="307">
        <f t="shared" si="3"/>
        <v>86.5</v>
      </c>
      <c r="T11" s="307">
        <v>11</v>
      </c>
      <c r="U11" s="307">
        <v>14</v>
      </c>
      <c r="V11" s="307">
        <f t="shared" si="2"/>
        <v>12.5</v>
      </c>
      <c r="X11" s="280"/>
    </row>
    <row r="12" spans="1:24">
      <c r="A12" s="218" t="s">
        <v>842</v>
      </c>
      <c r="B12" s="307" t="s">
        <v>1036</v>
      </c>
      <c r="C12" s="307" t="s">
        <v>1036</v>
      </c>
      <c r="D12" s="307">
        <v>2</v>
      </c>
      <c r="E12" s="307">
        <v>8</v>
      </c>
      <c r="F12" s="307">
        <v>12</v>
      </c>
      <c r="G12" s="307">
        <v>10</v>
      </c>
      <c r="H12" s="307">
        <v>2</v>
      </c>
      <c r="I12" s="307">
        <v>4</v>
      </c>
      <c r="J12" s="307">
        <v>3</v>
      </c>
      <c r="K12" s="307">
        <v>10</v>
      </c>
      <c r="L12" s="307">
        <v>15</v>
      </c>
      <c r="M12" s="307">
        <v>12.5</v>
      </c>
      <c r="N12" s="307">
        <v>0.125</v>
      </c>
      <c r="O12" s="307">
        <v>0.15</v>
      </c>
      <c r="P12" s="307">
        <f t="shared" si="0"/>
        <v>0.13750000000000001</v>
      </c>
      <c r="Q12" s="307">
        <v>108</v>
      </c>
      <c r="R12" s="307">
        <v>123</v>
      </c>
      <c r="S12" s="307">
        <f t="shared" si="3"/>
        <v>115.5</v>
      </c>
      <c r="T12" s="307">
        <v>14</v>
      </c>
      <c r="U12" s="307">
        <v>18</v>
      </c>
      <c r="V12" s="307">
        <f t="shared" si="2"/>
        <v>16</v>
      </c>
      <c r="X12" s="280"/>
    </row>
    <row r="13" spans="1:24">
      <c r="A13" s="218" t="s">
        <v>843</v>
      </c>
      <c r="B13" s="307" t="s">
        <v>1036</v>
      </c>
      <c r="C13" s="307" t="s">
        <v>1036</v>
      </c>
      <c r="D13" s="307">
        <v>2</v>
      </c>
      <c r="E13" s="307">
        <v>8</v>
      </c>
      <c r="F13" s="308">
        <v>12</v>
      </c>
      <c r="G13" s="308">
        <v>10</v>
      </c>
      <c r="H13" s="307">
        <v>2</v>
      </c>
      <c r="I13" s="307">
        <v>4</v>
      </c>
      <c r="J13" s="307">
        <v>3</v>
      </c>
      <c r="K13" s="307">
        <v>10</v>
      </c>
      <c r="L13" s="307">
        <v>15</v>
      </c>
      <c r="M13" s="307">
        <v>12.5</v>
      </c>
      <c r="N13" s="307">
        <v>0.125</v>
      </c>
      <c r="O13" s="307">
        <v>0.15</v>
      </c>
      <c r="P13" s="307">
        <f t="shared" si="0"/>
        <v>0.13750000000000001</v>
      </c>
      <c r="Q13" s="307">
        <v>108</v>
      </c>
      <c r="R13" s="307">
        <v>123</v>
      </c>
      <c r="S13" s="307">
        <f t="shared" si="3"/>
        <v>115.5</v>
      </c>
      <c r="T13" s="307">
        <v>14</v>
      </c>
      <c r="U13" s="307">
        <v>18</v>
      </c>
      <c r="V13" s="307">
        <f t="shared" si="2"/>
        <v>16</v>
      </c>
    </row>
    <row r="15" spans="1:24">
      <c r="A15" s="180" t="s">
        <v>844</v>
      </c>
    </row>
    <row r="16" spans="1:24">
      <c r="A16" s="179" t="s">
        <v>169</v>
      </c>
      <c r="B16" s="179" t="s">
        <v>979</v>
      </c>
      <c r="C16" s="179" t="s">
        <v>980</v>
      </c>
      <c r="D16" s="179" t="s">
        <v>981</v>
      </c>
      <c r="E16" s="179" t="s">
        <v>845</v>
      </c>
      <c r="F16" s="179" t="s">
        <v>901</v>
      </c>
      <c r="G16" s="179" t="s">
        <v>205</v>
      </c>
      <c r="H16" s="179" t="s">
        <v>170</v>
      </c>
      <c r="I16" s="179" t="s">
        <v>18</v>
      </c>
      <c r="J16" s="179" t="s">
        <v>108</v>
      </c>
      <c r="K16" s="179" t="s">
        <v>171</v>
      </c>
      <c r="L16" s="179" t="s">
        <v>172</v>
      </c>
      <c r="M16" s="179" t="s">
        <v>973</v>
      </c>
      <c r="N16" s="179" t="s">
        <v>173</v>
      </c>
    </row>
    <row r="17" spans="1:20">
      <c r="A17" s="218" t="s">
        <v>179</v>
      </c>
      <c r="B17" s="308" t="s">
        <v>1036</v>
      </c>
      <c r="C17" s="308" t="s">
        <v>1036</v>
      </c>
      <c r="D17" s="308">
        <v>70</v>
      </c>
      <c r="E17" s="307"/>
      <c r="F17" s="304" t="s">
        <v>57</v>
      </c>
      <c r="G17" s="218" t="s">
        <v>846</v>
      </c>
      <c r="H17" s="208">
        <v>0.96</v>
      </c>
      <c r="I17" s="218" t="s">
        <v>20</v>
      </c>
      <c r="J17" s="218">
        <v>2018</v>
      </c>
      <c r="K17" s="344" t="s">
        <v>1094</v>
      </c>
      <c r="L17" s="7">
        <f>Spent2[[#This Row],[Spot Price ($)]]*VLOOKUP(OutMassUnit,UnitConv[],5,FALSE)/VLOOKUP(Spent2[[#This Row],[Unit]],UnitConv[],5,FALSE)</f>
        <v>2.1164377169748247</v>
      </c>
      <c r="M17" s="7">
        <f>Spent2[[#This Row],[Price $ / Model Mass Unit]]/VLOOKUP(Spent2[[#This Row],[Year]],ChemPPI[],14,FALSE)*VLOOKUP(BasisYear,ChemPPI[],14,FALSE)</f>
        <v>1.948248419095238</v>
      </c>
      <c r="N17" s="218" t="str">
        <f t="shared" ref="N17:N30" si="4">CurrencySymbol&amp;"/"&amp;OutMassUnit&amp;" ("&amp;BasisYear&amp;")"</f>
        <v>$/kg (2016)</v>
      </c>
      <c r="T17" s="220"/>
    </row>
    <row r="18" spans="1:20">
      <c r="A18" s="218" t="s">
        <v>175</v>
      </c>
      <c r="B18" s="308" t="s">
        <v>1036</v>
      </c>
      <c r="C18" s="308" t="s">
        <v>1036</v>
      </c>
      <c r="D18" s="308">
        <v>20</v>
      </c>
      <c r="E18" s="307"/>
      <c r="F18" s="304" t="s">
        <v>57</v>
      </c>
      <c r="H18" s="208">
        <v>29.6</v>
      </c>
      <c r="I18" s="218" t="s">
        <v>20</v>
      </c>
      <c r="J18" s="218">
        <v>2018</v>
      </c>
      <c r="K18" s="344" t="s">
        <v>1094</v>
      </c>
      <c r="L18" s="221">
        <f>Spent2[[#This Row],[Spot Price ($)]]*VLOOKUP(OutMassUnit,UnitConv[],5,FALSE)/VLOOKUP(Spent2[[#This Row],[Unit]],UnitConv[],5,FALSE)</f>
        <v>65.25682960672377</v>
      </c>
      <c r="M18" s="221">
        <f>Spent2[[#This Row],[Price $ / Model Mass Unit]]/VLOOKUP(Spent2[[#This Row],[Year]],ChemPPI[],14,FALSE)*VLOOKUP(BasisYear,ChemPPI[],14,FALSE)</f>
        <v>60.07099292210318</v>
      </c>
      <c r="N18" s="218" t="str">
        <f t="shared" si="4"/>
        <v>$/kg (2016)</v>
      </c>
    </row>
    <row r="19" spans="1:20">
      <c r="A19" s="218" t="s">
        <v>178</v>
      </c>
      <c r="B19" s="308">
        <v>15</v>
      </c>
      <c r="C19" s="308">
        <v>25</v>
      </c>
      <c r="D19" s="308">
        <v>20</v>
      </c>
      <c r="E19" s="307"/>
      <c r="F19" s="304" t="s">
        <v>57</v>
      </c>
      <c r="G19" s="218" t="s">
        <v>847</v>
      </c>
      <c r="H19" s="208">
        <v>2.75</v>
      </c>
      <c r="I19" s="218" t="s">
        <v>20</v>
      </c>
      <c r="J19" s="218">
        <v>2018</v>
      </c>
      <c r="K19" s="344" t="s">
        <v>1094</v>
      </c>
      <c r="L19" s="221">
        <f>Spent2[[#This Row],[Spot Price ($)]]*VLOOKUP(OutMassUnit,UnitConv[],5,FALSE)/VLOOKUP(Spent2[[#This Row],[Unit]],UnitConv[],5,FALSE)</f>
        <v>6.0627122100841335</v>
      </c>
      <c r="M19" s="221">
        <f>Spent2[[#This Row],[Price $ / Model Mass Unit]]/VLOOKUP(Spent2[[#This Row],[Year]],ChemPPI[],14,FALSE)*VLOOKUP(BasisYear,ChemPPI[],14,FALSE)</f>
        <v>5.5809199505332341</v>
      </c>
      <c r="N19" s="218" t="str">
        <f t="shared" si="4"/>
        <v>$/kg (2016)</v>
      </c>
    </row>
    <row r="20" spans="1:20">
      <c r="A20" s="218" t="s">
        <v>188</v>
      </c>
      <c r="B20" s="308" t="s">
        <v>1036</v>
      </c>
      <c r="C20" s="308" t="s">
        <v>1036</v>
      </c>
      <c r="D20" s="308">
        <v>10</v>
      </c>
      <c r="E20" s="307">
        <v>11</v>
      </c>
      <c r="F20" s="304" t="s">
        <v>56</v>
      </c>
      <c r="H20" s="8">
        <v>1200.8</v>
      </c>
      <c r="I20" s="218" t="s">
        <v>62</v>
      </c>
      <c r="J20" s="218">
        <v>2018</v>
      </c>
      <c r="K20" s="218" t="s">
        <v>1094</v>
      </c>
      <c r="L20" s="221">
        <f>Spent2[[#This Row],[Spot Price ($)]]*VLOOKUP(OutMassUnit,UnitConv[],5,FALSE)/VLOOKUP(Spent2[[#This Row],[Unit]],UnitConv[],5,FALSE)</f>
        <v>38606.616479608478</v>
      </c>
      <c r="M20" s="221">
        <f>Spent2[[#This Row],[Price $ / Model Mass Unit]]/VLOOKUP(Spent2[[#This Row],[Year]],ChemPPI[],14,FALSE)*VLOOKUP(BasisYear,ChemPPI[],14,FALSE)</f>
        <v>35538.621769850113</v>
      </c>
      <c r="N20" s="218" t="str">
        <f t="shared" si="4"/>
        <v>$/kg (2016)</v>
      </c>
    </row>
    <row r="21" spans="1:20">
      <c r="A21" s="218" t="s">
        <v>185</v>
      </c>
      <c r="B21" s="308" t="s">
        <v>1036</v>
      </c>
      <c r="C21" s="308" t="s">
        <v>1036</v>
      </c>
      <c r="D21" s="308">
        <v>10</v>
      </c>
      <c r="E21" s="307">
        <v>25</v>
      </c>
      <c r="F21" s="304" t="s">
        <v>56</v>
      </c>
      <c r="H21" s="8">
        <v>1440</v>
      </c>
      <c r="I21" s="218" t="s">
        <v>62</v>
      </c>
      <c r="J21" s="344">
        <v>2018</v>
      </c>
      <c r="K21" s="344" t="s">
        <v>1094</v>
      </c>
      <c r="L21" s="221">
        <f>Spent2[[#This Row],[Spot Price ($)]]*VLOOKUP(OutMassUnit,UnitConv[],5,FALSE)/VLOOKUP(Spent2[[#This Row],[Unit]],UnitConv[],5,FALSE)</f>
        <v>46297.075058824295</v>
      </c>
      <c r="M21" s="221">
        <f>Spent2[[#This Row],[Price $ / Model Mass Unit]]/VLOOKUP(Spent2[[#This Row],[Year]],ChemPPI[],14,FALSE)*VLOOKUP(BasisYear,ChemPPI[],14,FALSE)</f>
        <v>42617.934167708336</v>
      </c>
      <c r="N21" s="218" t="str">
        <f t="shared" si="4"/>
        <v>$/kg (2016)</v>
      </c>
    </row>
    <row r="22" spans="1:20">
      <c r="A22" s="218" t="s">
        <v>174</v>
      </c>
      <c r="B22" s="308" t="s">
        <v>1036</v>
      </c>
      <c r="C22" s="308" t="s">
        <v>1036</v>
      </c>
      <c r="D22" s="308">
        <v>40</v>
      </c>
      <c r="E22" s="307"/>
      <c r="F22" s="304" t="s">
        <v>57</v>
      </c>
      <c r="H22" s="208">
        <v>95</v>
      </c>
      <c r="I22" s="218" t="s">
        <v>401</v>
      </c>
      <c r="J22" s="218">
        <v>2018</v>
      </c>
      <c r="K22" s="218" t="s">
        <v>1706</v>
      </c>
      <c r="L22" s="221">
        <f>Spent2[[#This Row],[Spot Price ($)]]*VLOOKUP(OutMassUnit,UnitConv[],5,FALSE)/VLOOKUP(Spent2[[#This Row],[Unit]],UnitConv[],5,FALSE)</f>
        <v>0.10471957453781684</v>
      </c>
      <c r="M22" s="221">
        <f>Spent2[[#This Row],[Price $ / Model Mass Unit]]/VLOOKUP(Spent2[[#This Row],[Year]],ChemPPI[],14,FALSE)*VLOOKUP(BasisYear,ChemPPI[],14,FALSE)</f>
        <v>9.6397708236483123E-2</v>
      </c>
      <c r="N22" s="218" t="str">
        <f t="shared" si="4"/>
        <v>$/kg (2016)</v>
      </c>
    </row>
    <row r="23" spans="1:20">
      <c r="A23" s="218" t="s">
        <v>180</v>
      </c>
      <c r="B23" s="308">
        <v>20</v>
      </c>
      <c r="C23" s="308">
        <v>30</v>
      </c>
      <c r="D23" s="308">
        <v>25</v>
      </c>
      <c r="E23" s="307"/>
      <c r="F23" s="304" t="s">
        <v>57</v>
      </c>
      <c r="H23" s="208">
        <v>24000</v>
      </c>
      <c r="I23" s="218" t="s">
        <v>1112</v>
      </c>
      <c r="J23" s="218">
        <v>2018</v>
      </c>
      <c r="K23" s="218" t="s">
        <v>1095</v>
      </c>
      <c r="L23" s="221">
        <f>Spent2[[#This Row],[Spot Price ($)]]*VLOOKUP(OutMassUnit,UnitConv[],5,FALSE)/VLOOKUP(Spent2[[#This Row],[Unit]],UnitConv[],5,FALSE)</f>
        <v>24</v>
      </c>
      <c r="M23" s="221">
        <f>Spent2[[#This Row],[Price $ / Model Mass Unit]]/VLOOKUP(Spent2[[#This Row],[Year]],ChemPPI[],14,FALSE)*VLOOKUP(BasisYear,ChemPPI[],14,FALSE)</f>
        <v>22.092765444154058</v>
      </c>
      <c r="N23" s="218" t="str">
        <f t="shared" si="4"/>
        <v>$/kg (2016)</v>
      </c>
    </row>
    <row r="24" spans="1:20">
      <c r="A24" s="218" t="s">
        <v>177</v>
      </c>
      <c r="B24" s="308" t="s">
        <v>1036</v>
      </c>
      <c r="C24" s="308" t="s">
        <v>1036</v>
      </c>
      <c r="D24" s="308">
        <v>20</v>
      </c>
      <c r="E24" s="307"/>
      <c r="F24" s="304" t="s">
        <v>57</v>
      </c>
      <c r="H24" s="208">
        <v>6.08</v>
      </c>
      <c r="I24" s="218" t="s">
        <v>20</v>
      </c>
      <c r="J24" s="344">
        <v>2018</v>
      </c>
      <c r="K24" s="344" t="s">
        <v>1094</v>
      </c>
      <c r="L24" s="221">
        <f>Spent2[[#This Row],[Spot Price ($)]]*VLOOKUP(OutMassUnit,UnitConv[],5,FALSE)/VLOOKUP(Spent2[[#This Row],[Unit]],UnitConv[],5,FALSE)</f>
        <v>13.404105540840556</v>
      </c>
      <c r="M24" s="221">
        <f>Spent2[[#This Row],[Price $ / Model Mass Unit]]/VLOOKUP(Spent2[[#This Row],[Year]],ChemPPI[],14,FALSE)*VLOOKUP(BasisYear,ChemPPI[],14,FALSE)</f>
        <v>12.33890665426984</v>
      </c>
      <c r="N24" s="218" t="str">
        <f t="shared" si="4"/>
        <v>$/kg (2016)</v>
      </c>
    </row>
    <row r="25" spans="1:20">
      <c r="A25" s="218" t="s">
        <v>183</v>
      </c>
      <c r="B25" s="308">
        <v>1</v>
      </c>
      <c r="C25" s="308">
        <v>4</v>
      </c>
      <c r="D25" s="309">
        <v>2.5</v>
      </c>
      <c r="E25" s="307">
        <v>12.5</v>
      </c>
      <c r="F25" s="304" t="s">
        <v>56</v>
      </c>
      <c r="H25" s="208">
        <v>975</v>
      </c>
      <c r="I25" s="218" t="s">
        <v>62</v>
      </c>
      <c r="J25" s="344">
        <v>2018</v>
      </c>
      <c r="K25" s="344" t="s">
        <v>1094</v>
      </c>
      <c r="L25" s="221">
        <f>Spent2[[#This Row],[Spot Price ($)]]*VLOOKUP(OutMassUnit,UnitConv[],5,FALSE)/VLOOKUP(Spent2[[#This Row],[Unit]],UnitConv[],5,FALSE)</f>
        <v>31346.977904412284</v>
      </c>
      <c r="M25" s="221">
        <f>Spent2[[#This Row],[Price $ / Model Mass Unit]]/VLOOKUP(Spent2[[#This Row],[Year]],ChemPPI[],14,FALSE)*VLOOKUP(BasisYear,ChemPPI[],14,FALSE)</f>
        <v>28855.892926052522</v>
      </c>
      <c r="N25" s="218" t="str">
        <f t="shared" si="4"/>
        <v>$/kg (2016)</v>
      </c>
    </row>
    <row r="26" spans="1:20">
      <c r="A26" s="218" t="s">
        <v>186</v>
      </c>
      <c r="B26" s="308">
        <v>1</v>
      </c>
      <c r="C26" s="308">
        <v>3</v>
      </c>
      <c r="D26" s="308">
        <v>2</v>
      </c>
      <c r="E26" s="307">
        <v>14.5</v>
      </c>
      <c r="F26" s="304" t="s">
        <v>56</v>
      </c>
      <c r="H26" s="208">
        <v>793.5</v>
      </c>
      <c r="I26" s="218" t="s">
        <v>62</v>
      </c>
      <c r="J26" s="344">
        <v>2018</v>
      </c>
      <c r="K26" s="344" t="s">
        <v>1094</v>
      </c>
      <c r="L26" s="221">
        <f>Spent2[[#This Row],[Spot Price ($)]]*VLOOKUP(OutMassUnit,UnitConv[],5,FALSE)/VLOOKUP(Spent2[[#This Row],[Unit]],UnitConv[],5,FALSE)</f>
        <v>25511.617402206302</v>
      </c>
      <c r="M26" s="221">
        <f>Spent2[[#This Row],[Price $ / Model Mass Unit]]/VLOOKUP(Spent2[[#This Row],[Year]],ChemPPI[],14,FALSE)*VLOOKUP(BasisYear,ChemPPI[],14,FALSE)</f>
        <v>23484.257473664282</v>
      </c>
      <c r="N26" s="218" t="str">
        <f t="shared" si="4"/>
        <v>$/kg (2016)</v>
      </c>
    </row>
    <row r="27" spans="1:20">
      <c r="A27" s="218" t="s">
        <v>182</v>
      </c>
      <c r="B27" s="308">
        <v>5</v>
      </c>
      <c r="C27" s="308">
        <v>10</v>
      </c>
      <c r="D27" s="309">
        <v>7.5</v>
      </c>
      <c r="E27" s="307">
        <v>16</v>
      </c>
      <c r="F27" s="304" t="s">
        <v>56</v>
      </c>
      <c r="G27" s="220"/>
      <c r="H27" s="208">
        <v>2390</v>
      </c>
      <c r="I27" s="220" t="s">
        <v>62</v>
      </c>
      <c r="J27" s="344">
        <v>2018</v>
      </c>
      <c r="K27" s="344" t="s">
        <v>1094</v>
      </c>
      <c r="L27" s="221">
        <f>Spent2[[#This Row],[Spot Price ($)]]*VLOOKUP(OutMassUnit,UnitConv[],5,FALSE)/VLOOKUP(Spent2[[#This Row],[Unit]],UnitConv[],5,FALSE)</f>
        <v>76840.284299020874</v>
      </c>
      <c r="M27" s="221">
        <f>Spent2[[#This Row],[Price $ / Model Mass Unit]]/VLOOKUP(Spent2[[#This Row],[Year]],ChemPPI[],14,FALSE)*VLOOKUP(BasisYear,ChemPPI[],14,FALSE)</f>
        <v>70733.932403349245</v>
      </c>
      <c r="N27" s="218" t="str">
        <f t="shared" si="4"/>
        <v>$/kg (2016)</v>
      </c>
    </row>
    <row r="28" spans="1:20">
      <c r="A28" s="218" t="s">
        <v>181</v>
      </c>
      <c r="B28" s="310">
        <v>15</v>
      </c>
      <c r="C28" s="310">
        <v>25</v>
      </c>
      <c r="D28" s="310">
        <v>20</v>
      </c>
      <c r="E28" s="311">
        <v>20</v>
      </c>
      <c r="F28" s="304" t="s">
        <v>56</v>
      </c>
      <c r="G28" s="220"/>
      <c r="H28" s="208">
        <v>260</v>
      </c>
      <c r="I28" s="220" t="s">
        <v>62</v>
      </c>
      <c r="J28" s="344">
        <v>2018</v>
      </c>
      <c r="K28" s="344" t="s">
        <v>1094</v>
      </c>
      <c r="L28" s="221">
        <f>Spent2[[#This Row],[Spot Price ($)]]*VLOOKUP(OutMassUnit,UnitConv[],5,FALSE)/VLOOKUP(Spent2[[#This Row],[Unit]],UnitConv[],5,FALSE)</f>
        <v>8359.1941078432756</v>
      </c>
      <c r="M28" s="221">
        <f>Spent2[[#This Row],[Price $ / Model Mass Unit]]/VLOOKUP(Spent2[[#This Row],[Year]],ChemPPI[],14,FALSE)*VLOOKUP(BasisYear,ChemPPI[],14,FALSE)</f>
        <v>7694.9047802806717</v>
      </c>
      <c r="N28" s="218" t="str">
        <f t="shared" si="4"/>
        <v>$/kg (2016)</v>
      </c>
    </row>
    <row r="29" spans="1:20">
      <c r="A29" s="218" t="s">
        <v>187</v>
      </c>
      <c r="B29" s="312">
        <v>2</v>
      </c>
      <c r="C29" s="312">
        <v>3</v>
      </c>
      <c r="D29" s="312">
        <v>2.5</v>
      </c>
      <c r="E29" s="311">
        <v>11.5</v>
      </c>
      <c r="F29" s="304" t="s">
        <v>56</v>
      </c>
      <c r="G29" s="220"/>
      <c r="H29" s="208">
        <v>14.58</v>
      </c>
      <c r="I29" s="220" t="s">
        <v>62</v>
      </c>
      <c r="J29" s="344">
        <v>2018</v>
      </c>
      <c r="K29" s="344" t="s">
        <v>1094</v>
      </c>
      <c r="L29" s="221">
        <f>Spent2[[#This Row],[Spot Price ($)]]*VLOOKUP(OutMassUnit,UnitConv[],5,FALSE)/VLOOKUP(Spent2[[#This Row],[Unit]],UnitConv[],5,FALSE)</f>
        <v>468.75788497059597</v>
      </c>
      <c r="M29" s="221">
        <f>Spent2[[#This Row],[Price $ / Model Mass Unit]]/VLOOKUP(Spent2[[#This Row],[Year]],ChemPPI[],14,FALSE)*VLOOKUP(BasisYear,ChemPPI[],14,FALSE)</f>
        <v>431.50658344804691</v>
      </c>
      <c r="N29" s="218" t="str">
        <f t="shared" si="4"/>
        <v>$/kg (2016)</v>
      </c>
    </row>
    <row r="30" spans="1:20">
      <c r="A30" s="218" t="s">
        <v>184</v>
      </c>
      <c r="B30" s="308">
        <v>15</v>
      </c>
      <c r="C30" s="308">
        <v>25</v>
      </c>
      <c r="D30" s="308">
        <v>20</v>
      </c>
      <c r="E30" s="307"/>
      <c r="F30" s="304" t="s">
        <v>57</v>
      </c>
      <c r="G30" s="220" t="s">
        <v>848</v>
      </c>
      <c r="H30" s="8">
        <v>24.04</v>
      </c>
      <c r="I30" s="220" t="s">
        <v>71</v>
      </c>
      <c r="J30" s="218">
        <v>2016</v>
      </c>
      <c r="K30" s="220" t="s">
        <v>176</v>
      </c>
      <c r="L30" s="221">
        <f>Spent2[[#This Row],[Spot Price ($)]]*VLOOKUP(OutMassUnit,UnitConv[],5,FALSE)/VLOOKUP(Spent2[[#This Row],[Unit]],UnitConv[],5,FALSE)</f>
        <v>24.04</v>
      </c>
      <c r="M30" s="221">
        <f>Spent2[[#This Row],[Price $ / Model Mass Unit]]/VLOOKUP(Spent2[[#This Row],[Year]],ChemPPI[],14,FALSE)*VLOOKUP(BasisYear,ChemPPI[],14,FALSE)</f>
        <v>24.04</v>
      </c>
      <c r="N30" s="218" t="str">
        <f t="shared" si="4"/>
        <v>$/kg (2016)</v>
      </c>
    </row>
    <row r="32" spans="1:20">
      <c r="A32" s="180" t="s">
        <v>849</v>
      </c>
    </row>
    <row r="33" spans="1:12">
      <c r="A33" s="179" t="s">
        <v>850</v>
      </c>
      <c r="B33" s="179" t="s">
        <v>851</v>
      </c>
      <c r="C33" s="179" t="s">
        <v>852</v>
      </c>
      <c r="D33" s="179" t="s">
        <v>853</v>
      </c>
      <c r="E33" s="179" t="s">
        <v>854</v>
      </c>
      <c r="F33" s="179" t="s">
        <v>855</v>
      </c>
      <c r="G33" s="179" t="s">
        <v>856</v>
      </c>
      <c r="H33" s="179" t="s">
        <v>205</v>
      </c>
    </row>
    <row r="34" spans="1:12">
      <c r="A34" s="218" t="s">
        <v>857</v>
      </c>
      <c r="B34" s="218">
        <v>0.15</v>
      </c>
      <c r="C34" s="218">
        <v>0.2</v>
      </c>
      <c r="D34" s="218">
        <f>AVERAGE(B34:C34)</f>
        <v>0.17499999999999999</v>
      </c>
      <c r="G34" s="218">
        <v>0.05</v>
      </c>
      <c r="H34" s="218" t="s">
        <v>858</v>
      </c>
    </row>
    <row r="35" spans="1:12">
      <c r="A35" s="218" t="s">
        <v>859</v>
      </c>
      <c r="D35" s="218">
        <v>0.75</v>
      </c>
    </row>
    <row r="36" spans="1:12">
      <c r="A36" s="218" t="s">
        <v>860</v>
      </c>
      <c r="B36" s="218">
        <v>1</v>
      </c>
      <c r="C36" s="218">
        <v>3</v>
      </c>
      <c r="D36" s="218">
        <f>AVERAGE(B36:C36)</f>
        <v>2</v>
      </c>
      <c r="E36" s="218">
        <v>1</v>
      </c>
      <c r="F36" s="218">
        <v>1.3</v>
      </c>
      <c r="G36" s="218">
        <f>AVERAGE(E36:F36)</f>
        <v>1.1499999999999999</v>
      </c>
      <c r="H36" s="218" t="s">
        <v>861</v>
      </c>
    </row>
    <row r="37" spans="1:12">
      <c r="A37" s="218" t="s">
        <v>862</v>
      </c>
      <c r="B37" s="218">
        <v>1</v>
      </c>
      <c r="C37" s="218">
        <v>3</v>
      </c>
      <c r="D37" s="218">
        <f>AVERAGE(B37:C37)</f>
        <v>2</v>
      </c>
    </row>
    <row r="39" spans="1:12">
      <c r="A39" s="180" t="s">
        <v>863</v>
      </c>
    </row>
    <row r="40" spans="1:12">
      <c r="A40" s="179" t="s">
        <v>864</v>
      </c>
      <c r="B40" s="179" t="s">
        <v>865</v>
      </c>
      <c r="C40" s="179" t="s">
        <v>893</v>
      </c>
      <c r="D40" s="179" t="s">
        <v>205</v>
      </c>
      <c r="F40" s="219"/>
      <c r="G40" s="219"/>
      <c r="H40" s="219"/>
      <c r="I40" s="219"/>
      <c r="J40" s="219"/>
      <c r="K40" s="219"/>
      <c r="L40" s="219"/>
    </row>
    <row r="41" spans="1:12">
      <c r="A41" s="218" t="s">
        <v>867</v>
      </c>
      <c r="B41" s="218">
        <v>46</v>
      </c>
      <c r="C41" s="8">
        <f>Spent4[[#This Row],[ρ (lb/ft3)]]*0.45359237/28.31684659*1000</f>
        <v>736.84931525420961</v>
      </c>
      <c r="D41" s="218" t="s">
        <v>885</v>
      </c>
      <c r="F41" s="219"/>
      <c r="G41" s="219"/>
      <c r="H41" s="219"/>
      <c r="I41" s="219"/>
      <c r="J41" s="219"/>
      <c r="K41" s="219"/>
      <c r="L41" s="219"/>
    </row>
    <row r="42" spans="1:12">
      <c r="A42" s="218" t="s">
        <v>866</v>
      </c>
      <c r="B42" s="218">
        <v>42</v>
      </c>
      <c r="C42" s="8">
        <f>Spent4[[#This Row],[ρ (lb/ft3)]]*0.45359237/28.31684659*1000</f>
        <v>672.7754617538435</v>
      </c>
      <c r="D42" s="218" t="s">
        <v>885</v>
      </c>
      <c r="F42" s="219"/>
      <c r="G42" s="219"/>
      <c r="H42" s="219"/>
      <c r="I42" s="219"/>
      <c r="J42" s="219"/>
      <c r="K42" s="219"/>
      <c r="L42" s="219"/>
    </row>
    <row r="43" spans="1:12">
      <c r="A43" s="218" t="s">
        <v>872</v>
      </c>
      <c r="B43" s="218">
        <v>50</v>
      </c>
      <c r="C43" s="8">
        <f>Spent4[[#This Row],[ρ (lb/ft3)]]*0.45359237/28.31684659*1000</f>
        <v>800.92316875457561</v>
      </c>
      <c r="D43" s="218" t="s">
        <v>869</v>
      </c>
      <c r="F43" s="219"/>
      <c r="G43" s="219"/>
      <c r="H43" s="219"/>
      <c r="I43" s="219"/>
      <c r="J43" s="219"/>
      <c r="K43" s="219"/>
      <c r="L43" s="219"/>
    </row>
    <row r="44" spans="1:12">
      <c r="A44" s="218" t="s">
        <v>868</v>
      </c>
      <c r="B44" s="218">
        <v>45</v>
      </c>
      <c r="C44" s="8">
        <f>Spent4[[#This Row],[ρ (lb/ft3)]]*0.45359237/28.31684659*1000</f>
        <v>720.83085187911809</v>
      </c>
      <c r="D44" s="218" t="s">
        <v>869</v>
      </c>
      <c r="F44" s="219"/>
      <c r="G44" s="219"/>
      <c r="H44" s="219"/>
      <c r="I44" s="219"/>
      <c r="J44" s="219"/>
      <c r="K44" s="219"/>
      <c r="L44" s="219"/>
    </row>
    <row r="45" spans="1:12">
      <c r="A45" s="218" t="s">
        <v>870</v>
      </c>
      <c r="B45" s="218">
        <v>65</v>
      </c>
      <c r="C45" s="8">
        <f>Spent4[[#This Row],[ρ (lb/ft3)]]*0.45359237/28.31684659*1000</f>
        <v>1041.2001193809483</v>
      </c>
      <c r="D45" s="218" t="s">
        <v>869</v>
      </c>
      <c r="F45" s="219"/>
      <c r="G45" s="219"/>
      <c r="H45" s="219"/>
      <c r="I45" s="219"/>
      <c r="J45" s="219"/>
      <c r="K45" s="219"/>
      <c r="L45" s="219"/>
    </row>
    <row r="46" spans="1:12">
      <c r="A46" s="218" t="s">
        <v>871</v>
      </c>
      <c r="B46" s="218">
        <v>66</v>
      </c>
      <c r="C46" s="8">
        <f>Spent4[[#This Row],[ρ (lb/ft3)]]*0.45359237/28.31684659*1000</f>
        <v>1057.21858275604</v>
      </c>
      <c r="D46" s="218" t="s">
        <v>869</v>
      </c>
      <c r="F46" s="219"/>
      <c r="G46" s="219"/>
      <c r="H46" s="219"/>
      <c r="I46" s="219"/>
      <c r="J46" s="219"/>
      <c r="K46" s="219"/>
      <c r="L46" s="219"/>
    </row>
    <row r="47" spans="1:12">
      <c r="A47" s="218" t="s">
        <v>873</v>
      </c>
      <c r="B47" s="218">
        <v>30</v>
      </c>
      <c r="C47" s="8">
        <f>Spent4[[#This Row],[ρ (lb/ft3)]]*0.45359237/28.31684659*1000</f>
        <v>480.55390125274539</v>
      </c>
      <c r="D47" s="218" t="s">
        <v>874</v>
      </c>
      <c r="F47" s="219"/>
      <c r="G47" s="219"/>
      <c r="H47" s="219"/>
      <c r="I47" s="219"/>
      <c r="J47" s="219"/>
      <c r="K47" s="219"/>
      <c r="L47" s="219"/>
    </row>
    <row r="48" spans="1:12">
      <c r="A48" s="218" t="s">
        <v>896</v>
      </c>
      <c r="B48" s="218">
        <v>39</v>
      </c>
      <c r="C48" s="8">
        <f>Spent4[[#This Row],[ρ (lb/ft3)]]*0.45359237/28.31684659*1000</f>
        <v>624.72007162856903</v>
      </c>
      <c r="D48" s="218" t="s">
        <v>895</v>
      </c>
      <c r="F48" s="219"/>
      <c r="G48" s="219"/>
      <c r="H48" s="219"/>
      <c r="I48" s="219"/>
      <c r="J48" s="219"/>
      <c r="K48" s="219"/>
      <c r="L48" s="219"/>
    </row>
    <row r="49" spans="1:12">
      <c r="A49" s="218" t="s">
        <v>897</v>
      </c>
      <c r="B49" s="218">
        <v>22</v>
      </c>
      <c r="C49" s="8">
        <f>Spent4[[#This Row],[ρ (lb/ft3)]]*0.45359237/28.31684659*1000</f>
        <v>352.40619425201328</v>
      </c>
      <c r="D49" s="218" t="s">
        <v>895</v>
      </c>
      <c r="F49" s="219"/>
      <c r="G49" s="219"/>
      <c r="H49" s="219"/>
      <c r="I49" s="219"/>
      <c r="J49" s="219"/>
      <c r="K49" s="219"/>
      <c r="L49" s="219"/>
    </row>
    <row r="50" spans="1:12">
      <c r="A50" s="218" t="s">
        <v>875</v>
      </c>
      <c r="B50" s="218">
        <v>71.25</v>
      </c>
      <c r="C50" s="8">
        <f>Spent4[[#This Row],[ρ (lb/ft3)]]*0.45359237/28.31684659*1000</f>
        <v>1141.3155154752703</v>
      </c>
      <c r="D50" s="218" t="s">
        <v>886</v>
      </c>
      <c r="F50" s="219"/>
      <c r="G50" s="219"/>
      <c r="H50" s="219"/>
      <c r="I50" s="219"/>
      <c r="J50" s="219"/>
      <c r="K50" s="219"/>
      <c r="L50" s="219"/>
    </row>
    <row r="51" spans="1:12">
      <c r="A51" s="218" t="s">
        <v>898</v>
      </c>
      <c r="B51" s="218">
        <v>55</v>
      </c>
      <c r="C51" s="8">
        <f>Spent4[[#This Row],[ρ (lb/ft3)]]*0.45359237/28.31684659*1000</f>
        <v>881.01548563003325</v>
      </c>
      <c r="D51" s="218" t="s">
        <v>899</v>
      </c>
      <c r="F51" s="219"/>
      <c r="G51" s="219"/>
      <c r="H51" s="219"/>
      <c r="I51" s="219"/>
      <c r="J51" s="219"/>
      <c r="K51" s="219"/>
      <c r="L51" s="219"/>
    </row>
    <row r="52" spans="1:12">
      <c r="F52" s="219"/>
      <c r="G52" s="219"/>
      <c r="H52" s="219"/>
      <c r="I52" s="219"/>
      <c r="J52" s="219"/>
      <c r="K52" s="219"/>
      <c r="L52" s="219"/>
    </row>
    <row r="53" spans="1:12">
      <c r="A53" s="180" t="s">
        <v>983</v>
      </c>
      <c r="F53" s="219"/>
      <c r="G53" s="219"/>
      <c r="H53" s="219"/>
      <c r="I53" s="219"/>
      <c r="J53" s="219"/>
      <c r="K53" s="219"/>
      <c r="L53" s="219"/>
    </row>
    <row r="54" spans="1:12">
      <c r="A54" s="179" t="s">
        <v>169</v>
      </c>
      <c r="B54" s="179" t="s">
        <v>876</v>
      </c>
      <c r="C54" s="179" t="s">
        <v>975</v>
      </c>
      <c r="F54" s="219"/>
      <c r="G54" s="219"/>
      <c r="H54" s="219"/>
      <c r="I54" s="219"/>
    </row>
    <row r="55" spans="1:12">
      <c r="A55" s="218" t="s">
        <v>877</v>
      </c>
      <c r="B55" s="218">
        <v>5</v>
      </c>
      <c r="C55" s="218">
        <v>0.01</v>
      </c>
      <c r="F55" s="219"/>
      <c r="G55" s="219"/>
      <c r="H55" s="219"/>
      <c r="I55" s="219"/>
    </row>
    <row r="56" spans="1:12">
      <c r="A56" s="218" t="s">
        <v>878</v>
      </c>
      <c r="B56" s="218">
        <v>100</v>
      </c>
      <c r="C56" s="218">
        <v>0.2</v>
      </c>
      <c r="F56" s="219"/>
      <c r="G56" s="219"/>
      <c r="H56" s="219"/>
      <c r="I56" s="219"/>
    </row>
    <row r="57" spans="1:12">
      <c r="A57" s="218" t="s">
        <v>879</v>
      </c>
      <c r="B57" s="218">
        <v>1</v>
      </c>
      <c r="C57" s="218">
        <v>2E-3</v>
      </c>
      <c r="F57" s="219"/>
      <c r="G57" s="219"/>
      <c r="H57" s="219"/>
      <c r="I57" s="219"/>
    </row>
    <row r="58" spans="1:12">
      <c r="A58" s="218" t="s">
        <v>880</v>
      </c>
      <c r="B58" s="218">
        <v>5</v>
      </c>
      <c r="C58" s="218">
        <v>0.01</v>
      </c>
      <c r="F58" s="219"/>
      <c r="G58" s="219"/>
      <c r="H58" s="219"/>
      <c r="I58" s="219"/>
    </row>
    <row r="59" spans="1:12">
      <c r="A59" s="218" t="s">
        <v>881</v>
      </c>
      <c r="B59" s="218">
        <v>5</v>
      </c>
      <c r="C59" s="218">
        <v>0.01</v>
      </c>
      <c r="F59" s="219"/>
      <c r="G59" s="219"/>
      <c r="H59" s="219"/>
      <c r="I59" s="219"/>
    </row>
    <row r="60" spans="1:12">
      <c r="A60" s="218" t="s">
        <v>882</v>
      </c>
      <c r="B60" s="218">
        <v>0.2</v>
      </c>
      <c r="C60" s="218">
        <v>3.9999999999999996E-4</v>
      </c>
    </row>
    <row r="61" spans="1:12">
      <c r="A61" s="218" t="s">
        <v>883</v>
      </c>
      <c r="B61" s="218">
        <v>1</v>
      </c>
      <c r="C61" s="218">
        <v>2E-3</v>
      </c>
    </row>
    <row r="62" spans="1:12">
      <c r="A62" s="218" t="s">
        <v>884</v>
      </c>
      <c r="B62" s="218">
        <v>5</v>
      </c>
      <c r="C62" s="218">
        <v>0.01</v>
      </c>
    </row>
  </sheetData>
  <pageMargins left="0.7" right="0.7" top="0.75" bottom="0.75" header="0.3" footer="0.3"/>
  <pageSetup orientation="portrait" horizontalDpi="0" verticalDpi="0"/>
  <ignoredErrors>
    <ignoredError sqref="P6:P13" formulaRange="1"/>
  </ignoredErrors>
  <legacyDrawing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heetViews>
  <sheetFormatPr defaultColWidth="11" defaultRowHeight="15.75"/>
  <cols>
    <col min="2" max="2" width="16.625" bestFit="1" customWidth="1"/>
    <col min="3" max="3" width="12" customWidth="1"/>
    <col min="4" max="4" width="20.625" customWidth="1"/>
    <col min="5" max="5" width="11.375" customWidth="1"/>
    <col min="6" max="6" width="16.125" customWidth="1"/>
    <col min="8" max="8" width="14" bestFit="1" customWidth="1"/>
    <col min="9" max="9" width="12.375" bestFit="1" customWidth="1"/>
  </cols>
  <sheetData>
    <row r="1" spans="1:9">
      <c r="A1" t="s">
        <v>47</v>
      </c>
    </row>
    <row r="3" spans="1:9" ht="16.5" thickBot="1">
      <c r="A3" s="254" t="s">
        <v>18</v>
      </c>
      <c r="B3" s="255" t="s">
        <v>48</v>
      </c>
      <c r="C3" s="255" t="s">
        <v>49</v>
      </c>
      <c r="D3" s="255" t="s">
        <v>50</v>
      </c>
      <c r="E3" s="255" t="s">
        <v>51</v>
      </c>
      <c r="F3" s="255" t="s">
        <v>52</v>
      </c>
      <c r="G3" s="255" t="s">
        <v>53</v>
      </c>
      <c r="H3" s="255" t="s">
        <v>162</v>
      </c>
      <c r="I3" s="283" t="s">
        <v>163</v>
      </c>
    </row>
    <row r="4" spans="1:9" ht="16.5" thickTop="1">
      <c r="A4" s="284" t="s">
        <v>20</v>
      </c>
      <c r="B4" s="285" t="s">
        <v>54</v>
      </c>
      <c r="C4" s="285" t="s">
        <v>55</v>
      </c>
      <c r="D4" s="285" t="s">
        <v>56</v>
      </c>
      <c r="E4" s="285">
        <f>0.45359237</f>
        <v>0.45359237000000002</v>
      </c>
      <c r="F4" s="285" t="str">
        <f>IF(UnitConv[[#This Row],[Unit of mass/weight]]="Yes","No",IF(UnitConv[[#This Row],[Unit of mass/weight]]="No","Yes","Error"))</f>
        <v>No</v>
      </c>
      <c r="G4" s="285" t="s">
        <v>58</v>
      </c>
      <c r="H4" s="285" t="str">
        <f>IF(UnitConv[[#This Row],[Unit of mass/weight]]="Yes",UnitConv[[#This Row],[Unit]],"")</f>
        <v>lb</v>
      </c>
      <c r="I4" s="285" t="str">
        <f>IF(UnitConv[[#This Row],[Unit of volume]]="Yes",UnitConv[[#This Row],[Unit]],"")</f>
        <v/>
      </c>
    </row>
    <row r="5" spans="1:9">
      <c r="A5" s="286" t="s">
        <v>59</v>
      </c>
      <c r="B5" s="287" t="s">
        <v>60</v>
      </c>
      <c r="C5" s="287" t="s">
        <v>61</v>
      </c>
      <c r="D5" s="287" t="s">
        <v>56</v>
      </c>
      <c r="E5" s="287">
        <f>0.45359237/16</f>
        <v>2.8349523125000001E-2</v>
      </c>
      <c r="F5" s="287" t="str">
        <f>IF(UnitConv[[#This Row],[Unit of mass/weight]]="Yes","No",IF(UnitConv[[#This Row],[Unit of mass/weight]]="No","Yes","Error"))</f>
        <v>No</v>
      </c>
      <c r="G5" s="287" t="s">
        <v>58</v>
      </c>
      <c r="H5" s="287" t="str">
        <f>IF(UnitConv[[#This Row],[Unit of mass/weight]]="Yes",UnitConv[[#This Row],[Unit]],"")</f>
        <v>oz</v>
      </c>
      <c r="I5" s="287" t="str">
        <f>IF(UnitConv[[#This Row],[Unit of volume]]="Yes",UnitConv[[#This Row],[Unit]],"")</f>
        <v/>
      </c>
    </row>
    <row r="6" spans="1:9">
      <c r="A6" s="286" t="s">
        <v>62</v>
      </c>
      <c r="B6" s="287" t="s">
        <v>63</v>
      </c>
      <c r="C6" s="287" t="s">
        <v>64</v>
      </c>
      <c r="D6" s="287" t="s">
        <v>56</v>
      </c>
      <c r="E6" s="287">
        <f>31.1034768/1000</f>
        <v>3.1103476799999998E-2</v>
      </c>
      <c r="F6" s="287" t="str">
        <f>IF(UnitConv[[#This Row],[Unit of mass/weight]]="Yes","No",IF(UnitConv[[#This Row],[Unit of mass/weight]]="No","Yes","Error"))</f>
        <v>No</v>
      </c>
      <c r="G6" s="287"/>
      <c r="H6" s="287" t="str">
        <f>IF(UnitConv[[#This Row],[Unit of mass/weight]]="Yes",UnitConv[[#This Row],[Unit]],"")</f>
        <v>oz t</v>
      </c>
      <c r="I6" s="287" t="str">
        <f>IF(UnitConv[[#This Row],[Unit of volume]]="Yes",UnitConv[[#This Row],[Unit]],"")</f>
        <v/>
      </c>
    </row>
    <row r="7" spans="1:9">
      <c r="A7" s="286" t="s">
        <v>401</v>
      </c>
      <c r="B7" s="287" t="s">
        <v>65</v>
      </c>
      <c r="C7" s="287" t="s">
        <v>66</v>
      </c>
      <c r="D7" s="287" t="s">
        <v>56</v>
      </c>
      <c r="E7" s="287">
        <f>0.45359237*2000</f>
        <v>907.18474000000003</v>
      </c>
      <c r="F7" s="287" t="str">
        <f>IF(UnitConv[[#This Row],[Unit of mass/weight]]="Yes","No",IF(UnitConv[[#This Row],[Unit of mass/weight]]="No","Yes","Error"))</f>
        <v>No</v>
      </c>
      <c r="G7" s="287" t="s">
        <v>58</v>
      </c>
      <c r="H7" s="287" t="str">
        <f>IF(UnitConv[[#This Row],[Unit of mass/weight]]="Yes",UnitConv[[#This Row],[Unit]],"")</f>
        <v>ton</v>
      </c>
      <c r="I7" s="287" t="str">
        <f>IF(UnitConv[[#This Row],[Unit of volume]]="Yes",UnitConv[[#This Row],[Unit]],"")</f>
        <v/>
      </c>
    </row>
    <row r="8" spans="1:9">
      <c r="A8" s="286" t="s">
        <v>1111</v>
      </c>
      <c r="B8" s="287" t="s">
        <v>67</v>
      </c>
      <c r="C8" s="287" t="s">
        <v>68</v>
      </c>
      <c r="D8" s="287" t="s">
        <v>56</v>
      </c>
      <c r="E8" s="287">
        <f>0.45359237*2240</f>
        <v>1016.0469088000001</v>
      </c>
      <c r="F8" s="287" t="str">
        <f>IF(UnitConv[[#This Row],[Unit of mass/weight]]="Yes","No",IF(UnitConv[[#This Row],[Unit of mass/weight]]="No","Yes","Error"))</f>
        <v>No</v>
      </c>
      <c r="G8" s="287" t="s">
        <v>58</v>
      </c>
      <c r="H8" s="287" t="str">
        <f>IF(UnitConv[[#This Row],[Unit of mass/weight]]="Yes",UnitConv[[#This Row],[Unit]],"")</f>
        <v>long ton</v>
      </c>
      <c r="I8" s="287" t="str">
        <f>IF(UnitConv[[#This Row],[Unit of volume]]="Yes",UnitConv[[#This Row],[Unit]],"")</f>
        <v/>
      </c>
    </row>
    <row r="9" spans="1:9">
      <c r="A9" s="286" t="s">
        <v>1112</v>
      </c>
      <c r="B9" s="287" t="s">
        <v>69</v>
      </c>
      <c r="C9" s="287" t="s">
        <v>70</v>
      </c>
      <c r="D9" s="287" t="s">
        <v>56</v>
      </c>
      <c r="E9" s="287">
        <v>1000</v>
      </c>
      <c r="F9" s="287" t="str">
        <f>IF(UnitConv[[#This Row],[Unit of mass/weight]]="Yes","No",IF(UnitConv[[#This Row],[Unit of mass/weight]]="No","Yes","Error"))</f>
        <v>No</v>
      </c>
      <c r="G9" s="287" t="s">
        <v>58</v>
      </c>
      <c r="H9" s="287" t="str">
        <f>IF(UnitConv[[#This Row],[Unit of mass/weight]]="Yes",UnitConv[[#This Row],[Unit]],"")</f>
        <v>tonne</v>
      </c>
      <c r="I9" s="287" t="str">
        <f>IF(UnitConv[[#This Row],[Unit of volume]]="Yes",UnitConv[[#This Row],[Unit]],"")</f>
        <v/>
      </c>
    </row>
    <row r="10" spans="1:9">
      <c r="A10" s="286" t="s">
        <v>71</v>
      </c>
      <c r="B10" s="287" t="s">
        <v>72</v>
      </c>
      <c r="C10" s="287" t="s">
        <v>73</v>
      </c>
      <c r="D10" s="287" t="s">
        <v>56</v>
      </c>
      <c r="E10" s="287">
        <v>1</v>
      </c>
      <c r="F10" s="287" t="str">
        <f>IF(UnitConv[[#This Row],[Unit of mass/weight]]="Yes","No",IF(UnitConv[[#This Row],[Unit of mass/weight]]="No","Yes","Error"))</f>
        <v>No</v>
      </c>
      <c r="G10" s="287" t="s">
        <v>58</v>
      </c>
      <c r="H10" s="287" t="str">
        <f>IF(UnitConv[[#This Row],[Unit of mass/weight]]="Yes",UnitConv[[#This Row],[Unit]],"")</f>
        <v>kg</v>
      </c>
      <c r="I10" s="287" t="str">
        <f>IF(UnitConv[[#This Row],[Unit of volume]]="Yes",UnitConv[[#This Row],[Unit]],"")</f>
        <v/>
      </c>
    </row>
    <row r="11" spans="1:9">
      <c r="A11" s="286" t="s">
        <v>74</v>
      </c>
      <c r="B11" s="287" t="s">
        <v>75</v>
      </c>
      <c r="C11" s="287" t="s">
        <v>76</v>
      </c>
      <c r="D11" s="287" t="s">
        <v>56</v>
      </c>
      <c r="E11" s="288">
        <v>1E-3</v>
      </c>
      <c r="F11" s="287" t="str">
        <f>IF(UnitConv[[#This Row],[Unit of mass/weight]]="Yes","No",IF(UnitConv[[#This Row],[Unit of mass/weight]]="No","Yes","Error"))</f>
        <v>No</v>
      </c>
      <c r="G11" s="287" t="s">
        <v>58</v>
      </c>
      <c r="H11" s="287" t="str">
        <f>IF(UnitConv[[#This Row],[Unit of mass/weight]]="Yes",UnitConv[[#This Row],[Unit]],"")</f>
        <v>g</v>
      </c>
      <c r="I11" s="287" t="str">
        <f>IF(UnitConv[[#This Row],[Unit of volume]]="Yes",UnitConv[[#This Row],[Unit]],"")</f>
        <v/>
      </c>
    </row>
    <row r="12" spans="1:9" s="282" customFormat="1">
      <c r="A12" s="286" t="s">
        <v>985</v>
      </c>
      <c r="B12" s="287" t="s">
        <v>986</v>
      </c>
      <c r="C12" s="287" t="s">
        <v>987</v>
      </c>
      <c r="D12" s="287" t="s">
        <v>56</v>
      </c>
      <c r="E12" s="289">
        <f>0.45359237*100</f>
        <v>45.359237</v>
      </c>
      <c r="F12" s="289" t="str">
        <f>IF(UnitConv[[#This Row],[Unit of mass/weight]]="Yes","No",IF(UnitConv[[#This Row],[Unit of mass/weight]]="No","Yes","Error"))</f>
        <v>No</v>
      </c>
      <c r="G12" s="287"/>
      <c r="H12" s="289" t="str">
        <f>IF(UnitConv[[#This Row],[Unit of mass/weight]]="Yes",UnitConv[[#This Row],[Unit]],"")</f>
        <v>cwt</v>
      </c>
      <c r="I12" s="289" t="str">
        <f>IF(UnitConv[[#This Row],[Unit of volume]]="Yes",UnitConv[[#This Row],[Unit]],"")</f>
        <v/>
      </c>
    </row>
    <row r="13" spans="1:9">
      <c r="A13" s="286" t="s">
        <v>77</v>
      </c>
      <c r="B13" s="287" t="s">
        <v>78</v>
      </c>
      <c r="C13" s="287" t="s">
        <v>76</v>
      </c>
      <c r="D13" s="287" t="s">
        <v>57</v>
      </c>
      <c r="E13" s="287" t="s">
        <v>58</v>
      </c>
      <c r="F13" s="287" t="str">
        <f>IF(UnitConv[[#This Row],[Unit of mass/weight]]="Yes","No",IF(UnitConv[[#This Row],[Unit of mass/weight]]="No","Yes","Error"))</f>
        <v>Yes</v>
      </c>
      <c r="G13" s="287">
        <v>1</v>
      </c>
      <c r="H13" s="287" t="str">
        <f>IF(UnitConv[[#This Row],[Unit of mass/weight]]="Yes",UnitConv[[#This Row],[Unit]],"")</f>
        <v/>
      </c>
      <c r="I13" s="287" t="str">
        <f>IF(UnitConv[[#This Row],[Unit of volume]]="Yes",UnitConv[[#This Row],[Unit]],"")</f>
        <v>L</v>
      </c>
    </row>
    <row r="14" spans="1:9">
      <c r="A14" s="286" t="s">
        <v>79</v>
      </c>
      <c r="B14" s="287" t="s">
        <v>80</v>
      </c>
      <c r="C14" s="287" t="s">
        <v>81</v>
      </c>
      <c r="D14" s="287" t="s">
        <v>57</v>
      </c>
      <c r="E14" s="287" t="s">
        <v>58</v>
      </c>
      <c r="F14" s="287" t="str">
        <f>IF(UnitConv[[#This Row],[Unit of mass/weight]]="Yes","No",IF(UnitConv[[#This Row],[Unit of mass/weight]]="No","Yes","Error"))</f>
        <v>Yes</v>
      </c>
      <c r="G14" s="288">
        <v>1E-3</v>
      </c>
      <c r="H14" s="288" t="str">
        <f>IF(UnitConv[[#This Row],[Unit of mass/weight]]="Yes",UnitConv[[#This Row],[Unit]],"")</f>
        <v/>
      </c>
      <c r="I14" s="288" t="str">
        <f>IF(UnitConv[[#This Row],[Unit of volume]]="Yes",UnitConv[[#This Row],[Unit]],"")</f>
        <v>mL</v>
      </c>
    </row>
    <row r="15" spans="1:9">
      <c r="A15" s="286" t="s">
        <v>82</v>
      </c>
      <c r="B15" s="287" t="s">
        <v>83</v>
      </c>
      <c r="C15" s="287" t="s">
        <v>84</v>
      </c>
      <c r="D15" s="287" t="s">
        <v>57</v>
      </c>
      <c r="E15" s="287" t="s">
        <v>58</v>
      </c>
      <c r="F15" s="287" t="str">
        <f>IF(UnitConv[[#This Row],[Unit of mass/weight]]="Yes","No",IF(UnitConv[[#This Row],[Unit of mass/weight]]="No","Yes","Error"))</f>
        <v>Yes</v>
      </c>
      <c r="G15" s="288">
        <v>9.9999999999999995E-7</v>
      </c>
      <c r="H15" s="288" t="str">
        <f>IF(UnitConv[[#This Row],[Unit of mass/weight]]="Yes",UnitConv[[#This Row],[Unit]],"")</f>
        <v/>
      </c>
      <c r="I15" s="288" t="str">
        <f>IF(UnitConv[[#This Row],[Unit of volume]]="Yes",UnitConv[[#This Row],[Unit]],"")</f>
        <v>µL</v>
      </c>
    </row>
    <row r="16" spans="1:9">
      <c r="A16" s="286" t="s">
        <v>85</v>
      </c>
      <c r="B16" s="287" t="s">
        <v>86</v>
      </c>
      <c r="C16" s="287" t="s">
        <v>55</v>
      </c>
      <c r="D16" s="287" t="s">
        <v>57</v>
      </c>
      <c r="E16" s="287" t="s">
        <v>58</v>
      </c>
      <c r="F16" s="287" t="str">
        <f>IF(UnitConv[[#This Row],[Unit of mass/weight]]="Yes","No",IF(UnitConv[[#This Row],[Unit of mass/weight]]="No","Yes","Error"))</f>
        <v>Yes</v>
      </c>
      <c r="G16" s="287">
        <v>3.7854117839999999</v>
      </c>
      <c r="H16" s="287" t="str">
        <f>IF(UnitConv[[#This Row],[Unit of mass/weight]]="Yes",UnitConv[[#This Row],[Unit]],"")</f>
        <v/>
      </c>
      <c r="I16" s="287" t="str">
        <f>IF(UnitConv[[#This Row],[Unit of volume]]="Yes",UnitConv[[#This Row],[Unit]],"")</f>
        <v>gal</v>
      </c>
    </row>
    <row r="17" spans="1:9">
      <c r="A17" s="286" t="s">
        <v>87</v>
      </c>
      <c r="B17" s="287" t="s">
        <v>88</v>
      </c>
      <c r="C17" s="287" t="s">
        <v>89</v>
      </c>
      <c r="D17" s="287" t="s">
        <v>57</v>
      </c>
      <c r="E17" s="287" t="s">
        <v>58</v>
      </c>
      <c r="F17" s="287" t="str">
        <f>IF(UnitConv[[#This Row],[Unit of mass/weight]]="Yes","No",IF(UnitConv[[#This Row],[Unit of mass/weight]]="No","Yes","Error"))</f>
        <v>Yes</v>
      </c>
      <c r="G17" s="287">
        <v>4.5460900000000004</v>
      </c>
      <c r="H17" s="287" t="str">
        <f>IF(UnitConv[[#This Row],[Unit of mass/weight]]="Yes",UnitConv[[#This Row],[Unit]],"")</f>
        <v/>
      </c>
      <c r="I17" s="287" t="str">
        <f>IF(UnitConv[[#This Row],[Unit of volume]]="Yes",UnitConv[[#This Row],[Unit]],"")</f>
        <v>imperial gal</v>
      </c>
    </row>
    <row r="18" spans="1:9">
      <c r="A18" s="286" t="s">
        <v>90</v>
      </c>
      <c r="B18" s="287" t="s">
        <v>91</v>
      </c>
      <c r="C18" s="287" t="s">
        <v>55</v>
      </c>
      <c r="D18" s="287" t="s">
        <v>57</v>
      </c>
      <c r="E18" s="287" t="s">
        <v>58</v>
      </c>
      <c r="F18" s="287" t="str">
        <f>IF(UnitConv[[#This Row],[Unit of mass/weight]]="Yes","No",IF(UnitConv[[#This Row],[Unit of mass/weight]]="No","Yes","Error"))</f>
        <v>Yes</v>
      </c>
      <c r="G18" s="287">
        <v>4.4048837708599997</v>
      </c>
      <c r="H18" s="287" t="str">
        <f>IF(UnitConv[[#This Row],[Unit of mass/weight]]="Yes",UnitConv[[#This Row],[Unit]],"")</f>
        <v/>
      </c>
      <c r="I18" s="287" t="str">
        <f>IF(UnitConv[[#This Row],[Unit of volume]]="Yes",UnitConv[[#This Row],[Unit]],"")</f>
        <v>dry gal</v>
      </c>
    </row>
    <row r="19" spans="1:9">
      <c r="A19" s="286" t="s">
        <v>92</v>
      </c>
      <c r="B19" s="287" t="s">
        <v>93</v>
      </c>
      <c r="C19" s="287" t="s">
        <v>55</v>
      </c>
      <c r="D19" s="287" t="s">
        <v>57</v>
      </c>
      <c r="E19" s="287" t="s">
        <v>58</v>
      </c>
      <c r="F19" s="287" t="str">
        <f>IF(UnitConv[[#This Row],[Unit of mass/weight]]="Yes","No",IF(UnitConv[[#This Row],[Unit of mass/weight]]="No","Yes","Error"))</f>
        <v>Yes</v>
      </c>
      <c r="G19" s="287">
        <f>3.785411784/128</f>
        <v>2.9573529562499999E-2</v>
      </c>
      <c r="H19" s="287" t="str">
        <f>IF(UnitConv[[#This Row],[Unit of mass/weight]]="Yes",UnitConv[[#This Row],[Unit]],"")</f>
        <v/>
      </c>
      <c r="I19" s="287" t="str">
        <f>IF(UnitConv[[#This Row],[Unit of volume]]="Yes",UnitConv[[#This Row],[Unit]],"")</f>
        <v>fl oz</v>
      </c>
    </row>
    <row r="20" spans="1:9">
      <c r="A20" s="286" t="s">
        <v>94</v>
      </c>
      <c r="B20" s="287" t="s">
        <v>95</v>
      </c>
      <c r="C20" s="287" t="s">
        <v>55</v>
      </c>
      <c r="D20" s="287" t="s">
        <v>57</v>
      </c>
      <c r="E20" s="287" t="s">
        <v>58</v>
      </c>
      <c r="F20" s="287" t="str">
        <f>IF(UnitConv[[#This Row],[Unit of mass/weight]]="Yes","No",IF(UnitConv[[#This Row],[Unit of mass/weight]]="No","Yes","Error"))</f>
        <v>Yes</v>
      </c>
      <c r="G20" s="287">
        <v>28.316846592000001</v>
      </c>
      <c r="H20" s="287" t="str">
        <f>IF(UnitConv[[#This Row],[Unit of mass/weight]]="Yes",UnitConv[[#This Row],[Unit]],"")</f>
        <v/>
      </c>
      <c r="I20" s="287" t="str">
        <f>IF(UnitConv[[#This Row],[Unit of volume]]="Yes",UnitConv[[#This Row],[Unit]],"")</f>
        <v>cu ft</v>
      </c>
    </row>
    <row r="21" spans="1:9">
      <c r="A21" s="286" t="s">
        <v>259</v>
      </c>
      <c r="B21" s="287" t="s">
        <v>894</v>
      </c>
      <c r="C21" s="287" t="s">
        <v>76</v>
      </c>
      <c r="D21" s="287" t="s">
        <v>57</v>
      </c>
      <c r="E21" s="287" t="s">
        <v>58</v>
      </c>
      <c r="F21" s="289" t="str">
        <f>IF(UnitConv[[#This Row],[Unit of mass/weight]]="Yes","No",IF(UnitConv[[#This Row],[Unit of mass/weight]]="No","Yes","Error"))</f>
        <v>Yes</v>
      </c>
      <c r="G21" s="287">
        <v>1000</v>
      </c>
      <c r="H21" s="289" t="str">
        <f>IF(UnitConv[[#This Row],[Unit of mass/weight]]="Yes",UnitConv[[#This Row],[Unit]],"")</f>
        <v/>
      </c>
      <c r="I21" s="289" t="str">
        <f>IF(UnitConv[[#This Row],[Unit of volume]]="Yes",UnitConv[[#This Row],[Unit]],"")</f>
        <v>m3</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3"/>
  <sheetViews>
    <sheetView workbookViewId="0">
      <selection activeCell="A6" sqref="A6"/>
    </sheetView>
  </sheetViews>
  <sheetFormatPr defaultColWidth="11" defaultRowHeight="15.75"/>
  <sheetData>
    <row r="1" spans="1:14">
      <c r="A1" t="s">
        <v>96</v>
      </c>
    </row>
    <row r="2" spans="1:14">
      <c r="A2" t="s">
        <v>97</v>
      </c>
    </row>
    <row r="3" spans="1:14" s="12" customFormat="1">
      <c r="A3" s="12" t="s">
        <v>212</v>
      </c>
      <c r="B3" s="403" t="s">
        <v>210</v>
      </c>
    </row>
    <row r="4" spans="1:14" s="12" customFormat="1">
      <c r="A4" s="12" t="s">
        <v>211</v>
      </c>
      <c r="B4" s="24">
        <v>43892</v>
      </c>
    </row>
    <row r="5" spans="1:14" s="12" customFormat="1">
      <c r="A5" s="12" t="s">
        <v>213</v>
      </c>
      <c r="B5" s="24"/>
    </row>
    <row r="7" spans="1:14">
      <c r="A7" s="440" t="s">
        <v>98</v>
      </c>
      <c r="B7" s="438"/>
      <c r="C7" s="438"/>
      <c r="D7" s="438"/>
      <c r="E7" s="438"/>
      <c r="F7" s="438"/>
    </row>
    <row r="8" spans="1:14">
      <c r="A8" s="440" t="s">
        <v>99</v>
      </c>
      <c r="B8" s="438"/>
      <c r="C8" s="438"/>
      <c r="D8" s="438"/>
      <c r="E8" s="438"/>
      <c r="F8" s="438"/>
    </row>
    <row r="9" spans="1:14">
      <c r="A9" s="438"/>
      <c r="B9" s="438"/>
      <c r="C9" s="438"/>
      <c r="D9" s="438"/>
      <c r="E9" s="438"/>
      <c r="F9" s="438"/>
    </row>
    <row r="10" spans="1:14">
      <c r="A10" s="2" t="s">
        <v>100</v>
      </c>
      <c r="B10" s="437" t="s">
        <v>101</v>
      </c>
      <c r="C10" s="438"/>
      <c r="D10" s="438"/>
      <c r="E10" s="438"/>
      <c r="F10" s="438"/>
    </row>
    <row r="11" spans="1:14">
      <c r="A11" s="2" t="s">
        <v>102</v>
      </c>
      <c r="B11" s="437" t="s">
        <v>103</v>
      </c>
      <c r="C11" s="438"/>
      <c r="D11" s="438"/>
      <c r="E11" s="438"/>
      <c r="F11" s="438"/>
    </row>
    <row r="12" spans="1:14">
      <c r="A12" s="2" t="s">
        <v>104</v>
      </c>
      <c r="B12" s="437" t="s">
        <v>103</v>
      </c>
      <c r="C12" s="438"/>
      <c r="D12" s="438"/>
      <c r="E12" s="438"/>
      <c r="F12" s="438"/>
    </row>
    <row r="13" spans="1:14">
      <c r="A13" s="2" t="s">
        <v>105</v>
      </c>
      <c r="B13" s="437" t="s">
        <v>106</v>
      </c>
      <c r="C13" s="438"/>
      <c r="D13" s="438"/>
      <c r="E13" s="438"/>
      <c r="F13" s="438"/>
    </row>
    <row r="14" spans="1:14">
      <c r="A14" s="2" t="s">
        <v>107</v>
      </c>
      <c r="B14" s="439" t="s">
        <v>1842</v>
      </c>
      <c r="C14" s="438"/>
      <c r="D14" s="438"/>
      <c r="E14" s="438"/>
      <c r="F14" s="438"/>
    </row>
    <row r="16" spans="1:14" ht="16.5" thickBot="1">
      <c r="A16" s="3" t="s">
        <v>108</v>
      </c>
      <c r="B16" s="3" t="s">
        <v>109</v>
      </c>
      <c r="C16" s="3" t="s">
        <v>110</v>
      </c>
      <c r="D16" s="3" t="s">
        <v>111</v>
      </c>
      <c r="E16" s="3" t="s">
        <v>112</v>
      </c>
      <c r="F16" s="3" t="s">
        <v>113</v>
      </c>
      <c r="G16" s="3" t="s">
        <v>114</v>
      </c>
      <c r="H16" s="3" t="s">
        <v>115</v>
      </c>
      <c r="I16" s="3" t="s">
        <v>116</v>
      </c>
      <c r="J16" s="3" t="s">
        <v>117</v>
      </c>
      <c r="K16" s="3" t="s">
        <v>118</v>
      </c>
      <c r="L16" s="3" t="s">
        <v>119</v>
      </c>
      <c r="M16" s="3" t="s">
        <v>120</v>
      </c>
      <c r="N16" s="3" t="s">
        <v>121</v>
      </c>
    </row>
    <row r="17" spans="1:16" ht="16.5" thickTop="1">
      <c r="A17" s="4">
        <v>1984</v>
      </c>
      <c r="M17" s="5">
        <v>100</v>
      </c>
      <c r="N17" s="6">
        <f>AVERAGE(ChemPPI[[#This Row],[Jan]:[Dec]])</f>
        <v>100</v>
      </c>
      <c r="P17" s="46"/>
    </row>
    <row r="18" spans="1:16">
      <c r="A18" s="4">
        <v>1985</v>
      </c>
      <c r="B18" s="5">
        <v>100.2</v>
      </c>
      <c r="C18" s="5">
        <v>100</v>
      </c>
      <c r="D18" s="5">
        <v>100.3</v>
      </c>
      <c r="E18" s="5">
        <v>100.6</v>
      </c>
      <c r="F18" s="5">
        <v>100.8</v>
      </c>
      <c r="G18" s="5">
        <v>100.8</v>
      </c>
      <c r="H18" s="5">
        <v>101.1</v>
      </c>
      <c r="I18" s="5">
        <v>101</v>
      </c>
      <c r="J18" s="5">
        <v>101.5</v>
      </c>
      <c r="K18" s="5">
        <v>101.1</v>
      </c>
      <c r="L18" s="5">
        <v>101</v>
      </c>
      <c r="M18" s="5">
        <v>100.6</v>
      </c>
      <c r="N18" s="6">
        <f>AVERAGE(ChemPPI[[#This Row],[Jan]:[Dec]])</f>
        <v>100.75</v>
      </c>
      <c r="P18" s="46"/>
    </row>
    <row r="19" spans="1:16">
      <c r="A19" s="4">
        <v>1986</v>
      </c>
      <c r="B19" s="5">
        <v>101.2</v>
      </c>
      <c r="C19" s="5">
        <v>101.6</v>
      </c>
      <c r="D19" s="5">
        <v>101.3</v>
      </c>
      <c r="E19" s="5">
        <v>101.2</v>
      </c>
      <c r="F19" s="5">
        <v>100.7</v>
      </c>
      <c r="G19" s="5">
        <v>100.5</v>
      </c>
      <c r="H19" s="5">
        <v>100.5</v>
      </c>
      <c r="I19" s="5">
        <v>100.2</v>
      </c>
      <c r="J19" s="5">
        <v>99.7</v>
      </c>
      <c r="K19" s="5">
        <v>99.8</v>
      </c>
      <c r="L19" s="5">
        <v>100.1</v>
      </c>
      <c r="M19" s="5">
        <v>99.8</v>
      </c>
      <c r="N19" s="6">
        <f>AVERAGE(ChemPPI[[#This Row],[Jan]:[Dec]])</f>
        <v>100.55</v>
      </c>
      <c r="P19" s="46"/>
    </row>
    <row r="20" spans="1:16">
      <c r="A20" s="4">
        <v>1987</v>
      </c>
      <c r="B20" s="5">
        <v>100.4</v>
      </c>
      <c r="C20" s="5">
        <v>100.8</v>
      </c>
      <c r="D20" s="5">
        <v>101.5</v>
      </c>
      <c r="E20" s="5">
        <v>102.2</v>
      </c>
      <c r="F20" s="5">
        <v>103</v>
      </c>
      <c r="G20" s="5">
        <v>103.4</v>
      </c>
      <c r="H20" s="5">
        <v>104.2</v>
      </c>
      <c r="I20" s="5">
        <v>104.5</v>
      </c>
      <c r="J20" s="5">
        <v>105.1</v>
      </c>
      <c r="K20" s="5">
        <v>105.6</v>
      </c>
      <c r="L20" s="5">
        <v>106.3</v>
      </c>
      <c r="M20" s="5">
        <v>106.6</v>
      </c>
      <c r="N20" s="6">
        <f>AVERAGE(ChemPPI[[#This Row],[Jan]:[Dec]])</f>
        <v>103.63333333333333</v>
      </c>
      <c r="P20" s="46"/>
    </row>
    <row r="21" spans="1:16">
      <c r="A21" s="4">
        <v>1988</v>
      </c>
      <c r="B21" s="5">
        <v>108.1</v>
      </c>
      <c r="C21" s="5">
        <v>109.3</v>
      </c>
      <c r="D21" s="5">
        <v>109.5</v>
      </c>
      <c r="E21" s="5">
        <v>110.4</v>
      </c>
      <c r="F21" s="5">
        <v>111.6</v>
      </c>
      <c r="G21" s="5">
        <v>112.4</v>
      </c>
      <c r="H21" s="5">
        <v>114</v>
      </c>
      <c r="I21" s="5">
        <v>114.8</v>
      </c>
      <c r="J21" s="5">
        <v>115.4</v>
      </c>
      <c r="K21" s="5">
        <v>116</v>
      </c>
      <c r="L21" s="5">
        <v>117.2</v>
      </c>
      <c r="M21" s="5">
        <v>117.8</v>
      </c>
      <c r="N21" s="6">
        <f>AVERAGE(ChemPPI[[#This Row],[Jan]:[Dec]])</f>
        <v>113.04166666666667</v>
      </c>
      <c r="P21" s="46"/>
    </row>
    <row r="22" spans="1:16">
      <c r="A22" s="4">
        <v>1989</v>
      </c>
      <c r="B22" s="5">
        <v>119.6</v>
      </c>
      <c r="C22" s="5">
        <v>119.9</v>
      </c>
      <c r="D22" s="5">
        <v>120.6</v>
      </c>
      <c r="E22" s="5">
        <v>121</v>
      </c>
      <c r="F22" s="5">
        <v>120.9</v>
      </c>
      <c r="G22" s="5">
        <v>120.6</v>
      </c>
      <c r="H22" s="5">
        <v>119.4</v>
      </c>
      <c r="I22" s="5">
        <v>119</v>
      </c>
      <c r="J22" s="5">
        <v>118.7</v>
      </c>
      <c r="K22" s="5">
        <v>118.7</v>
      </c>
      <c r="L22" s="5">
        <v>118.7</v>
      </c>
      <c r="M22" s="5">
        <v>118.6</v>
      </c>
      <c r="N22" s="6">
        <f>AVERAGE(ChemPPI[[#This Row],[Jan]:[Dec]])</f>
        <v>119.64166666666667</v>
      </c>
      <c r="P22" s="46"/>
    </row>
    <row r="23" spans="1:16">
      <c r="A23" s="4">
        <v>1990</v>
      </c>
      <c r="B23" s="5">
        <v>119</v>
      </c>
      <c r="C23" s="5">
        <v>119.5</v>
      </c>
      <c r="D23" s="5">
        <v>119.8</v>
      </c>
      <c r="E23" s="5">
        <v>120</v>
      </c>
      <c r="F23" s="5">
        <v>120.1</v>
      </c>
      <c r="G23" s="5">
        <v>120.1</v>
      </c>
      <c r="H23" s="5">
        <v>120.3</v>
      </c>
      <c r="I23" s="5">
        <v>120.6</v>
      </c>
      <c r="J23" s="5">
        <v>121.5</v>
      </c>
      <c r="K23" s="5">
        <v>122.6</v>
      </c>
      <c r="L23" s="5">
        <v>124.1</v>
      </c>
      <c r="M23" s="5">
        <v>124.6</v>
      </c>
      <c r="N23" s="6">
        <f>AVERAGE(ChemPPI[[#This Row],[Jan]:[Dec]])</f>
        <v>121.01666666666665</v>
      </c>
      <c r="P23" s="46"/>
    </row>
    <row r="24" spans="1:16">
      <c r="A24" s="4">
        <v>1991</v>
      </c>
      <c r="B24" s="5">
        <v>125.3</v>
      </c>
      <c r="C24" s="5">
        <v>125.7</v>
      </c>
      <c r="D24" s="5">
        <v>124.8</v>
      </c>
      <c r="E24" s="5">
        <v>124.8</v>
      </c>
      <c r="F24" s="5">
        <v>124.2</v>
      </c>
      <c r="G24" s="5">
        <v>124</v>
      </c>
      <c r="H24" s="5">
        <v>123.6</v>
      </c>
      <c r="I24" s="5">
        <v>123.8</v>
      </c>
      <c r="J24" s="5">
        <v>123.9</v>
      </c>
      <c r="K24" s="5">
        <v>124.2</v>
      </c>
      <c r="L24" s="5">
        <v>124.2</v>
      </c>
      <c r="M24" s="5">
        <v>124.3</v>
      </c>
      <c r="N24" s="6">
        <f>AVERAGE(ChemPPI[[#This Row],[Jan]:[Dec]])</f>
        <v>124.40000000000002</v>
      </c>
      <c r="P24" s="46"/>
    </row>
    <row r="25" spans="1:16">
      <c r="A25" s="4">
        <v>1992</v>
      </c>
      <c r="B25" s="5">
        <v>124.2</v>
      </c>
      <c r="C25" s="5">
        <v>124.5</v>
      </c>
      <c r="D25" s="5">
        <v>124.6</v>
      </c>
      <c r="E25" s="5">
        <v>125.1</v>
      </c>
      <c r="F25" s="5">
        <v>125.5</v>
      </c>
      <c r="G25" s="5">
        <v>126</v>
      </c>
      <c r="H25" s="5">
        <v>126.5</v>
      </c>
      <c r="I25" s="5">
        <v>126.5</v>
      </c>
      <c r="J25" s="5">
        <v>126.6</v>
      </c>
      <c r="K25" s="5">
        <v>126.8</v>
      </c>
      <c r="L25" s="5">
        <v>126.9</v>
      </c>
      <c r="M25" s="5">
        <v>126.6</v>
      </c>
      <c r="N25" s="6">
        <f>AVERAGE(ChemPPI[[#This Row],[Jan]:[Dec]])</f>
        <v>125.81666666666666</v>
      </c>
      <c r="P25" s="46"/>
    </row>
    <row r="26" spans="1:16">
      <c r="A26" s="4">
        <v>1993</v>
      </c>
      <c r="B26" s="5">
        <v>127.3</v>
      </c>
      <c r="C26" s="5">
        <v>127.5</v>
      </c>
      <c r="D26" s="5">
        <v>127.2</v>
      </c>
      <c r="E26" s="5">
        <v>127.7</v>
      </c>
      <c r="F26" s="5">
        <v>127.2</v>
      </c>
      <c r="G26" s="5">
        <v>127.2</v>
      </c>
      <c r="H26" s="5">
        <v>127.2</v>
      </c>
      <c r="I26" s="5">
        <v>126.9</v>
      </c>
      <c r="J26" s="5">
        <v>127.1</v>
      </c>
      <c r="K26" s="5">
        <v>127.1</v>
      </c>
      <c r="L26" s="5">
        <v>127.3</v>
      </c>
      <c r="M26" s="5">
        <v>126.7</v>
      </c>
      <c r="N26" s="6">
        <f>AVERAGE(ChemPPI[[#This Row],[Jan]:[Dec]])</f>
        <v>127.19999999999999</v>
      </c>
      <c r="P26" s="46"/>
    </row>
    <row r="27" spans="1:16">
      <c r="A27" s="4">
        <v>1994</v>
      </c>
      <c r="B27" s="5">
        <v>126.9</v>
      </c>
      <c r="C27" s="5">
        <v>126.8</v>
      </c>
      <c r="D27" s="5">
        <v>126.7</v>
      </c>
      <c r="E27" s="5">
        <v>127.5</v>
      </c>
      <c r="F27" s="5">
        <v>128</v>
      </c>
      <c r="G27" s="5">
        <v>128.4</v>
      </c>
      <c r="H27" s="5">
        <v>129.19999999999999</v>
      </c>
      <c r="I27" s="5">
        <v>130.30000000000001</v>
      </c>
      <c r="J27" s="5">
        <v>132</v>
      </c>
      <c r="K27" s="5">
        <v>133.6</v>
      </c>
      <c r="L27" s="5">
        <v>134.4</v>
      </c>
      <c r="M27" s="5">
        <v>136.1</v>
      </c>
      <c r="N27" s="6">
        <f>AVERAGE(ChemPPI[[#This Row],[Jan]:[Dec]])</f>
        <v>129.99166666666665</v>
      </c>
      <c r="P27" s="46"/>
    </row>
    <row r="28" spans="1:16">
      <c r="A28" s="4">
        <v>1995</v>
      </c>
      <c r="B28" s="5">
        <v>138.4</v>
      </c>
      <c r="C28" s="5">
        <v>140.6</v>
      </c>
      <c r="D28" s="5">
        <v>141.4</v>
      </c>
      <c r="E28" s="5">
        <v>144.80000000000001</v>
      </c>
      <c r="F28" s="5">
        <v>145</v>
      </c>
      <c r="G28" s="5">
        <v>143.9</v>
      </c>
      <c r="H28" s="5">
        <v>144.5</v>
      </c>
      <c r="I28" s="5">
        <v>144.30000000000001</v>
      </c>
      <c r="J28" s="5">
        <v>144.69999999999999</v>
      </c>
      <c r="K28" s="5">
        <v>144.69999999999999</v>
      </c>
      <c r="L28" s="5">
        <v>144.6</v>
      </c>
      <c r="M28" s="5">
        <v>144.30000000000001</v>
      </c>
      <c r="N28" s="6">
        <f>AVERAGE(ChemPPI[[#This Row],[Jan]:[Dec]])</f>
        <v>143.43333333333334</v>
      </c>
      <c r="P28" s="46"/>
    </row>
    <row r="29" spans="1:16">
      <c r="A29" s="4">
        <v>1996</v>
      </c>
      <c r="B29" s="5">
        <v>144.6</v>
      </c>
      <c r="C29" s="5">
        <v>144.5</v>
      </c>
      <c r="D29" s="5">
        <v>145</v>
      </c>
      <c r="E29" s="5">
        <v>145.30000000000001</v>
      </c>
      <c r="F29" s="5">
        <v>146</v>
      </c>
      <c r="G29" s="5">
        <v>146</v>
      </c>
      <c r="H29" s="5">
        <v>145.9</v>
      </c>
      <c r="I29" s="5">
        <v>146.1</v>
      </c>
      <c r="J29" s="5">
        <v>146.80000000000001</v>
      </c>
      <c r="K29" s="5">
        <v>146.80000000000001</v>
      </c>
      <c r="L29" s="5">
        <v>146.30000000000001</v>
      </c>
      <c r="M29" s="5">
        <v>146.4</v>
      </c>
      <c r="N29" s="6">
        <f>AVERAGE(ChemPPI[[#This Row],[Jan]:[Dec]])</f>
        <v>145.80833333333334</v>
      </c>
      <c r="P29" s="46"/>
    </row>
    <row r="30" spans="1:16">
      <c r="A30" s="4">
        <v>1997</v>
      </c>
      <c r="B30" s="5">
        <v>146.80000000000001</v>
      </c>
      <c r="C30" s="5">
        <v>146.80000000000001</v>
      </c>
      <c r="D30" s="5">
        <v>146.9</v>
      </c>
      <c r="E30" s="5">
        <v>147</v>
      </c>
      <c r="F30" s="5">
        <v>147</v>
      </c>
      <c r="G30" s="5">
        <v>147</v>
      </c>
      <c r="H30" s="5">
        <v>147.1</v>
      </c>
      <c r="I30" s="5">
        <v>147.19999999999999</v>
      </c>
      <c r="J30" s="5">
        <v>147.1</v>
      </c>
      <c r="K30" s="5">
        <v>147.30000000000001</v>
      </c>
      <c r="L30" s="5">
        <v>147.30000000000001</v>
      </c>
      <c r="M30" s="5">
        <v>147.30000000000001</v>
      </c>
      <c r="N30" s="6">
        <f>AVERAGE(ChemPPI[[#This Row],[Jan]:[Dec]])</f>
        <v>147.06666666666663</v>
      </c>
      <c r="P30" s="46"/>
    </row>
    <row r="31" spans="1:16">
      <c r="A31" s="4">
        <v>1998</v>
      </c>
      <c r="B31" s="5">
        <v>147.30000000000001</v>
      </c>
      <c r="C31" s="5">
        <v>147.1</v>
      </c>
      <c r="D31" s="5">
        <v>149.19999999999999</v>
      </c>
      <c r="E31" s="5">
        <v>149.80000000000001</v>
      </c>
      <c r="F31" s="5">
        <v>149.69999999999999</v>
      </c>
      <c r="G31" s="5">
        <v>149.5</v>
      </c>
      <c r="H31" s="5">
        <v>149.5</v>
      </c>
      <c r="I31" s="5">
        <v>149.1</v>
      </c>
      <c r="J31" s="5">
        <v>148.5</v>
      </c>
      <c r="K31" s="5">
        <v>148.30000000000001</v>
      </c>
      <c r="L31" s="5">
        <v>148.1</v>
      </c>
      <c r="M31" s="5">
        <v>147.9</v>
      </c>
      <c r="N31" s="6">
        <f>AVERAGE(ChemPPI[[#This Row],[Jan]:[Dec]])</f>
        <v>148.66666666666666</v>
      </c>
      <c r="P31" s="46"/>
    </row>
    <row r="32" spans="1:16">
      <c r="A32" s="4">
        <v>1999</v>
      </c>
      <c r="B32" s="5">
        <v>147.5</v>
      </c>
      <c r="C32" s="5">
        <v>147.30000000000001</v>
      </c>
      <c r="D32" s="5">
        <v>147.5</v>
      </c>
      <c r="E32" s="5">
        <v>147.69999999999999</v>
      </c>
      <c r="F32" s="5">
        <v>148.19999999999999</v>
      </c>
      <c r="G32" s="5">
        <v>149</v>
      </c>
      <c r="H32" s="5">
        <v>149.9</v>
      </c>
      <c r="I32" s="5">
        <v>150</v>
      </c>
      <c r="J32" s="5">
        <v>151</v>
      </c>
      <c r="K32" s="5">
        <v>152.80000000000001</v>
      </c>
      <c r="L32" s="5">
        <v>153</v>
      </c>
      <c r="M32" s="5">
        <v>152.9</v>
      </c>
      <c r="N32" s="6">
        <f>AVERAGE(ChemPPI[[#This Row],[Jan]:[Dec]])</f>
        <v>149.73333333333335</v>
      </c>
      <c r="P32" s="46"/>
    </row>
    <row r="33" spans="1:16">
      <c r="A33" s="4">
        <v>2000</v>
      </c>
      <c r="B33" s="5">
        <v>153.6</v>
      </c>
      <c r="C33" s="5">
        <v>154.5</v>
      </c>
      <c r="D33" s="5">
        <v>155.19999999999999</v>
      </c>
      <c r="E33" s="5">
        <v>155.5</v>
      </c>
      <c r="F33" s="5">
        <v>156.4</v>
      </c>
      <c r="G33" s="5">
        <v>156.5</v>
      </c>
      <c r="H33" s="5">
        <v>157.4</v>
      </c>
      <c r="I33" s="5">
        <v>157.5</v>
      </c>
      <c r="J33" s="5">
        <v>158.30000000000001</v>
      </c>
      <c r="K33" s="5">
        <v>158.6</v>
      </c>
      <c r="L33" s="5">
        <v>158.30000000000001</v>
      </c>
      <c r="M33" s="5">
        <v>158.69999999999999</v>
      </c>
      <c r="N33" s="6">
        <f>AVERAGE(ChemPPI[[#This Row],[Jan]:[Dec]])</f>
        <v>156.70833333333331</v>
      </c>
      <c r="P33" s="46"/>
    </row>
    <row r="34" spans="1:16">
      <c r="A34" s="4">
        <v>2001</v>
      </c>
      <c r="B34" s="5">
        <v>160.30000000000001</v>
      </c>
      <c r="C34" s="5">
        <v>161.5</v>
      </c>
      <c r="D34" s="5">
        <v>161.6</v>
      </c>
      <c r="E34" s="5">
        <v>161.4</v>
      </c>
      <c r="F34" s="5">
        <v>160.1</v>
      </c>
      <c r="G34" s="5">
        <v>159.69999999999999</v>
      </c>
      <c r="H34" s="5">
        <v>157.80000000000001</v>
      </c>
      <c r="I34" s="5">
        <v>156.30000000000001</v>
      </c>
      <c r="J34" s="5">
        <v>156.6</v>
      </c>
      <c r="K34" s="5">
        <v>155.69999999999999</v>
      </c>
      <c r="L34" s="5">
        <v>155.4</v>
      </c>
      <c r="M34" s="5">
        <v>154.30000000000001</v>
      </c>
      <c r="N34" s="6">
        <f>AVERAGE(ChemPPI[[#This Row],[Jan]:[Dec]])</f>
        <v>158.39166666666665</v>
      </c>
      <c r="P34" s="46"/>
    </row>
    <row r="35" spans="1:16">
      <c r="A35" s="4">
        <v>2002</v>
      </c>
      <c r="B35" s="5">
        <v>154</v>
      </c>
      <c r="C35" s="5">
        <v>154.30000000000001</v>
      </c>
      <c r="D35" s="5">
        <v>155.1</v>
      </c>
      <c r="E35" s="5">
        <v>155.9</v>
      </c>
      <c r="F35" s="5">
        <v>156.30000000000001</v>
      </c>
      <c r="G35" s="5">
        <v>157</v>
      </c>
      <c r="H35" s="5">
        <v>158.5</v>
      </c>
      <c r="I35" s="5">
        <v>158.6</v>
      </c>
      <c r="J35" s="5">
        <v>158.69999999999999</v>
      </c>
      <c r="K35" s="5">
        <v>159.6</v>
      </c>
      <c r="L35" s="5">
        <v>159.69999999999999</v>
      </c>
      <c r="M35" s="5">
        <v>159.30000000000001</v>
      </c>
      <c r="N35" s="6">
        <f>AVERAGE(ChemPPI[[#This Row],[Jan]:[Dec]])</f>
        <v>157.24999999999997</v>
      </c>
      <c r="P35" s="46"/>
    </row>
    <row r="36" spans="1:16">
      <c r="A36" s="4">
        <v>2003</v>
      </c>
      <c r="B36" s="5">
        <v>160.9</v>
      </c>
      <c r="C36" s="5">
        <v>162.30000000000001</v>
      </c>
      <c r="D36" s="5">
        <v>165.2</v>
      </c>
      <c r="E36" s="5">
        <v>166.7</v>
      </c>
      <c r="F36" s="5">
        <v>165.8</v>
      </c>
      <c r="G36" s="5">
        <v>165</v>
      </c>
      <c r="H36" s="5">
        <v>164.5</v>
      </c>
      <c r="I36" s="5">
        <v>164.2</v>
      </c>
      <c r="J36" s="5">
        <v>164.8</v>
      </c>
      <c r="K36" s="5">
        <v>165.2</v>
      </c>
      <c r="L36" s="5">
        <v>165</v>
      </c>
      <c r="M36" s="5">
        <v>165.3</v>
      </c>
      <c r="N36" s="6">
        <f>AVERAGE(ChemPPI[[#This Row],[Jan]:[Dec]])</f>
        <v>164.57500000000002</v>
      </c>
      <c r="P36" s="46"/>
    </row>
    <row r="37" spans="1:16">
      <c r="A37" s="4">
        <v>2004</v>
      </c>
      <c r="B37" s="5">
        <v>167</v>
      </c>
      <c r="C37" s="5">
        <v>167.9</v>
      </c>
      <c r="D37" s="5">
        <v>168.8</v>
      </c>
      <c r="E37" s="5">
        <v>169.7</v>
      </c>
      <c r="F37" s="5">
        <v>170.3</v>
      </c>
      <c r="G37" s="5">
        <v>171.6</v>
      </c>
      <c r="H37" s="5">
        <v>172.2</v>
      </c>
      <c r="I37" s="5">
        <v>173.8</v>
      </c>
      <c r="J37" s="5">
        <v>175.5</v>
      </c>
      <c r="K37" s="5">
        <v>177.2</v>
      </c>
      <c r="L37" s="5">
        <v>179.3</v>
      </c>
      <c r="M37" s="5">
        <v>180.5</v>
      </c>
      <c r="N37" s="6">
        <f>AVERAGE(ChemPPI[[#This Row],[Jan]:[Dec]])</f>
        <v>172.81666666666669</v>
      </c>
      <c r="P37" s="46"/>
    </row>
    <row r="38" spans="1:16">
      <c r="A38" s="4">
        <v>2005</v>
      </c>
      <c r="B38" s="5">
        <v>182.7</v>
      </c>
      <c r="C38" s="5">
        <v>183.4</v>
      </c>
      <c r="D38" s="5">
        <v>184.7</v>
      </c>
      <c r="E38" s="5">
        <v>185.9</v>
      </c>
      <c r="F38" s="5">
        <v>185.8</v>
      </c>
      <c r="G38" s="5">
        <v>185.3</v>
      </c>
      <c r="H38" s="5">
        <v>186.3</v>
      </c>
      <c r="I38" s="5">
        <v>186.4</v>
      </c>
      <c r="J38" s="5">
        <v>187.7</v>
      </c>
      <c r="K38" s="5">
        <v>191.2</v>
      </c>
      <c r="L38" s="5">
        <v>193.6</v>
      </c>
      <c r="M38" s="5">
        <v>193.9</v>
      </c>
      <c r="N38" s="6">
        <f>AVERAGE(ChemPPI[[#This Row],[Jan]:[Dec]])</f>
        <v>187.24166666666667</v>
      </c>
      <c r="P38" s="46"/>
    </row>
    <row r="39" spans="1:16">
      <c r="A39" s="4">
        <v>2006</v>
      </c>
      <c r="B39" s="5">
        <v>195.7</v>
      </c>
      <c r="C39" s="5">
        <v>196.2</v>
      </c>
      <c r="D39" s="5">
        <v>196.2</v>
      </c>
      <c r="E39" s="5">
        <v>195.7</v>
      </c>
      <c r="F39" s="5">
        <v>196.6</v>
      </c>
      <c r="G39" s="5">
        <v>197.2</v>
      </c>
      <c r="H39" s="5">
        <v>197.6</v>
      </c>
      <c r="I39" s="5">
        <v>197.8</v>
      </c>
      <c r="J39" s="5">
        <v>197.9</v>
      </c>
      <c r="K39" s="5">
        <v>197.2</v>
      </c>
      <c r="L39" s="5">
        <v>196.5</v>
      </c>
      <c r="M39" s="5">
        <v>197</v>
      </c>
      <c r="N39" s="6">
        <f>AVERAGE(ChemPPI[[#This Row],[Jan]:[Dec]])</f>
        <v>196.79999999999998</v>
      </c>
      <c r="P39" s="46"/>
    </row>
    <row r="40" spans="1:16">
      <c r="A40" s="4">
        <v>2007</v>
      </c>
      <c r="B40" s="5">
        <v>197.3</v>
      </c>
      <c r="C40" s="5">
        <v>198.1</v>
      </c>
      <c r="D40" s="5">
        <v>199.4</v>
      </c>
      <c r="E40" s="5">
        <v>201.1</v>
      </c>
      <c r="F40" s="5">
        <v>201.9</v>
      </c>
      <c r="G40" s="5">
        <v>202.8</v>
      </c>
      <c r="H40" s="5">
        <v>203.6</v>
      </c>
      <c r="I40" s="5">
        <v>204.9</v>
      </c>
      <c r="J40" s="5">
        <v>205</v>
      </c>
      <c r="K40" s="5">
        <v>206.4</v>
      </c>
      <c r="L40" s="5">
        <v>209.2</v>
      </c>
      <c r="M40" s="5">
        <v>210.4</v>
      </c>
      <c r="N40" s="6">
        <f>AVERAGE(ChemPPI[[#This Row],[Jan]:[Dec]])</f>
        <v>203.34166666666667</v>
      </c>
      <c r="P40" s="46"/>
    </row>
    <row r="41" spans="1:16">
      <c r="A41" s="4">
        <v>2008</v>
      </c>
      <c r="B41" s="5">
        <v>213.6</v>
      </c>
      <c r="C41" s="5">
        <v>215.8</v>
      </c>
      <c r="D41" s="5">
        <v>218.4</v>
      </c>
      <c r="E41" s="5">
        <v>221.1</v>
      </c>
      <c r="F41" s="5">
        <v>224.5</v>
      </c>
      <c r="G41" s="5">
        <v>228.5</v>
      </c>
      <c r="H41" s="5">
        <v>234.5</v>
      </c>
      <c r="I41" s="5">
        <v>238.2</v>
      </c>
      <c r="J41" s="5">
        <v>240.4</v>
      </c>
      <c r="K41" s="5">
        <v>239.3</v>
      </c>
      <c r="L41" s="5">
        <v>234.5</v>
      </c>
      <c r="M41" s="5">
        <v>229.7</v>
      </c>
      <c r="N41" s="6">
        <f>AVERAGE(ChemPPI[[#This Row],[Jan]:[Dec]])</f>
        <v>228.20833333333334</v>
      </c>
      <c r="P41" s="46"/>
    </row>
    <row r="42" spans="1:16">
      <c r="A42" s="4">
        <v>2009</v>
      </c>
      <c r="B42" s="5">
        <v>226.7</v>
      </c>
      <c r="C42" s="5">
        <v>225.1</v>
      </c>
      <c r="D42" s="5">
        <v>224.6</v>
      </c>
      <c r="E42" s="5">
        <v>223.6</v>
      </c>
      <c r="F42" s="5">
        <v>222.8</v>
      </c>
      <c r="G42" s="5">
        <v>222.4</v>
      </c>
      <c r="H42" s="5">
        <v>224.1</v>
      </c>
      <c r="I42" s="5">
        <v>224</v>
      </c>
      <c r="J42" s="5">
        <v>225.1</v>
      </c>
      <c r="K42" s="5">
        <v>225</v>
      </c>
      <c r="L42" s="5">
        <v>225.4</v>
      </c>
      <c r="M42" s="5">
        <v>227.3</v>
      </c>
      <c r="N42" s="6">
        <f>AVERAGE(ChemPPI[[#This Row],[Jan]:[Dec]])</f>
        <v>224.67499999999998</v>
      </c>
      <c r="P42" s="46"/>
    </row>
    <row r="43" spans="1:16">
      <c r="A43" s="4">
        <v>2010</v>
      </c>
      <c r="B43" s="5">
        <v>228.7</v>
      </c>
      <c r="C43" s="5">
        <v>231.3</v>
      </c>
      <c r="D43" s="5">
        <v>232</v>
      </c>
      <c r="E43" s="5">
        <v>234.1</v>
      </c>
      <c r="F43" s="5">
        <v>233.4</v>
      </c>
      <c r="G43" s="5">
        <v>232.6</v>
      </c>
      <c r="H43" s="5">
        <v>233.5</v>
      </c>
      <c r="I43" s="5">
        <v>233.7</v>
      </c>
      <c r="J43" s="5">
        <v>234.6</v>
      </c>
      <c r="K43" s="5">
        <v>236.3</v>
      </c>
      <c r="L43" s="5">
        <v>236.8</v>
      </c>
      <c r="M43" s="5">
        <v>237.6</v>
      </c>
      <c r="N43" s="6">
        <f>AVERAGE(ChemPPI[[#This Row],[Jan]:[Dec]])</f>
        <v>233.7166666666667</v>
      </c>
      <c r="P43" s="46"/>
    </row>
    <row r="44" spans="1:16">
      <c r="A44" s="4">
        <v>2011</v>
      </c>
      <c r="B44" s="5">
        <v>242.6</v>
      </c>
      <c r="C44" s="5">
        <v>245</v>
      </c>
      <c r="D44" s="5">
        <v>247.6</v>
      </c>
      <c r="E44" s="5">
        <v>250.2</v>
      </c>
      <c r="F44" s="5">
        <v>252.8</v>
      </c>
      <c r="G44" s="5">
        <v>253.4</v>
      </c>
      <c r="H44" s="5">
        <v>255.1</v>
      </c>
      <c r="I44" s="5">
        <v>255.2</v>
      </c>
      <c r="J44" s="5">
        <v>256.7</v>
      </c>
      <c r="K44" s="5">
        <v>255.9</v>
      </c>
      <c r="L44" s="5">
        <v>255.6</v>
      </c>
      <c r="M44" s="5">
        <v>254.7</v>
      </c>
      <c r="N44" s="6">
        <f>AVERAGE(ChemPPI[[#This Row],[Jan]:[Dec]])</f>
        <v>252.06666666666663</v>
      </c>
      <c r="P44" s="46"/>
    </row>
    <row r="45" spans="1:16">
      <c r="A45" s="4">
        <v>2012</v>
      </c>
      <c r="B45" s="5">
        <v>258.39999999999998</v>
      </c>
      <c r="C45" s="5">
        <v>259.7</v>
      </c>
      <c r="D45" s="5">
        <v>261.7</v>
      </c>
      <c r="E45" s="5">
        <v>262</v>
      </c>
      <c r="F45" s="5">
        <v>262</v>
      </c>
      <c r="G45" s="5">
        <v>259.60000000000002</v>
      </c>
      <c r="H45" s="5">
        <v>259.60000000000002</v>
      </c>
      <c r="I45" s="5">
        <v>260.2</v>
      </c>
      <c r="J45" s="5">
        <v>259.89999999999998</v>
      </c>
      <c r="K45" s="5">
        <v>260.8</v>
      </c>
      <c r="L45" s="5">
        <v>259.89999999999998</v>
      </c>
      <c r="M45" s="5">
        <v>259.3</v>
      </c>
      <c r="N45" s="6">
        <f>AVERAGE(ChemPPI[[#This Row],[Jan]:[Dec]])</f>
        <v>260.25833333333338</v>
      </c>
      <c r="P45" s="46"/>
    </row>
    <row r="46" spans="1:16">
      <c r="A46" s="4">
        <v>2013</v>
      </c>
      <c r="B46" s="5">
        <v>262.8</v>
      </c>
      <c r="C46" s="5">
        <v>264.7</v>
      </c>
      <c r="D46" s="5">
        <v>265</v>
      </c>
      <c r="E46" s="5">
        <v>265.3</v>
      </c>
      <c r="F46" s="5">
        <v>265.10000000000002</v>
      </c>
      <c r="G46" s="5">
        <v>265.5</v>
      </c>
      <c r="H46" s="5">
        <v>265.2</v>
      </c>
      <c r="I46" s="5">
        <v>263.89999999999998</v>
      </c>
      <c r="J46" s="5">
        <v>262.8</v>
      </c>
      <c r="K46" s="5">
        <v>262.3</v>
      </c>
      <c r="L46" s="5">
        <v>261.7</v>
      </c>
      <c r="M46" s="5">
        <v>262.60000000000002</v>
      </c>
      <c r="N46" s="6">
        <f>AVERAGE(ChemPPI[[#This Row],[Jan]:[Dec]])</f>
        <v>263.90833333333336</v>
      </c>
      <c r="P46" s="46"/>
    </row>
    <row r="47" spans="1:16">
      <c r="A47" s="4">
        <v>2014</v>
      </c>
      <c r="B47" s="5">
        <v>266.5</v>
      </c>
      <c r="C47" s="5">
        <v>267.89999999999998</v>
      </c>
      <c r="D47" s="5">
        <v>268.10000000000002</v>
      </c>
      <c r="E47" s="5">
        <v>269.89999999999998</v>
      </c>
      <c r="F47" s="5">
        <v>269.5</v>
      </c>
      <c r="G47" s="5">
        <v>270</v>
      </c>
      <c r="H47" s="5">
        <v>271.10000000000002</v>
      </c>
      <c r="I47" s="5">
        <v>271</v>
      </c>
      <c r="J47" s="5">
        <v>271.39999999999998</v>
      </c>
      <c r="K47" s="5">
        <v>270.39999999999998</v>
      </c>
      <c r="L47" s="5">
        <v>267.7</v>
      </c>
      <c r="M47" s="5">
        <v>266.5</v>
      </c>
      <c r="N47" s="6">
        <f>AVERAGE(ChemPPI[[#This Row],[Jan]:[Dec]])</f>
        <v>269.16666666666669</v>
      </c>
      <c r="P47" s="46"/>
    </row>
    <row r="48" spans="1:16">
      <c r="A48" s="4">
        <v>2015</v>
      </c>
      <c r="B48" s="5">
        <v>265.10000000000002</v>
      </c>
      <c r="C48" s="5">
        <v>264.8</v>
      </c>
      <c r="D48" s="5">
        <v>263.5</v>
      </c>
      <c r="E48" s="5">
        <v>264.39999999999998</v>
      </c>
      <c r="F48" s="5">
        <v>265.3</v>
      </c>
      <c r="G48" s="5">
        <v>268.2</v>
      </c>
      <c r="H48" s="5">
        <v>267.3</v>
      </c>
      <c r="I48" s="5">
        <v>266.5</v>
      </c>
      <c r="J48" s="5">
        <v>264.5</v>
      </c>
      <c r="K48" s="5">
        <v>263.2</v>
      </c>
      <c r="L48" s="5">
        <v>262.60000000000002</v>
      </c>
      <c r="M48" s="5">
        <v>262.60000000000002</v>
      </c>
      <c r="N48" s="6">
        <f>AVERAGE(ChemPPI[[#This Row],[Jan]:[Dec]])</f>
        <v>264.83333333333331</v>
      </c>
      <c r="P48" s="46"/>
    </row>
    <row r="49" spans="1:16">
      <c r="A49" s="4">
        <v>2016</v>
      </c>
      <c r="B49" s="5">
        <v>264.89999999999998</v>
      </c>
      <c r="C49" s="5">
        <v>264.39999999999998</v>
      </c>
      <c r="D49" s="5">
        <v>264.8</v>
      </c>
      <c r="E49" s="5">
        <v>266</v>
      </c>
      <c r="F49" s="5">
        <v>266.3</v>
      </c>
      <c r="G49" s="5">
        <v>268.10000000000002</v>
      </c>
      <c r="H49" s="5">
        <v>267.7</v>
      </c>
      <c r="I49" s="5">
        <v>267.7</v>
      </c>
      <c r="J49" s="5">
        <v>268.2</v>
      </c>
      <c r="K49" s="5">
        <v>269</v>
      </c>
      <c r="L49" s="5">
        <v>269.3</v>
      </c>
      <c r="M49" s="5">
        <v>268.8</v>
      </c>
      <c r="N49" s="6">
        <f>AVERAGE(ChemPPI[[#This Row],[Jan]:[Dec]])</f>
        <v>267.10000000000002</v>
      </c>
      <c r="P49" s="46"/>
    </row>
    <row r="50" spans="1:16">
      <c r="A50" s="4">
        <v>2017</v>
      </c>
      <c r="B50" s="279">
        <v>272.8</v>
      </c>
      <c r="C50" s="279">
        <v>274.89999999999998</v>
      </c>
      <c r="D50" s="279">
        <v>276.10000000000002</v>
      </c>
      <c r="E50" s="279">
        <v>277.2</v>
      </c>
      <c r="F50" s="279">
        <v>276.7</v>
      </c>
      <c r="G50" s="279">
        <v>277.5</v>
      </c>
      <c r="H50" s="279">
        <v>276.89999999999998</v>
      </c>
      <c r="I50" s="279">
        <v>277.5</v>
      </c>
      <c r="J50" s="279">
        <v>277.60000000000002</v>
      </c>
      <c r="K50" s="279">
        <v>280.2</v>
      </c>
      <c r="L50" s="279">
        <v>281.2</v>
      </c>
      <c r="M50" s="279">
        <v>282.5</v>
      </c>
      <c r="N50" s="6">
        <f>AVERAGE(ChemPPI[[#This Row],[Jan]:[Dec]])</f>
        <v>277.59166666666664</v>
      </c>
    </row>
    <row r="51" spans="1:16">
      <c r="A51" s="4">
        <v>2018</v>
      </c>
      <c r="B51" s="5">
        <v>284.7</v>
      </c>
      <c r="C51" s="5">
        <v>286.39999999999998</v>
      </c>
      <c r="D51" s="5">
        <v>288.60000000000002</v>
      </c>
      <c r="E51" s="5">
        <v>288.39999999999998</v>
      </c>
      <c r="F51" s="5">
        <v>289.89999999999998</v>
      </c>
      <c r="G51" s="5">
        <v>290.8</v>
      </c>
      <c r="H51" s="5">
        <v>291.2</v>
      </c>
      <c r="I51" s="5">
        <v>292.2</v>
      </c>
      <c r="J51" s="5">
        <v>291.60000000000002</v>
      </c>
      <c r="K51" s="5">
        <v>292.5</v>
      </c>
      <c r="L51" s="5">
        <v>293.10000000000002</v>
      </c>
      <c r="M51" s="5">
        <v>292.5</v>
      </c>
      <c r="N51" s="6">
        <f>AVERAGE(ChemPPI[[#This Row],[Jan]:[Dec]])</f>
        <v>290.1583333333333</v>
      </c>
    </row>
    <row r="52" spans="1:16">
      <c r="A52" s="4">
        <v>2019</v>
      </c>
      <c r="B52" s="404">
        <v>293.7</v>
      </c>
      <c r="C52" s="404">
        <v>293.39999999999998</v>
      </c>
      <c r="D52" s="404">
        <v>293.3</v>
      </c>
      <c r="E52" s="404">
        <v>293.3</v>
      </c>
      <c r="F52" s="404">
        <v>292.10000000000002</v>
      </c>
      <c r="G52" s="404">
        <v>292.39999999999998</v>
      </c>
      <c r="H52" s="404">
        <v>292.8</v>
      </c>
      <c r="I52" s="404">
        <v>291.3</v>
      </c>
      <c r="J52" s="404">
        <v>290.60000000000002</v>
      </c>
      <c r="K52" s="404">
        <v>291.7</v>
      </c>
      <c r="L52" s="404">
        <v>290.8</v>
      </c>
      <c r="M52" s="404">
        <v>289.39999999999998</v>
      </c>
      <c r="N52" s="6">
        <f>AVERAGE(ChemPPI[[#This Row],[Jan]:[Dec]])</f>
        <v>292.06666666666666</v>
      </c>
    </row>
    <row r="53" spans="1:16">
      <c r="A53" s="401">
        <v>2020</v>
      </c>
      <c r="B53" s="404">
        <v>291</v>
      </c>
      <c r="C53" s="404">
        <v>291.5</v>
      </c>
      <c r="D53" s="404">
        <v>290.39999999999998</v>
      </c>
      <c r="E53" s="404">
        <v>287.2</v>
      </c>
      <c r="F53" s="404">
        <v>284.7</v>
      </c>
      <c r="G53" s="404">
        <v>285.5</v>
      </c>
      <c r="H53" s="404">
        <v>286.89999999999998</v>
      </c>
      <c r="I53" s="402"/>
      <c r="J53" s="402"/>
      <c r="K53" s="402"/>
      <c r="L53" s="402"/>
      <c r="M53" s="402"/>
      <c r="N53" s="6">
        <f>AVERAGE(ChemPPI[[#This Row],[Jan]:[Dec]])</f>
        <v>288.17142857142852</v>
      </c>
    </row>
  </sheetData>
  <mergeCells count="8">
    <mergeCell ref="B13:F13"/>
    <mergeCell ref="B14:F14"/>
    <mergeCell ref="A7:F7"/>
    <mergeCell ref="A8:F8"/>
    <mergeCell ref="A9:F9"/>
    <mergeCell ref="B10:F10"/>
    <mergeCell ref="B11:F11"/>
    <mergeCell ref="B12:F12"/>
  </mergeCells>
  <hyperlinks>
    <hyperlink ref="B3" r:id="rId1" xr:uid="{42E28D08-BA3A-5F49-8915-2FB1B1777518}"/>
  </hyperlinks>
  <pageMargins left="0.75" right="0.75" top="1" bottom="1" header="0.5" footer="0.5"/>
  <pageSetup orientation="portrait" horizontalDpi="0" verticalDpi="0"/>
  <legacyDrawing r:id="rId2"/>
  <tableParts count="1">
    <tablePart r:id="rId3"/>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00"/>
  <sheetViews>
    <sheetView workbookViewId="0">
      <selection activeCell="A4" sqref="A4"/>
    </sheetView>
  </sheetViews>
  <sheetFormatPr defaultColWidth="11" defaultRowHeight="15.75"/>
  <sheetData>
    <row r="1" spans="1:8">
      <c r="A1" t="s">
        <v>296</v>
      </c>
    </row>
    <row r="2" spans="1:8">
      <c r="A2" t="s">
        <v>678</v>
      </c>
    </row>
    <row r="3" spans="1:8" s="380" customFormat="1">
      <c r="A3" s="380" t="s">
        <v>1841</v>
      </c>
    </row>
    <row r="5" spans="1:8">
      <c r="A5" t="s">
        <v>108</v>
      </c>
      <c r="B5" t="s">
        <v>292</v>
      </c>
      <c r="C5" t="s">
        <v>297</v>
      </c>
      <c r="D5" t="s">
        <v>298</v>
      </c>
      <c r="E5" t="s">
        <v>299</v>
      </c>
      <c r="F5" t="s">
        <v>300</v>
      </c>
      <c r="H5" s="27"/>
    </row>
    <row r="6" spans="1:8">
      <c r="A6">
        <v>1980</v>
      </c>
      <c r="B6" s="205">
        <v>261</v>
      </c>
      <c r="C6" s="205">
        <v>675</v>
      </c>
      <c r="D6" s="205">
        <v>823</v>
      </c>
      <c r="E6" s="205">
        <v>303</v>
      </c>
      <c r="F6" s="30" t="s">
        <v>58</v>
      </c>
    </row>
    <row r="7" spans="1:8">
      <c r="A7" s="29">
        <v>1981</v>
      </c>
      <c r="B7" s="205">
        <v>297</v>
      </c>
      <c r="C7" s="205">
        <v>745</v>
      </c>
      <c r="D7" s="205">
        <v>904</v>
      </c>
      <c r="E7" s="205">
        <v>330</v>
      </c>
      <c r="F7" s="30" t="s">
        <v>58</v>
      </c>
    </row>
    <row r="8" spans="1:8">
      <c r="A8" s="29">
        <v>1982</v>
      </c>
      <c r="B8" s="205">
        <v>314</v>
      </c>
      <c r="C8" s="205">
        <v>774</v>
      </c>
      <c r="D8" s="205">
        <v>977</v>
      </c>
      <c r="E8" s="205">
        <v>357</v>
      </c>
      <c r="F8" s="30" t="s">
        <v>58</v>
      </c>
    </row>
    <row r="9" spans="1:8">
      <c r="A9" s="29">
        <v>1983</v>
      </c>
      <c r="B9" s="205">
        <v>317</v>
      </c>
      <c r="C9" s="205">
        <v>786</v>
      </c>
      <c r="D9" s="207">
        <v>1026</v>
      </c>
      <c r="E9" s="205">
        <v>380</v>
      </c>
      <c r="F9" s="30" t="s">
        <v>58</v>
      </c>
    </row>
    <row r="10" spans="1:8">
      <c r="A10" s="29">
        <v>1984</v>
      </c>
      <c r="B10" s="205">
        <v>323</v>
      </c>
      <c r="C10" s="205">
        <v>806</v>
      </c>
      <c r="D10" s="207">
        <v>1061</v>
      </c>
      <c r="E10" s="205">
        <v>387</v>
      </c>
      <c r="F10" s="30" t="s">
        <v>58</v>
      </c>
    </row>
    <row r="11" spans="1:8">
      <c r="A11" s="29">
        <v>1985</v>
      </c>
      <c r="B11" s="205">
        <v>325</v>
      </c>
      <c r="C11" s="205">
        <v>813</v>
      </c>
      <c r="D11" s="207">
        <v>1074</v>
      </c>
      <c r="E11" s="205">
        <v>392</v>
      </c>
      <c r="F11" s="30" t="s">
        <v>58</v>
      </c>
    </row>
    <row r="12" spans="1:8">
      <c r="A12" s="29">
        <v>1986</v>
      </c>
      <c r="B12" s="205">
        <v>318</v>
      </c>
      <c r="C12" s="205">
        <v>817</v>
      </c>
      <c r="D12" s="207">
        <v>1090</v>
      </c>
      <c r="E12" s="205">
        <v>401</v>
      </c>
      <c r="F12" s="30" t="s">
        <v>58</v>
      </c>
    </row>
    <row r="13" spans="1:8">
      <c r="A13" s="29">
        <v>1987</v>
      </c>
      <c r="B13" s="205">
        <v>324</v>
      </c>
      <c r="C13" s="205">
        <v>830</v>
      </c>
      <c r="D13" s="207">
        <v>1122</v>
      </c>
      <c r="E13" s="205">
        <v>412</v>
      </c>
      <c r="F13" s="30" t="s">
        <v>58</v>
      </c>
    </row>
    <row r="14" spans="1:8">
      <c r="A14" s="29">
        <v>1988</v>
      </c>
      <c r="B14" s="205">
        <v>343</v>
      </c>
      <c r="C14" s="205">
        <v>870</v>
      </c>
      <c r="D14" s="207">
        <v>1165</v>
      </c>
      <c r="E14" s="205">
        <v>422</v>
      </c>
      <c r="F14" s="30" t="s">
        <v>58</v>
      </c>
    </row>
    <row r="15" spans="1:8">
      <c r="A15" s="29">
        <v>1989</v>
      </c>
      <c r="B15" s="205">
        <v>355</v>
      </c>
      <c r="C15" s="205">
        <v>914</v>
      </c>
      <c r="D15" s="207">
        <v>1196</v>
      </c>
      <c r="E15" s="205">
        <v>429</v>
      </c>
      <c r="F15" s="30" t="s">
        <v>58</v>
      </c>
    </row>
    <row r="16" spans="1:8">
      <c r="A16" s="29">
        <v>1990</v>
      </c>
      <c r="B16" s="205">
        <v>358</v>
      </c>
      <c r="C16" s="205">
        <v>935</v>
      </c>
      <c r="D16" s="207">
        <v>1226</v>
      </c>
      <c r="E16" s="205">
        <v>441</v>
      </c>
      <c r="F16" s="30" t="s">
        <v>58</v>
      </c>
    </row>
    <row r="17" spans="1:6">
      <c r="A17" s="29">
        <v>1991</v>
      </c>
      <c r="B17" s="205">
        <v>361</v>
      </c>
      <c r="C17" s="205">
        <v>952</v>
      </c>
      <c r="D17" s="207">
        <v>1253</v>
      </c>
      <c r="E17" s="205">
        <v>450</v>
      </c>
      <c r="F17" s="30" t="s">
        <v>58</v>
      </c>
    </row>
    <row r="18" spans="1:6">
      <c r="A18" s="29">
        <v>1992</v>
      </c>
      <c r="B18" s="205">
        <v>358</v>
      </c>
      <c r="C18" s="205">
        <v>960</v>
      </c>
      <c r="D18" s="207">
        <v>1277</v>
      </c>
      <c r="E18" s="205">
        <v>464</v>
      </c>
      <c r="F18" s="30" t="s">
        <v>58</v>
      </c>
    </row>
    <row r="19" spans="1:6">
      <c r="A19" s="29">
        <v>1993</v>
      </c>
      <c r="B19" s="205">
        <v>359</v>
      </c>
      <c r="C19" s="205">
        <v>975</v>
      </c>
      <c r="D19" s="207">
        <v>1311</v>
      </c>
      <c r="E19" s="205">
        <v>485</v>
      </c>
      <c r="F19" s="30" t="s">
        <v>58</v>
      </c>
    </row>
    <row r="20" spans="1:6">
      <c r="A20" s="29">
        <v>1994</v>
      </c>
      <c r="B20" s="205">
        <v>368</v>
      </c>
      <c r="C20" s="207">
        <v>1000</v>
      </c>
      <c r="D20" s="207">
        <v>1350</v>
      </c>
      <c r="E20" s="205">
        <v>503</v>
      </c>
      <c r="F20" s="30" t="s">
        <v>58</v>
      </c>
    </row>
    <row r="21" spans="1:6">
      <c r="A21" s="29">
        <v>1995</v>
      </c>
      <c r="B21" s="205">
        <v>381</v>
      </c>
      <c r="C21" s="207">
        <v>1037</v>
      </c>
      <c r="D21" s="207">
        <v>1392</v>
      </c>
      <c r="E21" s="205">
        <v>509</v>
      </c>
      <c r="F21" s="30" t="s">
        <v>58</v>
      </c>
    </row>
    <row r="22" spans="1:6">
      <c r="A22" s="29">
        <v>1996</v>
      </c>
      <c r="B22" s="205">
        <v>382</v>
      </c>
      <c r="C22" s="207">
        <v>1051</v>
      </c>
      <c r="D22" s="207">
        <v>1419</v>
      </c>
      <c r="E22" s="205">
        <v>524</v>
      </c>
      <c r="F22">
        <v>428.3</v>
      </c>
    </row>
    <row r="23" spans="1:6">
      <c r="A23" s="29">
        <v>1997</v>
      </c>
      <c r="B23" s="205">
        <v>387</v>
      </c>
      <c r="C23" s="207">
        <v>1068</v>
      </c>
      <c r="D23" s="207">
        <v>1449</v>
      </c>
      <c r="E23" s="205">
        <v>542</v>
      </c>
      <c r="F23" s="30" t="s">
        <v>58</v>
      </c>
    </row>
    <row r="24" spans="1:6">
      <c r="A24" s="29">
        <v>1998</v>
      </c>
      <c r="B24" s="205">
        <v>390</v>
      </c>
      <c r="C24" s="207">
        <v>1075</v>
      </c>
      <c r="D24" s="207">
        <v>1478</v>
      </c>
      <c r="E24" s="205">
        <v>551</v>
      </c>
      <c r="F24" s="30" t="s">
        <v>58</v>
      </c>
    </row>
    <row r="25" spans="1:6">
      <c r="A25" s="29">
        <v>1999</v>
      </c>
      <c r="B25" s="205">
        <v>391</v>
      </c>
      <c r="C25" s="207">
        <v>1083</v>
      </c>
      <c r="D25" s="207">
        <v>1497</v>
      </c>
      <c r="E25" s="205">
        <v>564</v>
      </c>
      <c r="F25" s="30" t="s">
        <v>58</v>
      </c>
    </row>
    <row r="26" spans="1:6">
      <c r="A26" s="29">
        <v>2000</v>
      </c>
      <c r="B26" s="205">
        <v>394</v>
      </c>
      <c r="C26" s="207">
        <v>1110</v>
      </c>
      <c r="D26" s="207">
        <v>1543</v>
      </c>
      <c r="E26" s="205">
        <v>579</v>
      </c>
      <c r="F26" s="30" t="s">
        <v>58</v>
      </c>
    </row>
    <row r="27" spans="1:6">
      <c r="A27" s="29">
        <v>2001</v>
      </c>
      <c r="B27" s="205">
        <v>394</v>
      </c>
      <c r="C27" s="207">
        <v>1109</v>
      </c>
      <c r="D27" s="207">
        <v>1580</v>
      </c>
      <c r="E27" s="205">
        <v>590</v>
      </c>
      <c r="F27" s="30" t="s">
        <v>58</v>
      </c>
    </row>
    <row r="28" spans="1:6">
      <c r="A28" s="29">
        <v>2002</v>
      </c>
      <c r="B28" s="205">
        <v>396</v>
      </c>
      <c r="C28" s="207">
        <v>1121</v>
      </c>
      <c r="D28" s="207">
        <v>1642</v>
      </c>
      <c r="E28" s="205">
        <v>609</v>
      </c>
      <c r="F28" s="30" t="s">
        <v>58</v>
      </c>
    </row>
    <row r="29" spans="1:6">
      <c r="A29" s="29">
        <v>2003</v>
      </c>
      <c r="B29" s="205">
        <v>402</v>
      </c>
      <c r="C29" s="207">
        <v>1143</v>
      </c>
      <c r="D29" s="207">
        <v>1710</v>
      </c>
      <c r="E29" s="205">
        <v>623</v>
      </c>
      <c r="F29" s="30" t="s">
        <v>58</v>
      </c>
    </row>
    <row r="30" spans="1:6">
      <c r="A30" s="29">
        <v>2004</v>
      </c>
      <c r="B30" s="205">
        <v>444</v>
      </c>
      <c r="C30" s="207">
        <v>1202</v>
      </c>
      <c r="D30" s="207">
        <v>1834</v>
      </c>
      <c r="E30" s="205">
        <v>662</v>
      </c>
      <c r="F30" s="30" t="s">
        <v>58</v>
      </c>
    </row>
    <row r="31" spans="1:6">
      <c r="A31" s="29">
        <v>2005</v>
      </c>
      <c r="B31" s="205">
        <v>468</v>
      </c>
      <c r="C31" s="207">
        <v>1295</v>
      </c>
      <c r="D31" s="207">
        <v>1919</v>
      </c>
      <c r="E31" s="205">
        <v>693</v>
      </c>
      <c r="F31" s="30" t="s">
        <v>58</v>
      </c>
    </row>
    <row r="32" spans="1:6">
      <c r="A32" s="29">
        <v>2006</v>
      </c>
      <c r="B32" s="205">
        <v>500</v>
      </c>
      <c r="C32" s="207">
        <v>1365</v>
      </c>
      <c r="D32" s="207">
        <v>2008</v>
      </c>
      <c r="E32" s="205">
        <v>722</v>
      </c>
      <c r="F32" s="30" t="s">
        <v>58</v>
      </c>
    </row>
    <row r="33" spans="1:6">
      <c r="A33" s="29">
        <v>2007</v>
      </c>
      <c r="B33" s="205">
        <v>525</v>
      </c>
      <c r="C33" s="207">
        <v>1399</v>
      </c>
      <c r="D33" s="207">
        <v>2107</v>
      </c>
      <c r="E33" s="205">
        <v>742</v>
      </c>
      <c r="F33" s="30" t="s">
        <v>58</v>
      </c>
    </row>
    <row r="34" spans="1:6">
      <c r="A34" s="29">
        <v>2008</v>
      </c>
      <c r="B34" s="205">
        <v>575</v>
      </c>
      <c r="C34" s="207">
        <v>1478</v>
      </c>
      <c r="D34" s="207">
        <v>2251</v>
      </c>
      <c r="E34" s="205">
        <v>774</v>
      </c>
      <c r="F34" s="30" t="s">
        <v>58</v>
      </c>
    </row>
    <row r="35" spans="1:6">
      <c r="A35" s="29">
        <v>2009</v>
      </c>
      <c r="B35" s="205">
        <v>522</v>
      </c>
      <c r="C35" s="207">
        <v>1446</v>
      </c>
      <c r="D35" s="207">
        <v>2218</v>
      </c>
      <c r="E35" s="205">
        <v>798</v>
      </c>
      <c r="F35" s="30" t="s">
        <v>58</v>
      </c>
    </row>
    <row r="36" spans="1:6">
      <c r="A36" s="29">
        <v>2010</v>
      </c>
      <c r="B36" s="205">
        <v>551</v>
      </c>
      <c r="C36" s="207">
        <v>1477</v>
      </c>
      <c r="D36" s="207">
        <v>2338</v>
      </c>
      <c r="E36" s="205">
        <v>819</v>
      </c>
      <c r="F36" s="30" t="s">
        <v>58</v>
      </c>
    </row>
    <row r="37" spans="1:6">
      <c r="A37" s="29">
        <v>2011</v>
      </c>
      <c r="B37" s="205">
        <v>586</v>
      </c>
      <c r="C37" s="207">
        <v>1537</v>
      </c>
      <c r="D37" s="207">
        <v>2436</v>
      </c>
      <c r="E37" s="205">
        <v>844</v>
      </c>
      <c r="F37" s="30" t="s">
        <v>58</v>
      </c>
    </row>
    <row r="38" spans="1:6">
      <c r="A38" s="29">
        <v>2012</v>
      </c>
      <c r="B38" s="205">
        <v>585</v>
      </c>
      <c r="C38" s="205"/>
      <c r="D38" s="207">
        <v>2465</v>
      </c>
      <c r="E38" s="205">
        <v>867</v>
      </c>
      <c r="F38" s="30" t="s">
        <v>58</v>
      </c>
    </row>
    <row r="39" spans="1:6">
      <c r="A39" s="29">
        <v>2013</v>
      </c>
      <c r="B39" s="205">
        <v>567</v>
      </c>
      <c r="C39" s="205"/>
      <c r="D39" s="207">
        <v>2490</v>
      </c>
      <c r="E39" s="205">
        <v>889</v>
      </c>
      <c r="F39" s="30" t="s">
        <v>58</v>
      </c>
    </row>
    <row r="40" spans="1:6">
      <c r="A40" s="29">
        <v>2014</v>
      </c>
      <c r="B40" s="30">
        <v>576.1</v>
      </c>
      <c r="C40" s="30" t="s">
        <v>58</v>
      </c>
      <c r="D40" s="30" t="s">
        <v>58</v>
      </c>
      <c r="E40" s="30" t="s">
        <v>58</v>
      </c>
      <c r="F40" s="30">
        <v>699.4</v>
      </c>
    </row>
    <row r="41" spans="1:6">
      <c r="A41" s="29">
        <v>2015</v>
      </c>
      <c r="B41" s="30">
        <v>556.79999999999995</v>
      </c>
      <c r="C41" s="30" t="s">
        <v>58</v>
      </c>
      <c r="D41" s="30" t="s">
        <v>58</v>
      </c>
      <c r="E41" s="30" t="s">
        <v>58</v>
      </c>
      <c r="F41" s="30">
        <v>670.3</v>
      </c>
    </row>
    <row r="42" spans="1:6">
      <c r="A42" s="29">
        <v>2016</v>
      </c>
      <c r="B42" s="30">
        <v>541.70000000000005</v>
      </c>
      <c r="C42" s="30" t="s">
        <v>58</v>
      </c>
      <c r="D42" s="30" t="s">
        <v>58</v>
      </c>
      <c r="E42" s="30" t="s">
        <v>58</v>
      </c>
      <c r="F42">
        <v>646.70000000000005</v>
      </c>
    </row>
    <row r="43" spans="1:6">
      <c r="A43" s="29">
        <v>2017</v>
      </c>
      <c r="B43">
        <v>567.5</v>
      </c>
      <c r="C43" s="30" t="s">
        <v>58</v>
      </c>
      <c r="D43" s="30" t="s">
        <v>58</v>
      </c>
      <c r="E43" s="30" t="s">
        <v>58</v>
      </c>
      <c r="F43" s="30">
        <v>684.4</v>
      </c>
    </row>
    <row r="44" spans="1:6">
      <c r="A44">
        <v>2018</v>
      </c>
      <c r="B44" s="380">
        <v>603.1</v>
      </c>
      <c r="C44" s="277" t="s">
        <v>58</v>
      </c>
      <c r="D44" s="277" t="s">
        <v>58</v>
      </c>
      <c r="E44" s="277" t="s">
        <v>58</v>
      </c>
      <c r="F44" s="277">
        <v>734.1</v>
      </c>
    </row>
    <row r="45" spans="1:6">
      <c r="A45" s="277">
        <v>2019</v>
      </c>
      <c r="B45" s="380">
        <v>607.5</v>
      </c>
      <c r="C45" s="277" t="s">
        <v>58</v>
      </c>
      <c r="D45" s="277" t="s">
        <v>58</v>
      </c>
      <c r="E45" s="277" t="s">
        <v>58</v>
      </c>
      <c r="F45" s="277">
        <v>740</v>
      </c>
    </row>
    <row r="46" spans="1:6">
      <c r="A46" s="277">
        <v>2020</v>
      </c>
      <c r="B46" s="277">
        <v>593.5</v>
      </c>
      <c r="C46" s="277" t="s">
        <v>58</v>
      </c>
      <c r="D46" s="277" t="s">
        <v>58</v>
      </c>
      <c r="E46" s="277" t="s">
        <v>58</v>
      </c>
      <c r="F46" s="277">
        <v>720.3</v>
      </c>
    </row>
    <row r="47" spans="1:6">
      <c r="A47" s="277">
        <v>2021</v>
      </c>
      <c r="B47" s="277" t="s">
        <v>58</v>
      </c>
      <c r="C47" s="277" t="s">
        <v>58</v>
      </c>
      <c r="D47" s="277" t="s">
        <v>58</v>
      </c>
      <c r="E47" s="277" t="s">
        <v>58</v>
      </c>
      <c r="F47" s="277" t="s">
        <v>58</v>
      </c>
    </row>
    <row r="48" spans="1:6">
      <c r="A48" s="277">
        <v>2022</v>
      </c>
      <c r="B48" s="277" t="s">
        <v>58</v>
      </c>
      <c r="C48" s="277" t="s">
        <v>58</v>
      </c>
      <c r="D48" s="277" t="s">
        <v>58</v>
      </c>
      <c r="E48" s="277" t="s">
        <v>58</v>
      </c>
      <c r="F48" s="277" t="s">
        <v>58</v>
      </c>
    </row>
    <row r="49" spans="1:6">
      <c r="A49" s="277">
        <v>2023</v>
      </c>
      <c r="B49" s="277" t="s">
        <v>58</v>
      </c>
      <c r="C49" s="277" t="s">
        <v>58</v>
      </c>
      <c r="D49" s="277" t="s">
        <v>58</v>
      </c>
      <c r="E49" s="277" t="s">
        <v>58</v>
      </c>
      <c r="F49" s="277" t="s">
        <v>58</v>
      </c>
    </row>
    <row r="50" spans="1:6">
      <c r="A50" s="277">
        <v>2024</v>
      </c>
      <c r="B50" s="277" t="s">
        <v>58</v>
      </c>
      <c r="C50" s="277" t="s">
        <v>58</v>
      </c>
      <c r="D50" s="277" t="s">
        <v>58</v>
      </c>
      <c r="E50" s="277" t="s">
        <v>58</v>
      </c>
      <c r="F50" s="277" t="s">
        <v>58</v>
      </c>
    </row>
    <row r="51" spans="1:6">
      <c r="A51" s="277">
        <v>2025</v>
      </c>
      <c r="B51" s="277" t="s">
        <v>58</v>
      </c>
      <c r="C51" s="277" t="s">
        <v>58</v>
      </c>
      <c r="D51" s="277" t="s">
        <v>58</v>
      </c>
      <c r="E51" s="277" t="s">
        <v>58</v>
      </c>
      <c r="F51" s="277" t="s">
        <v>58</v>
      </c>
    </row>
    <row r="52" spans="1:6">
      <c r="A52" s="277">
        <v>2026</v>
      </c>
      <c r="B52" s="277" t="s">
        <v>58</v>
      </c>
      <c r="C52" s="277" t="s">
        <v>58</v>
      </c>
      <c r="D52" s="277" t="s">
        <v>58</v>
      </c>
      <c r="E52" s="277" t="s">
        <v>58</v>
      </c>
      <c r="F52" s="277" t="s">
        <v>58</v>
      </c>
    </row>
    <row r="53" spans="1:6">
      <c r="A53" s="277">
        <v>2027</v>
      </c>
      <c r="B53" s="277" t="s">
        <v>58</v>
      </c>
      <c r="C53" s="277" t="s">
        <v>58</v>
      </c>
      <c r="D53" s="277" t="s">
        <v>58</v>
      </c>
      <c r="E53" s="277" t="s">
        <v>58</v>
      </c>
      <c r="F53" s="277" t="s">
        <v>58</v>
      </c>
    </row>
    <row r="54" spans="1:6">
      <c r="A54" s="277">
        <v>2028</v>
      </c>
      <c r="B54" s="277" t="s">
        <v>58</v>
      </c>
      <c r="C54" s="277" t="s">
        <v>58</v>
      </c>
      <c r="D54" s="277" t="s">
        <v>58</v>
      </c>
      <c r="E54" s="277" t="s">
        <v>58</v>
      </c>
      <c r="F54" s="277" t="s">
        <v>58</v>
      </c>
    </row>
    <row r="55" spans="1:6">
      <c r="A55" s="277">
        <v>2029</v>
      </c>
      <c r="B55" s="277" t="s">
        <v>58</v>
      </c>
      <c r="C55" s="277" t="s">
        <v>58</v>
      </c>
      <c r="D55" s="277" t="s">
        <v>58</v>
      </c>
      <c r="E55" s="277" t="s">
        <v>58</v>
      </c>
      <c r="F55" s="277" t="s">
        <v>58</v>
      </c>
    </row>
    <row r="56" spans="1:6">
      <c r="A56" s="277">
        <v>2030</v>
      </c>
      <c r="B56" s="277" t="s">
        <v>58</v>
      </c>
      <c r="C56" s="277" t="s">
        <v>58</v>
      </c>
      <c r="D56" s="277" t="s">
        <v>58</v>
      </c>
      <c r="E56" s="277" t="s">
        <v>58</v>
      </c>
      <c r="F56" s="277" t="s">
        <v>58</v>
      </c>
    </row>
    <row r="57" spans="1:6">
      <c r="A57" s="277">
        <v>2031</v>
      </c>
      <c r="B57" s="277" t="s">
        <v>58</v>
      </c>
      <c r="C57" s="277" t="s">
        <v>58</v>
      </c>
      <c r="D57" s="277" t="s">
        <v>58</v>
      </c>
      <c r="E57" s="277" t="s">
        <v>58</v>
      </c>
      <c r="F57" s="277" t="s">
        <v>58</v>
      </c>
    </row>
    <row r="58" spans="1:6">
      <c r="A58" s="277">
        <v>2032</v>
      </c>
      <c r="B58" s="277" t="s">
        <v>58</v>
      </c>
      <c r="C58" s="277" t="s">
        <v>58</v>
      </c>
      <c r="D58" s="277" t="s">
        <v>58</v>
      </c>
      <c r="E58" s="277" t="s">
        <v>58</v>
      </c>
      <c r="F58" s="277" t="s">
        <v>58</v>
      </c>
    </row>
    <row r="59" spans="1:6">
      <c r="A59" s="277">
        <v>2033</v>
      </c>
      <c r="B59" s="277" t="s">
        <v>58</v>
      </c>
      <c r="C59" s="277" t="s">
        <v>58</v>
      </c>
      <c r="D59" s="277" t="s">
        <v>58</v>
      </c>
      <c r="E59" s="277" t="s">
        <v>58</v>
      </c>
      <c r="F59" s="277" t="s">
        <v>58</v>
      </c>
    </row>
    <row r="60" spans="1:6">
      <c r="A60" s="277">
        <v>2034</v>
      </c>
      <c r="B60" s="277" t="s">
        <v>58</v>
      </c>
      <c r="C60" s="277" t="s">
        <v>58</v>
      </c>
      <c r="D60" s="277" t="s">
        <v>58</v>
      </c>
      <c r="E60" s="277" t="s">
        <v>58</v>
      </c>
      <c r="F60" s="277" t="s">
        <v>58</v>
      </c>
    </row>
    <row r="61" spans="1:6">
      <c r="A61" s="277">
        <v>2035</v>
      </c>
      <c r="B61" s="277" t="s">
        <v>58</v>
      </c>
      <c r="C61" s="277" t="s">
        <v>58</v>
      </c>
      <c r="D61" s="277" t="s">
        <v>58</v>
      </c>
      <c r="E61" s="277" t="s">
        <v>58</v>
      </c>
      <c r="F61" s="277" t="s">
        <v>58</v>
      </c>
    </row>
    <row r="62" spans="1:6">
      <c r="A62" s="277">
        <v>2036</v>
      </c>
      <c r="B62" s="277" t="s">
        <v>58</v>
      </c>
      <c r="C62" s="277" t="s">
        <v>58</v>
      </c>
      <c r="D62" s="277" t="s">
        <v>58</v>
      </c>
      <c r="E62" s="277" t="s">
        <v>58</v>
      </c>
      <c r="F62" s="277" t="s">
        <v>58</v>
      </c>
    </row>
    <row r="63" spans="1:6">
      <c r="A63" s="277">
        <v>2037</v>
      </c>
      <c r="B63" s="277" t="s">
        <v>58</v>
      </c>
      <c r="C63" s="277" t="s">
        <v>58</v>
      </c>
      <c r="D63" s="277" t="s">
        <v>58</v>
      </c>
      <c r="E63" s="277" t="s">
        <v>58</v>
      </c>
      <c r="F63" s="277" t="s">
        <v>58</v>
      </c>
    </row>
    <row r="64" spans="1:6">
      <c r="A64" s="277">
        <v>2038</v>
      </c>
      <c r="B64" s="277" t="s">
        <v>58</v>
      </c>
      <c r="C64" s="277" t="s">
        <v>58</v>
      </c>
      <c r="D64" s="277" t="s">
        <v>58</v>
      </c>
      <c r="E64" s="277" t="s">
        <v>58</v>
      </c>
      <c r="F64" s="277" t="s">
        <v>58</v>
      </c>
    </row>
    <row r="65" spans="1:6">
      <c r="A65" s="277">
        <v>2039</v>
      </c>
      <c r="B65" s="277" t="s">
        <v>58</v>
      </c>
      <c r="C65" s="277" t="s">
        <v>58</v>
      </c>
      <c r="D65" s="277" t="s">
        <v>58</v>
      </c>
      <c r="E65" s="277" t="s">
        <v>58</v>
      </c>
      <c r="F65" s="277" t="s">
        <v>58</v>
      </c>
    </row>
    <row r="66" spans="1:6">
      <c r="A66" s="277">
        <v>2040</v>
      </c>
      <c r="B66" s="277" t="s">
        <v>58</v>
      </c>
      <c r="C66" s="277" t="s">
        <v>58</v>
      </c>
      <c r="D66" s="277" t="s">
        <v>58</v>
      </c>
      <c r="E66" s="277" t="s">
        <v>58</v>
      </c>
      <c r="F66" s="277" t="s">
        <v>58</v>
      </c>
    </row>
    <row r="67" spans="1:6">
      <c r="A67" s="277">
        <v>2041</v>
      </c>
      <c r="B67" s="277" t="s">
        <v>58</v>
      </c>
      <c r="C67" s="277" t="s">
        <v>58</v>
      </c>
      <c r="D67" s="277" t="s">
        <v>58</v>
      </c>
      <c r="E67" s="277" t="s">
        <v>58</v>
      </c>
      <c r="F67" s="277" t="s">
        <v>58</v>
      </c>
    </row>
    <row r="68" spans="1:6">
      <c r="A68" s="277">
        <v>2042</v>
      </c>
      <c r="B68" s="277" t="s">
        <v>58</v>
      </c>
      <c r="C68" s="277" t="s">
        <v>58</v>
      </c>
      <c r="D68" s="277" t="s">
        <v>58</v>
      </c>
      <c r="E68" s="277" t="s">
        <v>58</v>
      </c>
      <c r="F68" s="277" t="s">
        <v>58</v>
      </c>
    </row>
    <row r="69" spans="1:6">
      <c r="A69" s="277">
        <v>2043</v>
      </c>
      <c r="B69" s="277" t="s">
        <v>58</v>
      </c>
      <c r="C69" s="277" t="s">
        <v>58</v>
      </c>
      <c r="D69" s="277" t="s">
        <v>58</v>
      </c>
      <c r="E69" s="277" t="s">
        <v>58</v>
      </c>
      <c r="F69" s="277" t="s">
        <v>58</v>
      </c>
    </row>
    <row r="70" spans="1:6">
      <c r="A70" s="277">
        <v>2044</v>
      </c>
      <c r="B70" s="277" t="s">
        <v>58</v>
      </c>
      <c r="C70" s="277" t="s">
        <v>58</v>
      </c>
      <c r="D70" s="277" t="s">
        <v>58</v>
      </c>
      <c r="E70" s="277" t="s">
        <v>58</v>
      </c>
      <c r="F70" s="277" t="s">
        <v>58</v>
      </c>
    </row>
    <row r="71" spans="1:6">
      <c r="A71" s="277">
        <v>2045</v>
      </c>
      <c r="B71" s="277" t="s">
        <v>58</v>
      </c>
      <c r="C71" s="277" t="s">
        <v>58</v>
      </c>
      <c r="D71" s="277" t="s">
        <v>58</v>
      </c>
      <c r="E71" s="277" t="s">
        <v>58</v>
      </c>
      <c r="F71" s="277" t="s">
        <v>58</v>
      </c>
    </row>
    <row r="72" spans="1:6">
      <c r="A72" s="277">
        <v>2046</v>
      </c>
      <c r="B72" s="277" t="s">
        <v>58</v>
      </c>
      <c r="C72" s="277" t="s">
        <v>58</v>
      </c>
      <c r="D72" s="277" t="s">
        <v>58</v>
      </c>
      <c r="E72" s="277" t="s">
        <v>58</v>
      </c>
      <c r="F72" s="277" t="s">
        <v>58</v>
      </c>
    </row>
    <row r="73" spans="1:6">
      <c r="A73" s="277">
        <v>2047</v>
      </c>
      <c r="B73" s="277" t="s">
        <v>58</v>
      </c>
      <c r="C73" s="277" t="s">
        <v>58</v>
      </c>
      <c r="D73" s="277" t="s">
        <v>58</v>
      </c>
      <c r="E73" s="277" t="s">
        <v>58</v>
      </c>
      <c r="F73" s="277" t="s">
        <v>58</v>
      </c>
    </row>
    <row r="74" spans="1:6">
      <c r="A74" s="277">
        <v>2048</v>
      </c>
      <c r="B74" s="277" t="s">
        <v>58</v>
      </c>
      <c r="C74" s="277" t="s">
        <v>58</v>
      </c>
      <c r="D74" s="277" t="s">
        <v>58</v>
      </c>
      <c r="E74" s="277" t="s">
        <v>58</v>
      </c>
      <c r="F74" s="277" t="s">
        <v>58</v>
      </c>
    </row>
    <row r="75" spans="1:6">
      <c r="A75" s="277">
        <v>2049</v>
      </c>
      <c r="B75" s="277" t="s">
        <v>58</v>
      </c>
      <c r="C75" s="277" t="s">
        <v>58</v>
      </c>
      <c r="D75" s="277" t="s">
        <v>58</v>
      </c>
      <c r="E75" s="277" t="s">
        <v>58</v>
      </c>
      <c r="F75" s="277" t="s">
        <v>58</v>
      </c>
    </row>
    <row r="76" spans="1:6">
      <c r="A76" s="277">
        <v>2050</v>
      </c>
      <c r="B76" s="277" t="s">
        <v>58</v>
      </c>
      <c r="C76" s="277" t="s">
        <v>58</v>
      </c>
      <c r="D76" s="277" t="s">
        <v>58</v>
      </c>
      <c r="E76" s="277" t="s">
        <v>58</v>
      </c>
      <c r="F76" s="277" t="s">
        <v>58</v>
      </c>
    </row>
    <row r="77" spans="1:6">
      <c r="A77" s="277">
        <v>2051</v>
      </c>
      <c r="B77" s="277" t="s">
        <v>58</v>
      </c>
      <c r="C77" s="277" t="s">
        <v>58</v>
      </c>
      <c r="D77" s="277" t="s">
        <v>58</v>
      </c>
      <c r="E77" s="277" t="s">
        <v>58</v>
      </c>
      <c r="F77" s="277" t="s">
        <v>58</v>
      </c>
    </row>
    <row r="78" spans="1:6">
      <c r="A78" s="277">
        <v>2052</v>
      </c>
      <c r="B78" s="277" t="s">
        <v>58</v>
      </c>
      <c r="C78" s="277" t="s">
        <v>58</v>
      </c>
      <c r="D78" s="277" t="s">
        <v>58</v>
      </c>
      <c r="E78" s="277" t="s">
        <v>58</v>
      </c>
      <c r="F78" s="277" t="s">
        <v>58</v>
      </c>
    </row>
    <row r="79" spans="1:6">
      <c r="A79" s="277">
        <v>2053</v>
      </c>
      <c r="B79" s="277" t="s">
        <v>58</v>
      </c>
      <c r="C79" s="277" t="s">
        <v>58</v>
      </c>
      <c r="D79" s="277" t="s">
        <v>58</v>
      </c>
      <c r="E79" s="277" t="s">
        <v>58</v>
      </c>
      <c r="F79" s="277" t="s">
        <v>58</v>
      </c>
    </row>
    <row r="80" spans="1:6">
      <c r="A80" s="277">
        <v>2054</v>
      </c>
      <c r="B80" s="277" t="s">
        <v>58</v>
      </c>
      <c r="C80" s="277" t="s">
        <v>58</v>
      </c>
      <c r="D80" s="277" t="s">
        <v>58</v>
      </c>
      <c r="E80" s="277" t="s">
        <v>58</v>
      </c>
      <c r="F80" s="277" t="s">
        <v>58</v>
      </c>
    </row>
    <row r="81" spans="1:6">
      <c r="A81" s="277">
        <v>2055</v>
      </c>
      <c r="B81" s="277" t="s">
        <v>58</v>
      </c>
      <c r="C81" s="277" t="s">
        <v>58</v>
      </c>
      <c r="D81" s="277" t="s">
        <v>58</v>
      </c>
      <c r="E81" s="277" t="s">
        <v>58</v>
      </c>
      <c r="F81" s="277" t="s">
        <v>58</v>
      </c>
    </row>
    <row r="82" spans="1:6">
      <c r="A82" s="278">
        <v>2056</v>
      </c>
      <c r="B82" s="278" t="s">
        <v>58</v>
      </c>
      <c r="C82" s="278" t="s">
        <v>58</v>
      </c>
      <c r="D82" s="278" t="s">
        <v>58</v>
      </c>
      <c r="E82" s="278" t="s">
        <v>58</v>
      </c>
      <c r="F82" s="278" t="s">
        <v>58</v>
      </c>
    </row>
    <row r="83" spans="1:6">
      <c r="A83" s="278">
        <v>2057</v>
      </c>
      <c r="B83" s="278" t="s">
        <v>58</v>
      </c>
      <c r="C83" s="278" t="s">
        <v>58</v>
      </c>
      <c r="D83" s="278" t="s">
        <v>58</v>
      </c>
      <c r="E83" s="278" t="s">
        <v>58</v>
      </c>
      <c r="F83" s="278" t="s">
        <v>58</v>
      </c>
    </row>
    <row r="84" spans="1:6">
      <c r="A84" s="278">
        <v>2058</v>
      </c>
      <c r="B84" s="278" t="s">
        <v>58</v>
      </c>
      <c r="C84" s="278" t="s">
        <v>58</v>
      </c>
      <c r="D84" s="278" t="s">
        <v>58</v>
      </c>
      <c r="E84" s="278" t="s">
        <v>58</v>
      </c>
      <c r="F84" s="278" t="s">
        <v>58</v>
      </c>
    </row>
    <row r="85" spans="1:6">
      <c r="A85" s="278">
        <v>2059</v>
      </c>
      <c r="B85" s="278" t="s">
        <v>58</v>
      </c>
      <c r="C85" s="278" t="s">
        <v>58</v>
      </c>
      <c r="D85" s="278" t="s">
        <v>58</v>
      </c>
      <c r="E85" s="278" t="s">
        <v>58</v>
      </c>
      <c r="F85" s="278" t="s">
        <v>58</v>
      </c>
    </row>
    <row r="86" spans="1:6">
      <c r="A86" s="278">
        <v>2060</v>
      </c>
      <c r="B86" s="278" t="s">
        <v>58</v>
      </c>
      <c r="C86" s="278" t="s">
        <v>58</v>
      </c>
      <c r="D86" s="278" t="s">
        <v>58</v>
      </c>
      <c r="E86" s="278" t="s">
        <v>58</v>
      </c>
      <c r="F86" s="278" t="s">
        <v>58</v>
      </c>
    </row>
    <row r="87" spans="1:6">
      <c r="A87" s="278">
        <v>2061</v>
      </c>
      <c r="B87" s="278" t="s">
        <v>58</v>
      </c>
      <c r="C87" s="278" t="s">
        <v>58</v>
      </c>
      <c r="D87" s="278" t="s">
        <v>58</v>
      </c>
      <c r="E87" s="278" t="s">
        <v>58</v>
      </c>
      <c r="F87" s="278" t="s">
        <v>58</v>
      </c>
    </row>
    <row r="88" spans="1:6">
      <c r="A88" s="278">
        <v>2062</v>
      </c>
      <c r="B88" s="278" t="s">
        <v>58</v>
      </c>
      <c r="C88" s="278" t="s">
        <v>58</v>
      </c>
      <c r="D88" s="278" t="s">
        <v>58</v>
      </c>
      <c r="E88" s="278" t="s">
        <v>58</v>
      </c>
      <c r="F88" s="278" t="s">
        <v>58</v>
      </c>
    </row>
    <row r="89" spans="1:6">
      <c r="A89" s="278">
        <v>2063</v>
      </c>
      <c r="B89" s="278" t="s">
        <v>58</v>
      </c>
      <c r="C89" s="278" t="s">
        <v>58</v>
      </c>
      <c r="D89" s="278" t="s">
        <v>58</v>
      </c>
      <c r="E89" s="278" t="s">
        <v>58</v>
      </c>
      <c r="F89" s="278" t="s">
        <v>58</v>
      </c>
    </row>
    <row r="90" spans="1:6">
      <c r="A90" s="278">
        <v>2064</v>
      </c>
      <c r="B90" s="278" t="s">
        <v>58</v>
      </c>
      <c r="C90" s="278" t="s">
        <v>58</v>
      </c>
      <c r="D90" s="278" t="s">
        <v>58</v>
      </c>
      <c r="E90" s="278" t="s">
        <v>58</v>
      </c>
      <c r="F90" s="278" t="s">
        <v>58</v>
      </c>
    </row>
    <row r="91" spans="1:6">
      <c r="A91" s="278">
        <v>2065</v>
      </c>
      <c r="B91" s="278" t="s">
        <v>58</v>
      </c>
      <c r="C91" s="278" t="s">
        <v>58</v>
      </c>
      <c r="D91" s="278" t="s">
        <v>58</v>
      </c>
      <c r="E91" s="278" t="s">
        <v>58</v>
      </c>
      <c r="F91" s="278" t="s">
        <v>58</v>
      </c>
    </row>
    <row r="92" spans="1:6">
      <c r="A92" s="278">
        <v>2066</v>
      </c>
      <c r="B92" s="278" t="s">
        <v>58</v>
      </c>
      <c r="C92" s="278" t="s">
        <v>58</v>
      </c>
      <c r="D92" s="278" t="s">
        <v>58</v>
      </c>
      <c r="E92" s="278" t="s">
        <v>58</v>
      </c>
      <c r="F92" s="278" t="s">
        <v>58</v>
      </c>
    </row>
    <row r="93" spans="1:6">
      <c r="A93" s="278">
        <v>2067</v>
      </c>
      <c r="B93" s="278" t="s">
        <v>58</v>
      </c>
      <c r="C93" s="278" t="s">
        <v>58</v>
      </c>
      <c r="D93" s="278" t="s">
        <v>58</v>
      </c>
      <c r="E93" s="278" t="s">
        <v>58</v>
      </c>
      <c r="F93" s="278" t="s">
        <v>58</v>
      </c>
    </row>
    <row r="94" spans="1:6">
      <c r="A94" s="278">
        <v>2068</v>
      </c>
      <c r="B94" s="278" t="s">
        <v>58</v>
      </c>
      <c r="C94" s="278" t="s">
        <v>58</v>
      </c>
      <c r="D94" s="278" t="s">
        <v>58</v>
      </c>
      <c r="E94" s="278" t="s">
        <v>58</v>
      </c>
      <c r="F94" s="278" t="s">
        <v>58</v>
      </c>
    </row>
    <row r="95" spans="1:6">
      <c r="A95" s="278">
        <v>2069</v>
      </c>
      <c r="B95" s="278" t="s">
        <v>58</v>
      </c>
      <c r="C95" s="278" t="s">
        <v>58</v>
      </c>
      <c r="D95" s="278" t="s">
        <v>58</v>
      </c>
      <c r="E95" s="278" t="s">
        <v>58</v>
      </c>
      <c r="F95" s="278" t="s">
        <v>58</v>
      </c>
    </row>
    <row r="96" spans="1:6">
      <c r="A96" s="278">
        <v>2070</v>
      </c>
      <c r="B96" s="278" t="s">
        <v>58</v>
      </c>
      <c r="C96" s="278" t="s">
        <v>58</v>
      </c>
      <c r="D96" s="278" t="s">
        <v>58</v>
      </c>
      <c r="E96" s="278" t="s">
        <v>58</v>
      </c>
      <c r="F96" s="278" t="s">
        <v>58</v>
      </c>
    </row>
    <row r="97" spans="1:6">
      <c r="A97" s="278">
        <v>2071</v>
      </c>
      <c r="B97" s="278" t="s">
        <v>58</v>
      </c>
      <c r="C97" s="278" t="s">
        <v>58</v>
      </c>
      <c r="D97" s="278" t="s">
        <v>58</v>
      </c>
      <c r="E97" s="278" t="s">
        <v>58</v>
      </c>
      <c r="F97" s="278" t="s">
        <v>58</v>
      </c>
    </row>
    <row r="98" spans="1:6">
      <c r="A98" s="278">
        <v>2072</v>
      </c>
      <c r="B98" s="278" t="s">
        <v>58</v>
      </c>
      <c r="C98" s="278" t="s">
        <v>58</v>
      </c>
      <c r="D98" s="278" t="s">
        <v>58</v>
      </c>
      <c r="E98" s="278" t="s">
        <v>58</v>
      </c>
      <c r="F98" s="278" t="s">
        <v>58</v>
      </c>
    </row>
    <row r="99" spans="1:6">
      <c r="A99" s="278">
        <v>2073</v>
      </c>
      <c r="B99" s="278" t="s">
        <v>58</v>
      </c>
      <c r="C99" s="278" t="s">
        <v>58</v>
      </c>
      <c r="D99" s="278" t="s">
        <v>58</v>
      </c>
      <c r="E99" s="278" t="s">
        <v>58</v>
      </c>
      <c r="F99" s="278" t="s">
        <v>58</v>
      </c>
    </row>
    <row r="100" spans="1:6">
      <c r="A100" s="278">
        <v>2074</v>
      </c>
      <c r="B100" s="278" t="s">
        <v>58</v>
      </c>
      <c r="C100" s="278" t="s">
        <v>58</v>
      </c>
      <c r="D100" s="278" t="s">
        <v>58</v>
      </c>
      <c r="E100" s="278" t="s">
        <v>58</v>
      </c>
      <c r="F100" s="278" t="s">
        <v>58</v>
      </c>
    </row>
    <row r="101" spans="1:6">
      <c r="A101" s="278">
        <v>2075</v>
      </c>
      <c r="B101" s="278" t="s">
        <v>58</v>
      </c>
      <c r="C101" s="278" t="s">
        <v>58</v>
      </c>
      <c r="D101" s="278" t="s">
        <v>58</v>
      </c>
      <c r="E101" s="278" t="s">
        <v>58</v>
      </c>
      <c r="F101" s="278" t="s">
        <v>58</v>
      </c>
    </row>
    <row r="102" spans="1:6">
      <c r="A102" s="278">
        <v>2076</v>
      </c>
      <c r="B102" s="278" t="s">
        <v>58</v>
      </c>
      <c r="C102" s="278" t="s">
        <v>58</v>
      </c>
      <c r="D102" s="278" t="s">
        <v>58</v>
      </c>
      <c r="E102" s="278" t="s">
        <v>58</v>
      </c>
      <c r="F102" s="278" t="s">
        <v>58</v>
      </c>
    </row>
    <row r="103" spans="1:6">
      <c r="A103" s="278">
        <v>2077</v>
      </c>
      <c r="B103" s="278" t="s">
        <v>58</v>
      </c>
      <c r="C103" s="278" t="s">
        <v>58</v>
      </c>
      <c r="D103" s="278" t="s">
        <v>58</v>
      </c>
      <c r="E103" s="278" t="s">
        <v>58</v>
      </c>
      <c r="F103" s="278" t="s">
        <v>58</v>
      </c>
    </row>
    <row r="104" spans="1:6">
      <c r="A104" s="278">
        <v>2078</v>
      </c>
      <c r="B104" s="278" t="s">
        <v>58</v>
      </c>
      <c r="C104" s="278" t="s">
        <v>58</v>
      </c>
      <c r="D104" s="278" t="s">
        <v>58</v>
      </c>
      <c r="E104" s="278" t="s">
        <v>58</v>
      </c>
      <c r="F104" s="278" t="s">
        <v>58</v>
      </c>
    </row>
    <row r="105" spans="1:6">
      <c r="A105" s="278">
        <v>2079</v>
      </c>
      <c r="B105" s="278" t="s">
        <v>58</v>
      </c>
      <c r="C105" s="278" t="s">
        <v>58</v>
      </c>
      <c r="D105" s="278" t="s">
        <v>58</v>
      </c>
      <c r="E105" s="278" t="s">
        <v>58</v>
      </c>
      <c r="F105" s="278" t="s">
        <v>58</v>
      </c>
    </row>
    <row r="106" spans="1:6">
      <c r="A106" s="278">
        <v>2080</v>
      </c>
      <c r="B106" s="278" t="s">
        <v>58</v>
      </c>
      <c r="C106" s="278" t="s">
        <v>58</v>
      </c>
      <c r="D106" s="278" t="s">
        <v>58</v>
      </c>
      <c r="E106" s="278" t="s">
        <v>58</v>
      </c>
      <c r="F106" s="278" t="s">
        <v>58</v>
      </c>
    </row>
    <row r="107" spans="1:6">
      <c r="A107" s="278">
        <v>2081</v>
      </c>
      <c r="B107" s="278" t="s">
        <v>58</v>
      </c>
      <c r="C107" s="278" t="s">
        <v>58</v>
      </c>
      <c r="D107" s="278" t="s">
        <v>58</v>
      </c>
      <c r="E107" s="278" t="s">
        <v>58</v>
      </c>
      <c r="F107" s="278" t="s">
        <v>58</v>
      </c>
    </row>
    <row r="108" spans="1:6">
      <c r="A108" s="278">
        <v>2082</v>
      </c>
      <c r="B108" s="278" t="s">
        <v>58</v>
      </c>
      <c r="C108" s="278" t="s">
        <v>58</v>
      </c>
      <c r="D108" s="278" t="s">
        <v>58</v>
      </c>
      <c r="E108" s="278" t="s">
        <v>58</v>
      </c>
      <c r="F108" s="278" t="s">
        <v>58</v>
      </c>
    </row>
    <row r="109" spans="1:6">
      <c r="A109" s="278">
        <v>2083</v>
      </c>
      <c r="B109" s="278" t="s">
        <v>58</v>
      </c>
      <c r="C109" s="278" t="s">
        <v>58</v>
      </c>
      <c r="D109" s="278" t="s">
        <v>58</v>
      </c>
      <c r="E109" s="278" t="s">
        <v>58</v>
      </c>
      <c r="F109" s="278" t="s">
        <v>58</v>
      </c>
    </row>
    <row r="110" spans="1:6">
      <c r="A110" s="278">
        <v>2084</v>
      </c>
      <c r="B110" s="278" t="s">
        <v>58</v>
      </c>
      <c r="C110" s="278" t="s">
        <v>58</v>
      </c>
      <c r="D110" s="278" t="s">
        <v>58</v>
      </c>
      <c r="E110" s="278" t="s">
        <v>58</v>
      </c>
      <c r="F110" s="278" t="s">
        <v>58</v>
      </c>
    </row>
    <row r="111" spans="1:6">
      <c r="A111" s="278">
        <v>2085</v>
      </c>
      <c r="B111" s="278" t="s">
        <v>58</v>
      </c>
      <c r="C111" s="278" t="s">
        <v>58</v>
      </c>
      <c r="D111" s="278" t="s">
        <v>58</v>
      </c>
      <c r="E111" s="278" t="s">
        <v>58</v>
      </c>
      <c r="F111" s="278" t="s">
        <v>58</v>
      </c>
    </row>
    <row r="112" spans="1:6">
      <c r="A112" s="278">
        <v>2086</v>
      </c>
      <c r="B112" s="278" t="s">
        <v>58</v>
      </c>
      <c r="C112" s="278" t="s">
        <v>58</v>
      </c>
      <c r="D112" s="278" t="s">
        <v>58</v>
      </c>
      <c r="E112" s="278" t="s">
        <v>58</v>
      </c>
      <c r="F112" s="278" t="s">
        <v>58</v>
      </c>
    </row>
    <row r="113" spans="1:6">
      <c r="A113" s="278">
        <v>2087</v>
      </c>
      <c r="B113" s="278" t="s">
        <v>58</v>
      </c>
      <c r="C113" s="278" t="s">
        <v>58</v>
      </c>
      <c r="D113" s="278" t="s">
        <v>58</v>
      </c>
      <c r="E113" s="278" t="s">
        <v>58</v>
      </c>
      <c r="F113" s="278" t="s">
        <v>58</v>
      </c>
    </row>
    <row r="114" spans="1:6">
      <c r="A114" s="278">
        <v>2088</v>
      </c>
      <c r="B114" s="278" t="s">
        <v>58</v>
      </c>
      <c r="C114" s="278" t="s">
        <v>58</v>
      </c>
      <c r="D114" s="278" t="s">
        <v>58</v>
      </c>
      <c r="E114" s="278" t="s">
        <v>58</v>
      </c>
      <c r="F114" s="278" t="s">
        <v>58</v>
      </c>
    </row>
    <row r="115" spans="1:6">
      <c r="A115" s="278">
        <v>2089</v>
      </c>
      <c r="B115" s="278" t="s">
        <v>58</v>
      </c>
      <c r="C115" s="278" t="s">
        <v>58</v>
      </c>
      <c r="D115" s="278" t="s">
        <v>58</v>
      </c>
      <c r="E115" s="278" t="s">
        <v>58</v>
      </c>
      <c r="F115" s="278" t="s">
        <v>58</v>
      </c>
    </row>
    <row r="116" spans="1:6">
      <c r="A116" s="278">
        <v>2090</v>
      </c>
      <c r="B116" s="278" t="s">
        <v>58</v>
      </c>
      <c r="C116" s="278" t="s">
        <v>58</v>
      </c>
      <c r="D116" s="278" t="s">
        <v>58</v>
      </c>
      <c r="E116" s="278" t="s">
        <v>58</v>
      </c>
      <c r="F116" s="278" t="s">
        <v>58</v>
      </c>
    </row>
    <row r="117" spans="1:6">
      <c r="A117" s="278">
        <v>2091</v>
      </c>
      <c r="B117" s="278" t="s">
        <v>58</v>
      </c>
      <c r="C117" s="278" t="s">
        <v>58</v>
      </c>
      <c r="D117" s="278" t="s">
        <v>58</v>
      </c>
      <c r="E117" s="278" t="s">
        <v>58</v>
      </c>
      <c r="F117" s="278" t="s">
        <v>58</v>
      </c>
    </row>
    <row r="118" spans="1:6">
      <c r="A118" s="278">
        <v>2092</v>
      </c>
      <c r="B118" s="278" t="s">
        <v>58</v>
      </c>
      <c r="C118" s="278" t="s">
        <v>58</v>
      </c>
      <c r="D118" s="278" t="s">
        <v>58</v>
      </c>
      <c r="E118" s="278" t="s">
        <v>58</v>
      </c>
      <c r="F118" s="278" t="s">
        <v>58</v>
      </c>
    </row>
    <row r="119" spans="1:6">
      <c r="A119" s="278">
        <v>2093</v>
      </c>
      <c r="B119" s="278" t="s">
        <v>58</v>
      </c>
      <c r="C119" s="278" t="s">
        <v>58</v>
      </c>
      <c r="D119" s="278" t="s">
        <v>58</v>
      </c>
      <c r="E119" s="278" t="s">
        <v>58</v>
      </c>
      <c r="F119" s="278" t="s">
        <v>58</v>
      </c>
    </row>
    <row r="120" spans="1:6">
      <c r="A120" s="278">
        <v>2094</v>
      </c>
      <c r="B120" s="278" t="s">
        <v>58</v>
      </c>
      <c r="C120" s="278" t="s">
        <v>58</v>
      </c>
      <c r="D120" s="278" t="s">
        <v>58</v>
      </c>
      <c r="E120" s="278" t="s">
        <v>58</v>
      </c>
      <c r="F120" s="278" t="s">
        <v>58</v>
      </c>
    </row>
    <row r="121" spans="1:6">
      <c r="A121" s="278">
        <v>2095</v>
      </c>
      <c r="B121" s="278" t="s">
        <v>58</v>
      </c>
      <c r="C121" s="278" t="s">
        <v>58</v>
      </c>
      <c r="D121" s="278" t="s">
        <v>58</v>
      </c>
      <c r="E121" s="278" t="s">
        <v>58</v>
      </c>
      <c r="F121" s="278" t="s">
        <v>58</v>
      </c>
    </row>
    <row r="122" spans="1:6">
      <c r="A122" s="278">
        <v>2096</v>
      </c>
      <c r="B122" s="278" t="s">
        <v>58</v>
      </c>
      <c r="C122" s="278" t="s">
        <v>58</v>
      </c>
      <c r="D122" s="278" t="s">
        <v>58</v>
      </c>
      <c r="E122" s="278" t="s">
        <v>58</v>
      </c>
      <c r="F122" s="278" t="s">
        <v>58</v>
      </c>
    </row>
    <row r="123" spans="1:6">
      <c r="A123" s="278">
        <v>2097</v>
      </c>
      <c r="B123" s="278" t="s">
        <v>58</v>
      </c>
      <c r="C123" s="278" t="s">
        <v>58</v>
      </c>
      <c r="D123" s="278" t="s">
        <v>58</v>
      </c>
      <c r="E123" s="278" t="s">
        <v>58</v>
      </c>
      <c r="F123" s="278" t="s">
        <v>58</v>
      </c>
    </row>
    <row r="124" spans="1:6">
      <c r="A124" s="278">
        <v>2098</v>
      </c>
      <c r="B124" s="278" t="s">
        <v>58</v>
      </c>
      <c r="C124" s="278" t="s">
        <v>58</v>
      </c>
      <c r="D124" s="278" t="s">
        <v>58</v>
      </c>
      <c r="E124" s="278" t="s">
        <v>58</v>
      </c>
      <c r="F124" s="278" t="s">
        <v>58</v>
      </c>
    </row>
    <row r="125" spans="1:6">
      <c r="A125" s="278">
        <v>2099</v>
      </c>
      <c r="B125" s="278" t="s">
        <v>58</v>
      </c>
      <c r="C125" s="278" t="s">
        <v>58</v>
      </c>
      <c r="D125" s="278" t="s">
        <v>58</v>
      </c>
      <c r="E125" s="278" t="s">
        <v>58</v>
      </c>
      <c r="F125" s="278" t="s">
        <v>58</v>
      </c>
    </row>
    <row r="126" spans="1:6">
      <c r="A126" s="278">
        <v>2100</v>
      </c>
      <c r="B126" s="278" t="s">
        <v>58</v>
      </c>
      <c r="C126" s="278" t="s">
        <v>58</v>
      </c>
      <c r="D126" s="278" t="s">
        <v>58</v>
      </c>
      <c r="E126" s="278" t="s">
        <v>58</v>
      </c>
      <c r="F126" s="278" t="s">
        <v>58</v>
      </c>
    </row>
    <row r="127" spans="1:6">
      <c r="A127" s="278">
        <v>2101</v>
      </c>
      <c r="B127" s="278" t="s">
        <v>58</v>
      </c>
      <c r="C127" s="278" t="s">
        <v>58</v>
      </c>
      <c r="D127" s="278" t="s">
        <v>58</v>
      </c>
      <c r="E127" s="278" t="s">
        <v>58</v>
      </c>
      <c r="F127" s="278" t="s">
        <v>58</v>
      </c>
    </row>
    <row r="128" spans="1:6">
      <c r="A128" s="278">
        <v>2102</v>
      </c>
      <c r="B128" s="278" t="s">
        <v>58</v>
      </c>
      <c r="C128" s="278" t="s">
        <v>58</v>
      </c>
      <c r="D128" s="278" t="s">
        <v>58</v>
      </c>
      <c r="E128" s="278" t="s">
        <v>58</v>
      </c>
      <c r="F128" s="278" t="s">
        <v>58</v>
      </c>
    </row>
    <row r="129" spans="1:6">
      <c r="A129" s="278">
        <v>2103</v>
      </c>
      <c r="B129" s="278" t="s">
        <v>58</v>
      </c>
      <c r="C129" s="278" t="s">
        <v>58</v>
      </c>
      <c r="D129" s="278" t="s">
        <v>58</v>
      </c>
      <c r="E129" s="278" t="s">
        <v>58</v>
      </c>
      <c r="F129" s="278" t="s">
        <v>58</v>
      </c>
    </row>
    <row r="130" spans="1:6">
      <c r="A130" s="278">
        <v>2104</v>
      </c>
      <c r="B130" s="278" t="s">
        <v>58</v>
      </c>
      <c r="C130" s="278" t="s">
        <v>58</v>
      </c>
      <c r="D130" s="278" t="s">
        <v>58</v>
      </c>
      <c r="E130" s="278" t="s">
        <v>58</v>
      </c>
      <c r="F130" s="278" t="s">
        <v>58</v>
      </c>
    </row>
    <row r="131" spans="1:6">
      <c r="A131" s="278">
        <v>2105</v>
      </c>
      <c r="B131" s="278" t="s">
        <v>58</v>
      </c>
      <c r="C131" s="278" t="s">
        <v>58</v>
      </c>
      <c r="D131" s="278" t="s">
        <v>58</v>
      </c>
      <c r="E131" s="278" t="s">
        <v>58</v>
      </c>
      <c r="F131" s="278" t="s">
        <v>58</v>
      </c>
    </row>
    <row r="132" spans="1:6">
      <c r="A132" s="278">
        <v>2106</v>
      </c>
      <c r="B132" s="278" t="s">
        <v>58</v>
      </c>
      <c r="C132" s="278" t="s">
        <v>58</v>
      </c>
      <c r="D132" s="278" t="s">
        <v>58</v>
      </c>
      <c r="E132" s="278" t="s">
        <v>58</v>
      </c>
      <c r="F132" s="278" t="s">
        <v>58</v>
      </c>
    </row>
    <row r="133" spans="1:6">
      <c r="A133" s="278">
        <v>2107</v>
      </c>
      <c r="B133" s="278" t="s">
        <v>58</v>
      </c>
      <c r="C133" s="278" t="s">
        <v>58</v>
      </c>
      <c r="D133" s="278" t="s">
        <v>58</v>
      </c>
      <c r="E133" s="278" t="s">
        <v>58</v>
      </c>
      <c r="F133" s="278" t="s">
        <v>58</v>
      </c>
    </row>
    <row r="134" spans="1:6">
      <c r="A134" s="278">
        <v>2108</v>
      </c>
      <c r="B134" s="278" t="s">
        <v>58</v>
      </c>
      <c r="C134" s="278" t="s">
        <v>58</v>
      </c>
      <c r="D134" s="278" t="s">
        <v>58</v>
      </c>
      <c r="E134" s="278" t="s">
        <v>58</v>
      </c>
      <c r="F134" s="278" t="s">
        <v>58</v>
      </c>
    </row>
    <row r="135" spans="1:6">
      <c r="A135" s="278">
        <v>2109</v>
      </c>
      <c r="B135" s="278" t="s">
        <v>58</v>
      </c>
      <c r="C135" s="278" t="s">
        <v>58</v>
      </c>
      <c r="D135" s="278" t="s">
        <v>58</v>
      </c>
      <c r="E135" s="278" t="s">
        <v>58</v>
      </c>
      <c r="F135" s="278" t="s">
        <v>58</v>
      </c>
    </row>
    <row r="136" spans="1:6">
      <c r="A136" s="278">
        <v>2110</v>
      </c>
      <c r="B136" s="278" t="s">
        <v>58</v>
      </c>
      <c r="C136" s="278" t="s">
        <v>58</v>
      </c>
      <c r="D136" s="278" t="s">
        <v>58</v>
      </c>
      <c r="E136" s="278" t="s">
        <v>58</v>
      </c>
      <c r="F136" s="278" t="s">
        <v>58</v>
      </c>
    </row>
    <row r="137" spans="1:6">
      <c r="A137" s="278">
        <v>2111</v>
      </c>
      <c r="B137" s="278" t="s">
        <v>58</v>
      </c>
      <c r="C137" s="278" t="s">
        <v>58</v>
      </c>
      <c r="D137" s="278" t="s">
        <v>58</v>
      </c>
      <c r="E137" s="278" t="s">
        <v>58</v>
      </c>
      <c r="F137" s="278" t="s">
        <v>58</v>
      </c>
    </row>
    <row r="138" spans="1:6">
      <c r="A138" s="278">
        <v>2112</v>
      </c>
      <c r="B138" s="278" t="s">
        <v>58</v>
      </c>
      <c r="C138" s="278" t="s">
        <v>58</v>
      </c>
      <c r="D138" s="278" t="s">
        <v>58</v>
      </c>
      <c r="E138" s="278" t="s">
        <v>58</v>
      </c>
      <c r="F138" s="278" t="s">
        <v>58</v>
      </c>
    </row>
    <row r="139" spans="1:6">
      <c r="A139" s="278">
        <v>2113</v>
      </c>
      <c r="B139" s="278" t="s">
        <v>58</v>
      </c>
      <c r="C139" s="278" t="s">
        <v>58</v>
      </c>
      <c r="D139" s="278" t="s">
        <v>58</v>
      </c>
      <c r="E139" s="278" t="s">
        <v>58</v>
      </c>
      <c r="F139" s="278" t="s">
        <v>58</v>
      </c>
    </row>
    <row r="140" spans="1:6">
      <c r="A140" s="278">
        <v>2114</v>
      </c>
      <c r="B140" s="278" t="s">
        <v>58</v>
      </c>
      <c r="C140" s="278" t="s">
        <v>58</v>
      </c>
      <c r="D140" s="278" t="s">
        <v>58</v>
      </c>
      <c r="E140" s="278" t="s">
        <v>58</v>
      </c>
      <c r="F140" s="278" t="s">
        <v>58</v>
      </c>
    </row>
    <row r="141" spans="1:6">
      <c r="A141" s="278">
        <v>2115</v>
      </c>
      <c r="B141" s="278" t="s">
        <v>58</v>
      </c>
      <c r="C141" s="278" t="s">
        <v>58</v>
      </c>
      <c r="D141" s="278" t="s">
        <v>58</v>
      </c>
      <c r="E141" s="278" t="s">
        <v>58</v>
      </c>
      <c r="F141" s="278" t="s">
        <v>58</v>
      </c>
    </row>
    <row r="142" spans="1:6">
      <c r="A142" s="278">
        <v>2116</v>
      </c>
      <c r="B142" s="278" t="s">
        <v>58</v>
      </c>
      <c r="C142" s="278" t="s">
        <v>58</v>
      </c>
      <c r="D142" s="278" t="s">
        <v>58</v>
      </c>
      <c r="E142" s="278" t="s">
        <v>58</v>
      </c>
      <c r="F142" s="278" t="s">
        <v>58</v>
      </c>
    </row>
    <row r="143" spans="1:6">
      <c r="A143" s="278">
        <v>2117</v>
      </c>
      <c r="B143" s="278" t="s">
        <v>58</v>
      </c>
      <c r="C143" s="278" t="s">
        <v>58</v>
      </c>
      <c r="D143" s="278" t="s">
        <v>58</v>
      </c>
      <c r="E143" s="278" t="s">
        <v>58</v>
      </c>
      <c r="F143" s="278" t="s">
        <v>58</v>
      </c>
    </row>
    <row r="144" spans="1:6">
      <c r="A144" s="278">
        <v>2118</v>
      </c>
      <c r="B144" s="278" t="s">
        <v>58</v>
      </c>
      <c r="C144" s="278" t="s">
        <v>58</v>
      </c>
      <c r="D144" s="278" t="s">
        <v>58</v>
      </c>
      <c r="E144" s="278" t="s">
        <v>58</v>
      </c>
      <c r="F144" s="278" t="s">
        <v>58</v>
      </c>
    </row>
    <row r="145" spans="1:6">
      <c r="A145" s="278">
        <v>2119</v>
      </c>
      <c r="B145" s="278" t="s">
        <v>58</v>
      </c>
      <c r="C145" s="278" t="s">
        <v>58</v>
      </c>
      <c r="D145" s="278" t="s">
        <v>58</v>
      </c>
      <c r="E145" s="278" t="s">
        <v>58</v>
      </c>
      <c r="F145" s="278" t="s">
        <v>58</v>
      </c>
    </row>
    <row r="146" spans="1:6">
      <c r="A146" s="278">
        <v>2120</v>
      </c>
      <c r="B146" s="278" t="s">
        <v>58</v>
      </c>
      <c r="C146" s="278" t="s">
        <v>58</v>
      </c>
      <c r="D146" s="278" t="s">
        <v>58</v>
      </c>
      <c r="E146" s="278" t="s">
        <v>58</v>
      </c>
      <c r="F146" s="278" t="s">
        <v>58</v>
      </c>
    </row>
    <row r="147" spans="1:6">
      <c r="A147" s="278">
        <v>2121</v>
      </c>
      <c r="B147" s="278" t="s">
        <v>58</v>
      </c>
      <c r="C147" s="278" t="s">
        <v>58</v>
      </c>
      <c r="D147" s="278" t="s">
        <v>58</v>
      </c>
      <c r="E147" s="278" t="s">
        <v>58</v>
      </c>
      <c r="F147" s="278" t="s">
        <v>58</v>
      </c>
    </row>
    <row r="148" spans="1:6">
      <c r="A148" s="278">
        <v>2122</v>
      </c>
      <c r="B148" s="278" t="s">
        <v>58</v>
      </c>
      <c r="C148" s="278" t="s">
        <v>58</v>
      </c>
      <c r="D148" s="278" t="s">
        <v>58</v>
      </c>
      <c r="E148" s="278" t="s">
        <v>58</v>
      </c>
      <c r="F148" s="278" t="s">
        <v>58</v>
      </c>
    </row>
    <row r="149" spans="1:6">
      <c r="A149" s="278">
        <v>2123</v>
      </c>
      <c r="B149" s="278" t="s">
        <v>58</v>
      </c>
      <c r="C149" s="278" t="s">
        <v>58</v>
      </c>
      <c r="D149" s="278" t="s">
        <v>58</v>
      </c>
      <c r="E149" s="278" t="s">
        <v>58</v>
      </c>
      <c r="F149" s="278" t="s">
        <v>58</v>
      </c>
    </row>
    <row r="150" spans="1:6">
      <c r="A150" s="278">
        <v>2124</v>
      </c>
      <c r="B150" s="278" t="s">
        <v>58</v>
      </c>
      <c r="C150" s="278" t="s">
        <v>58</v>
      </c>
      <c r="D150" s="278" t="s">
        <v>58</v>
      </c>
      <c r="E150" s="278" t="s">
        <v>58</v>
      </c>
      <c r="F150" s="278" t="s">
        <v>58</v>
      </c>
    </row>
    <row r="151" spans="1:6">
      <c r="A151" s="278">
        <v>2125</v>
      </c>
      <c r="B151" s="278" t="s">
        <v>58</v>
      </c>
      <c r="C151" s="278" t="s">
        <v>58</v>
      </c>
      <c r="D151" s="278" t="s">
        <v>58</v>
      </c>
      <c r="E151" s="278" t="s">
        <v>58</v>
      </c>
      <c r="F151" s="278" t="s">
        <v>58</v>
      </c>
    </row>
    <row r="152" spans="1:6">
      <c r="A152" s="278">
        <v>2126</v>
      </c>
      <c r="B152" s="278" t="s">
        <v>58</v>
      </c>
      <c r="C152" s="278" t="s">
        <v>58</v>
      </c>
      <c r="D152" s="278" t="s">
        <v>58</v>
      </c>
      <c r="E152" s="278" t="s">
        <v>58</v>
      </c>
      <c r="F152" s="278" t="s">
        <v>58</v>
      </c>
    </row>
    <row r="153" spans="1:6">
      <c r="A153" s="278">
        <v>2127</v>
      </c>
      <c r="B153" s="278" t="s">
        <v>58</v>
      </c>
      <c r="C153" s="278" t="s">
        <v>58</v>
      </c>
      <c r="D153" s="278" t="s">
        <v>58</v>
      </c>
      <c r="E153" s="278" t="s">
        <v>58</v>
      </c>
      <c r="F153" s="278" t="s">
        <v>58</v>
      </c>
    </row>
    <row r="154" spans="1:6">
      <c r="A154" s="278">
        <v>2128</v>
      </c>
      <c r="B154" s="278" t="s">
        <v>58</v>
      </c>
      <c r="C154" s="278" t="s">
        <v>58</v>
      </c>
      <c r="D154" s="278" t="s">
        <v>58</v>
      </c>
      <c r="E154" s="278" t="s">
        <v>58</v>
      </c>
      <c r="F154" s="278" t="s">
        <v>58</v>
      </c>
    </row>
    <row r="155" spans="1:6">
      <c r="A155" s="278">
        <v>2129</v>
      </c>
      <c r="B155" s="278" t="s">
        <v>58</v>
      </c>
      <c r="C155" s="278" t="s">
        <v>58</v>
      </c>
      <c r="D155" s="278" t="s">
        <v>58</v>
      </c>
      <c r="E155" s="278" t="s">
        <v>58</v>
      </c>
      <c r="F155" s="278" t="s">
        <v>58</v>
      </c>
    </row>
    <row r="156" spans="1:6">
      <c r="A156" s="278">
        <v>2130</v>
      </c>
      <c r="B156" s="278" t="s">
        <v>58</v>
      </c>
      <c r="C156" s="278" t="s">
        <v>58</v>
      </c>
      <c r="D156" s="278" t="s">
        <v>58</v>
      </c>
      <c r="E156" s="278" t="s">
        <v>58</v>
      </c>
      <c r="F156" s="278" t="s">
        <v>58</v>
      </c>
    </row>
    <row r="157" spans="1:6">
      <c r="A157" s="278">
        <v>2131</v>
      </c>
      <c r="B157" s="278" t="s">
        <v>58</v>
      </c>
      <c r="C157" s="278" t="s">
        <v>58</v>
      </c>
      <c r="D157" s="278" t="s">
        <v>58</v>
      </c>
      <c r="E157" s="278" t="s">
        <v>58</v>
      </c>
      <c r="F157" s="278" t="s">
        <v>58</v>
      </c>
    </row>
    <row r="158" spans="1:6">
      <c r="A158" s="278">
        <v>2132</v>
      </c>
      <c r="B158" s="278" t="s">
        <v>58</v>
      </c>
      <c r="C158" s="278" t="s">
        <v>58</v>
      </c>
      <c r="D158" s="278" t="s">
        <v>58</v>
      </c>
      <c r="E158" s="278" t="s">
        <v>58</v>
      </c>
      <c r="F158" s="278" t="s">
        <v>58</v>
      </c>
    </row>
    <row r="159" spans="1:6">
      <c r="A159" s="278">
        <v>2133</v>
      </c>
      <c r="B159" s="278" t="s">
        <v>58</v>
      </c>
      <c r="C159" s="278" t="s">
        <v>58</v>
      </c>
      <c r="D159" s="278" t="s">
        <v>58</v>
      </c>
      <c r="E159" s="278" t="s">
        <v>58</v>
      </c>
      <c r="F159" s="278" t="s">
        <v>58</v>
      </c>
    </row>
    <row r="160" spans="1:6">
      <c r="A160" s="278">
        <v>2134</v>
      </c>
      <c r="B160" s="278" t="s">
        <v>58</v>
      </c>
      <c r="C160" s="278" t="s">
        <v>58</v>
      </c>
      <c r="D160" s="278" t="s">
        <v>58</v>
      </c>
      <c r="E160" s="278" t="s">
        <v>58</v>
      </c>
      <c r="F160" s="278" t="s">
        <v>58</v>
      </c>
    </row>
    <row r="161" spans="1:6">
      <c r="A161" s="278">
        <v>2135</v>
      </c>
      <c r="B161" s="278" t="s">
        <v>58</v>
      </c>
      <c r="C161" s="278" t="s">
        <v>58</v>
      </c>
      <c r="D161" s="278" t="s">
        <v>58</v>
      </c>
      <c r="E161" s="278" t="s">
        <v>58</v>
      </c>
      <c r="F161" s="278" t="s">
        <v>58</v>
      </c>
    </row>
    <row r="162" spans="1:6">
      <c r="A162" s="278">
        <v>2136</v>
      </c>
      <c r="B162" s="278" t="s">
        <v>58</v>
      </c>
      <c r="C162" s="278" t="s">
        <v>58</v>
      </c>
      <c r="D162" s="278" t="s">
        <v>58</v>
      </c>
      <c r="E162" s="278" t="s">
        <v>58</v>
      </c>
      <c r="F162" s="278" t="s">
        <v>58</v>
      </c>
    </row>
    <row r="163" spans="1:6">
      <c r="A163" s="278">
        <v>2137</v>
      </c>
      <c r="B163" s="278" t="s">
        <v>58</v>
      </c>
      <c r="C163" s="278" t="s">
        <v>58</v>
      </c>
      <c r="D163" s="278" t="s">
        <v>58</v>
      </c>
      <c r="E163" s="278" t="s">
        <v>58</v>
      </c>
      <c r="F163" s="278" t="s">
        <v>58</v>
      </c>
    </row>
    <row r="164" spans="1:6">
      <c r="A164" s="278">
        <v>2138</v>
      </c>
      <c r="B164" s="278" t="s">
        <v>58</v>
      </c>
      <c r="C164" s="278" t="s">
        <v>58</v>
      </c>
      <c r="D164" s="278" t="s">
        <v>58</v>
      </c>
      <c r="E164" s="278" t="s">
        <v>58</v>
      </c>
      <c r="F164" s="278" t="s">
        <v>58</v>
      </c>
    </row>
    <row r="165" spans="1:6">
      <c r="A165" s="278">
        <v>2139</v>
      </c>
      <c r="B165" s="278" t="s">
        <v>58</v>
      </c>
      <c r="C165" s="278" t="s">
        <v>58</v>
      </c>
      <c r="D165" s="278" t="s">
        <v>58</v>
      </c>
      <c r="E165" s="278" t="s">
        <v>58</v>
      </c>
      <c r="F165" s="278" t="s">
        <v>58</v>
      </c>
    </row>
    <row r="166" spans="1:6">
      <c r="A166" s="278">
        <v>2140</v>
      </c>
      <c r="B166" s="278" t="s">
        <v>58</v>
      </c>
      <c r="C166" s="278" t="s">
        <v>58</v>
      </c>
      <c r="D166" s="278" t="s">
        <v>58</v>
      </c>
      <c r="E166" s="278" t="s">
        <v>58</v>
      </c>
      <c r="F166" s="278" t="s">
        <v>58</v>
      </c>
    </row>
    <row r="167" spans="1:6">
      <c r="A167" s="278">
        <v>2141</v>
      </c>
      <c r="B167" s="278" t="s">
        <v>58</v>
      </c>
      <c r="C167" s="278" t="s">
        <v>58</v>
      </c>
      <c r="D167" s="278" t="s">
        <v>58</v>
      </c>
      <c r="E167" s="278" t="s">
        <v>58</v>
      </c>
      <c r="F167" s="278" t="s">
        <v>58</v>
      </c>
    </row>
    <row r="168" spans="1:6">
      <c r="A168" s="278">
        <v>2142</v>
      </c>
      <c r="B168" s="278" t="s">
        <v>58</v>
      </c>
      <c r="C168" s="278" t="s">
        <v>58</v>
      </c>
      <c r="D168" s="278" t="s">
        <v>58</v>
      </c>
      <c r="E168" s="278" t="s">
        <v>58</v>
      </c>
      <c r="F168" s="278" t="s">
        <v>58</v>
      </c>
    </row>
    <row r="169" spans="1:6">
      <c r="A169" s="278">
        <v>2143</v>
      </c>
      <c r="B169" s="278" t="s">
        <v>58</v>
      </c>
      <c r="C169" s="278" t="s">
        <v>58</v>
      </c>
      <c r="D169" s="278" t="s">
        <v>58</v>
      </c>
      <c r="E169" s="278" t="s">
        <v>58</v>
      </c>
      <c r="F169" s="278" t="s">
        <v>58</v>
      </c>
    </row>
    <row r="170" spans="1:6">
      <c r="A170" s="278">
        <v>2144</v>
      </c>
      <c r="B170" s="278" t="s">
        <v>58</v>
      </c>
      <c r="C170" s="278" t="s">
        <v>58</v>
      </c>
      <c r="D170" s="278" t="s">
        <v>58</v>
      </c>
      <c r="E170" s="278" t="s">
        <v>58</v>
      </c>
      <c r="F170" s="278" t="s">
        <v>58</v>
      </c>
    </row>
    <row r="171" spans="1:6">
      <c r="A171" s="278">
        <v>2145</v>
      </c>
      <c r="B171" s="278" t="s">
        <v>58</v>
      </c>
      <c r="C171" s="278" t="s">
        <v>58</v>
      </c>
      <c r="D171" s="278" t="s">
        <v>58</v>
      </c>
      <c r="E171" s="278" t="s">
        <v>58</v>
      </c>
      <c r="F171" s="278" t="s">
        <v>58</v>
      </c>
    </row>
    <row r="172" spans="1:6">
      <c r="A172" s="278">
        <v>2146</v>
      </c>
      <c r="B172" s="278" t="s">
        <v>58</v>
      </c>
      <c r="C172" s="278" t="s">
        <v>58</v>
      </c>
      <c r="D172" s="278" t="s">
        <v>58</v>
      </c>
      <c r="E172" s="278" t="s">
        <v>58</v>
      </c>
      <c r="F172" s="278" t="s">
        <v>58</v>
      </c>
    </row>
    <row r="173" spans="1:6">
      <c r="A173" s="278">
        <v>2147</v>
      </c>
      <c r="B173" s="278" t="s">
        <v>58</v>
      </c>
      <c r="C173" s="278" t="s">
        <v>58</v>
      </c>
      <c r="D173" s="278" t="s">
        <v>58</v>
      </c>
      <c r="E173" s="278" t="s">
        <v>58</v>
      </c>
      <c r="F173" s="278" t="s">
        <v>58</v>
      </c>
    </row>
    <row r="174" spans="1:6">
      <c r="A174" s="278">
        <v>2148</v>
      </c>
      <c r="B174" s="278" t="s">
        <v>58</v>
      </c>
      <c r="C174" s="278" t="s">
        <v>58</v>
      </c>
      <c r="D174" s="278" t="s">
        <v>58</v>
      </c>
      <c r="E174" s="278" t="s">
        <v>58</v>
      </c>
      <c r="F174" s="278" t="s">
        <v>58</v>
      </c>
    </row>
    <row r="175" spans="1:6">
      <c r="A175" s="278">
        <v>2149</v>
      </c>
      <c r="B175" s="278" t="s">
        <v>58</v>
      </c>
      <c r="C175" s="278" t="s">
        <v>58</v>
      </c>
      <c r="D175" s="278" t="s">
        <v>58</v>
      </c>
      <c r="E175" s="278" t="s">
        <v>58</v>
      </c>
      <c r="F175" s="278" t="s">
        <v>58</v>
      </c>
    </row>
    <row r="176" spans="1:6">
      <c r="A176" s="278">
        <v>2150</v>
      </c>
      <c r="B176" s="278" t="s">
        <v>58</v>
      </c>
      <c r="C176" s="278" t="s">
        <v>58</v>
      </c>
      <c r="D176" s="278" t="s">
        <v>58</v>
      </c>
      <c r="E176" s="278" t="s">
        <v>58</v>
      </c>
      <c r="F176" s="278" t="s">
        <v>58</v>
      </c>
    </row>
    <row r="177" spans="1:6">
      <c r="A177" s="278">
        <v>2151</v>
      </c>
      <c r="B177" s="278" t="s">
        <v>58</v>
      </c>
      <c r="C177" s="278" t="s">
        <v>58</v>
      </c>
      <c r="D177" s="278" t="s">
        <v>58</v>
      </c>
      <c r="E177" s="278" t="s">
        <v>58</v>
      </c>
      <c r="F177" s="278" t="s">
        <v>58</v>
      </c>
    </row>
    <row r="178" spans="1:6">
      <c r="A178" s="278">
        <v>2152</v>
      </c>
      <c r="B178" s="278" t="s">
        <v>58</v>
      </c>
      <c r="C178" s="278" t="s">
        <v>58</v>
      </c>
      <c r="D178" s="278" t="s">
        <v>58</v>
      </c>
      <c r="E178" s="278" t="s">
        <v>58</v>
      </c>
      <c r="F178" s="278" t="s">
        <v>58</v>
      </c>
    </row>
    <row r="179" spans="1:6">
      <c r="A179" s="278">
        <v>2153</v>
      </c>
      <c r="B179" s="278" t="s">
        <v>58</v>
      </c>
      <c r="C179" s="278" t="s">
        <v>58</v>
      </c>
      <c r="D179" s="278" t="s">
        <v>58</v>
      </c>
      <c r="E179" s="278" t="s">
        <v>58</v>
      </c>
      <c r="F179" s="278" t="s">
        <v>58</v>
      </c>
    </row>
    <row r="180" spans="1:6">
      <c r="A180" s="278">
        <v>2154</v>
      </c>
      <c r="B180" s="278" t="s">
        <v>58</v>
      </c>
      <c r="C180" s="278" t="s">
        <v>58</v>
      </c>
      <c r="D180" s="278" t="s">
        <v>58</v>
      </c>
      <c r="E180" s="278" t="s">
        <v>58</v>
      </c>
      <c r="F180" s="278" t="s">
        <v>58</v>
      </c>
    </row>
    <row r="181" spans="1:6">
      <c r="A181" s="278">
        <v>2155</v>
      </c>
      <c r="B181" s="278" t="s">
        <v>58</v>
      </c>
      <c r="C181" s="278" t="s">
        <v>58</v>
      </c>
      <c r="D181" s="278" t="s">
        <v>58</v>
      </c>
      <c r="E181" s="278" t="s">
        <v>58</v>
      </c>
      <c r="F181" s="278" t="s">
        <v>58</v>
      </c>
    </row>
    <row r="182" spans="1:6">
      <c r="A182" s="278">
        <v>2156</v>
      </c>
      <c r="B182" s="278" t="s">
        <v>58</v>
      </c>
      <c r="C182" s="278" t="s">
        <v>58</v>
      </c>
      <c r="D182" s="278" t="s">
        <v>58</v>
      </c>
      <c r="E182" s="278" t="s">
        <v>58</v>
      </c>
      <c r="F182" s="278" t="s">
        <v>58</v>
      </c>
    </row>
    <row r="183" spans="1:6">
      <c r="A183" s="278">
        <v>2157</v>
      </c>
      <c r="B183" s="278" t="s">
        <v>58</v>
      </c>
      <c r="C183" s="278" t="s">
        <v>58</v>
      </c>
      <c r="D183" s="278" t="s">
        <v>58</v>
      </c>
      <c r="E183" s="278" t="s">
        <v>58</v>
      </c>
      <c r="F183" s="278" t="s">
        <v>58</v>
      </c>
    </row>
    <row r="184" spans="1:6">
      <c r="A184" s="278">
        <v>2158</v>
      </c>
      <c r="B184" s="278" t="s">
        <v>58</v>
      </c>
      <c r="C184" s="278" t="s">
        <v>58</v>
      </c>
      <c r="D184" s="278" t="s">
        <v>58</v>
      </c>
      <c r="E184" s="278" t="s">
        <v>58</v>
      </c>
      <c r="F184" s="278" t="s">
        <v>58</v>
      </c>
    </row>
    <row r="185" spans="1:6">
      <c r="A185" s="278">
        <v>2159</v>
      </c>
      <c r="B185" s="278" t="s">
        <v>58</v>
      </c>
      <c r="C185" s="278" t="s">
        <v>58</v>
      </c>
      <c r="D185" s="278" t="s">
        <v>58</v>
      </c>
      <c r="E185" s="278" t="s">
        <v>58</v>
      </c>
      <c r="F185" s="278" t="s">
        <v>58</v>
      </c>
    </row>
    <row r="186" spans="1:6">
      <c r="A186" s="278">
        <v>2160</v>
      </c>
      <c r="B186" s="278" t="s">
        <v>58</v>
      </c>
      <c r="C186" s="278" t="s">
        <v>58</v>
      </c>
      <c r="D186" s="278" t="s">
        <v>58</v>
      </c>
      <c r="E186" s="278" t="s">
        <v>58</v>
      </c>
      <c r="F186" s="278" t="s">
        <v>58</v>
      </c>
    </row>
    <row r="187" spans="1:6">
      <c r="A187" s="278">
        <v>2161</v>
      </c>
      <c r="B187" s="278" t="s">
        <v>58</v>
      </c>
      <c r="C187" s="278" t="s">
        <v>58</v>
      </c>
      <c r="D187" s="278" t="s">
        <v>58</v>
      </c>
      <c r="E187" s="278" t="s">
        <v>58</v>
      </c>
      <c r="F187" s="278" t="s">
        <v>58</v>
      </c>
    </row>
    <row r="188" spans="1:6">
      <c r="A188" s="278">
        <v>2162</v>
      </c>
      <c r="B188" s="278" t="s">
        <v>58</v>
      </c>
      <c r="C188" s="278" t="s">
        <v>58</v>
      </c>
      <c r="D188" s="278" t="s">
        <v>58</v>
      </c>
      <c r="E188" s="278" t="s">
        <v>58</v>
      </c>
      <c r="F188" s="278" t="s">
        <v>58</v>
      </c>
    </row>
    <row r="189" spans="1:6">
      <c r="A189" s="278">
        <v>2163</v>
      </c>
      <c r="B189" s="278" t="s">
        <v>58</v>
      </c>
      <c r="C189" s="278" t="s">
        <v>58</v>
      </c>
      <c r="D189" s="278" t="s">
        <v>58</v>
      </c>
      <c r="E189" s="278" t="s">
        <v>58</v>
      </c>
      <c r="F189" s="278" t="s">
        <v>58</v>
      </c>
    </row>
    <row r="190" spans="1:6">
      <c r="A190" s="278">
        <v>2164</v>
      </c>
      <c r="B190" s="278" t="s">
        <v>58</v>
      </c>
      <c r="C190" s="278" t="s">
        <v>58</v>
      </c>
      <c r="D190" s="278" t="s">
        <v>58</v>
      </c>
      <c r="E190" s="278" t="s">
        <v>58</v>
      </c>
      <c r="F190" s="278" t="s">
        <v>58</v>
      </c>
    </row>
    <row r="191" spans="1:6">
      <c r="A191" s="278">
        <v>2165</v>
      </c>
      <c r="B191" s="278" t="s">
        <v>58</v>
      </c>
      <c r="C191" s="278" t="s">
        <v>58</v>
      </c>
      <c r="D191" s="278" t="s">
        <v>58</v>
      </c>
      <c r="E191" s="278" t="s">
        <v>58</v>
      </c>
      <c r="F191" s="278" t="s">
        <v>58</v>
      </c>
    </row>
    <row r="192" spans="1:6">
      <c r="A192" s="278">
        <v>2166</v>
      </c>
      <c r="B192" s="278" t="s">
        <v>58</v>
      </c>
      <c r="C192" s="278" t="s">
        <v>58</v>
      </c>
      <c r="D192" s="278" t="s">
        <v>58</v>
      </c>
      <c r="E192" s="278" t="s">
        <v>58</v>
      </c>
      <c r="F192" s="278" t="s">
        <v>58</v>
      </c>
    </row>
    <row r="193" spans="1:6">
      <c r="A193" s="278">
        <v>2167</v>
      </c>
      <c r="B193" s="278" t="s">
        <v>58</v>
      </c>
      <c r="C193" s="278" t="s">
        <v>58</v>
      </c>
      <c r="D193" s="278" t="s">
        <v>58</v>
      </c>
      <c r="E193" s="278" t="s">
        <v>58</v>
      </c>
      <c r="F193" s="278" t="s">
        <v>58</v>
      </c>
    </row>
    <row r="194" spans="1:6">
      <c r="A194" s="278">
        <v>2168</v>
      </c>
      <c r="B194" s="278" t="s">
        <v>58</v>
      </c>
      <c r="C194" s="278" t="s">
        <v>58</v>
      </c>
      <c r="D194" s="278" t="s">
        <v>58</v>
      </c>
      <c r="E194" s="278" t="s">
        <v>58</v>
      </c>
      <c r="F194" s="278" t="s">
        <v>58</v>
      </c>
    </row>
    <row r="195" spans="1:6">
      <c r="A195" s="278">
        <v>2169</v>
      </c>
      <c r="B195" s="278" t="s">
        <v>58</v>
      </c>
      <c r="C195" s="278" t="s">
        <v>58</v>
      </c>
      <c r="D195" s="278" t="s">
        <v>58</v>
      </c>
      <c r="E195" s="278" t="s">
        <v>58</v>
      </c>
      <c r="F195" s="278" t="s">
        <v>58</v>
      </c>
    </row>
    <row r="196" spans="1:6">
      <c r="A196" s="278">
        <v>2170</v>
      </c>
      <c r="B196" s="278" t="s">
        <v>58</v>
      </c>
      <c r="C196" s="278" t="s">
        <v>58</v>
      </c>
      <c r="D196" s="278" t="s">
        <v>58</v>
      </c>
      <c r="E196" s="278" t="s">
        <v>58</v>
      </c>
      <c r="F196" s="278" t="s">
        <v>58</v>
      </c>
    </row>
    <row r="197" spans="1:6">
      <c r="A197" s="278">
        <v>2171</v>
      </c>
      <c r="B197" s="278" t="s">
        <v>58</v>
      </c>
      <c r="C197" s="278" t="s">
        <v>58</v>
      </c>
      <c r="D197" s="278" t="s">
        <v>58</v>
      </c>
      <c r="E197" s="278" t="s">
        <v>58</v>
      </c>
      <c r="F197" s="278" t="s">
        <v>58</v>
      </c>
    </row>
    <row r="198" spans="1:6">
      <c r="A198" s="278">
        <v>2172</v>
      </c>
      <c r="B198" s="278" t="s">
        <v>58</v>
      </c>
      <c r="C198" s="278" t="s">
        <v>58</v>
      </c>
      <c r="D198" s="278" t="s">
        <v>58</v>
      </c>
      <c r="E198" s="278" t="s">
        <v>58</v>
      </c>
      <c r="F198" s="278" t="s">
        <v>58</v>
      </c>
    </row>
    <row r="199" spans="1:6">
      <c r="A199" s="278">
        <v>2173</v>
      </c>
      <c r="B199" s="278" t="s">
        <v>58</v>
      </c>
      <c r="C199" s="278" t="s">
        <v>58</v>
      </c>
      <c r="D199" s="278" t="s">
        <v>58</v>
      </c>
      <c r="E199" s="278" t="s">
        <v>58</v>
      </c>
      <c r="F199" s="278" t="s">
        <v>58</v>
      </c>
    </row>
    <row r="200" spans="1:6">
      <c r="A200" s="278">
        <v>2174</v>
      </c>
      <c r="B200" s="278" t="s">
        <v>58</v>
      </c>
      <c r="C200" s="278" t="s">
        <v>58</v>
      </c>
      <c r="D200" s="278" t="s">
        <v>58</v>
      </c>
      <c r="E200" s="278" t="s">
        <v>58</v>
      </c>
      <c r="F200" s="278" t="s">
        <v>58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46</vt:i4>
      </vt:variant>
    </vt:vector>
  </HeadingPairs>
  <TitlesOfParts>
    <vt:vector size="63" baseType="lpstr">
      <vt:lpstr>0 Instructions</vt:lpstr>
      <vt:lpstr>1 Inputs</vt:lpstr>
      <vt:lpstr>2 Materials</vt:lpstr>
      <vt:lpstr>3a Step Method</vt:lpstr>
      <vt:lpstr>3b Equip</vt:lpstr>
      <vt:lpstr>3c Utilities</vt:lpstr>
      <vt:lpstr>3d CapEx</vt:lpstr>
      <vt:lpstr>3e OpEx</vt:lpstr>
      <vt:lpstr>4 Spent Catalyst</vt:lpstr>
      <vt:lpstr>5 Outputs</vt:lpstr>
      <vt:lpstr>Materials Library</vt:lpstr>
      <vt:lpstr>Step Library</vt:lpstr>
      <vt:lpstr>Equip. Library</vt:lpstr>
      <vt:lpstr>Spent Cat Library</vt:lpstr>
      <vt:lpstr>UnitConv</vt:lpstr>
      <vt:lpstr>ChemPPI</vt:lpstr>
      <vt:lpstr>CEPCI</vt:lpstr>
      <vt:lpstr>ActualProduction</vt:lpstr>
      <vt:lpstr>APWeightPercent</vt:lpstr>
      <vt:lpstr>BasisYear</vt:lpstr>
      <vt:lpstr>BasisYearRange</vt:lpstr>
      <vt:lpstr>CurrencySymbol</vt:lpstr>
      <vt:lpstr>DesignProductionRate</vt:lpstr>
      <vt:lpstr>EquipInstalled</vt:lpstr>
      <vt:lpstr>EquipPurchase</vt:lpstr>
      <vt:lpstr>EstimateName</vt:lpstr>
      <vt:lpstr>FCI</vt:lpstr>
      <vt:lpstr>FlatMargin</vt:lpstr>
      <vt:lpstr>GeneralExp</vt:lpstr>
      <vt:lpstr>LaborFacTotal</vt:lpstr>
      <vt:lpstr>LaborHours</vt:lpstr>
      <vt:lpstr>LSM</vt:lpstr>
      <vt:lpstr>MassUnits</vt:lpstr>
      <vt:lpstr>MaterialsAnnualCost</vt:lpstr>
      <vt:lpstr>MaterialsUnitCost</vt:lpstr>
      <vt:lpstr>molar_volume_scf_def</vt:lpstr>
      <vt:lpstr>OutMassUnit</vt:lpstr>
      <vt:lpstr>PlantLife</vt:lpstr>
      <vt:lpstr>ProcEstApproach</vt:lpstr>
      <vt:lpstr>RawMaterialNames</vt:lpstr>
      <vt:lpstr>ROI</vt:lpstr>
      <vt:lpstr>SpentDensNames</vt:lpstr>
      <vt:lpstr>SpentHazNames</vt:lpstr>
      <vt:lpstr>SpentMetals</vt:lpstr>
      <vt:lpstr>SpentSupports</vt:lpstr>
      <vt:lpstr>SpentValue</vt:lpstr>
      <vt:lpstr>StepCampaignTime</vt:lpstr>
      <vt:lpstr>StepCampaignTotal</vt:lpstr>
      <vt:lpstr>StepEquipSize</vt:lpstr>
      <vt:lpstr>StepGnA</vt:lpstr>
      <vt:lpstr>StepMargin</vt:lpstr>
      <vt:lpstr>StepNames</vt:lpstr>
      <vt:lpstr>StepOrderSize</vt:lpstr>
      <vt:lpstr>StepOrderSizeOut</vt:lpstr>
      <vt:lpstr>StepSARD</vt:lpstr>
      <vt:lpstr>StepUnitTotal</vt:lpstr>
      <vt:lpstr>TCI</vt:lpstr>
      <vt:lpstr>TIRO</vt:lpstr>
      <vt:lpstr>Units</vt:lpstr>
      <vt:lpstr>UtilitiesAnnualCost</vt:lpstr>
      <vt:lpstr>UtilitiesUnitCost</vt:lpstr>
      <vt:lpstr>Version</vt:lpstr>
      <vt:lpstr>WorkingCapital</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Van Allsburg</dc:creator>
  <cp:lastModifiedBy>Andy Young</cp:lastModifiedBy>
  <dcterms:created xsi:type="dcterms:W3CDTF">2017-01-04T16:59:03Z</dcterms:created>
  <dcterms:modified xsi:type="dcterms:W3CDTF">2021-01-13T20:03:40Z</dcterms:modified>
</cp:coreProperties>
</file>