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ayoung\Documents\catcost\"/>
    </mc:Choice>
  </mc:AlternateContent>
  <xr:revisionPtr revIDLastSave="0" documentId="13_ncr:1_{B7D85BDE-FD4D-458F-A468-1654DB33D138}" xr6:coauthVersionLast="46" xr6:coauthVersionMax="46" xr10:uidLastSave="{00000000-0000-0000-0000-000000000000}"/>
  <bookViews>
    <workbookView xWindow="-120" yWindow="-120" windowWidth="29040" windowHeight="16440" tabRatio="716" activeTab="1"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Library'!$B$1:$B$2032,0)-1)&amp;"C"&amp;COUNTA('Equip. Library'!$A$1:$CV$1),FALSE)</definedName>
    <definedName name="fnEquipNames">'Equip. Library'!$B$2:INDEX('Equip. Library'!$B$2:$B$2032,MATCH("END",'Equip. Library'!$B$2:$B$2032,0)-1)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8" i="9" l="1"/>
  <c r="C67" i="9"/>
  <c r="E277" i="13"/>
  <c r="E262" i="13"/>
  <c r="E274" i="13"/>
  <c r="E266" i="13"/>
  <c r="E271" i="13"/>
  <c r="E273" i="13"/>
  <c r="E269" i="13"/>
  <c r="E263" i="13"/>
  <c r="E261" i="13"/>
  <c r="E278" i="13"/>
  <c r="E264" i="13"/>
  <c r="E267" i="13"/>
  <c r="E270" i="13"/>
  <c r="E275" i="13"/>
  <c r="E268" i="13"/>
  <c r="E272" i="13"/>
  <c r="E276" i="13"/>
  <c r="E265" i="13"/>
  <c r="W629" i="6"/>
  <c r="AG629" i="6"/>
  <c r="AH629" i="6"/>
  <c r="W628" i="6"/>
  <c r="AG628" i="6"/>
  <c r="AH628" i="6"/>
  <c r="W627" i="6"/>
  <c r="AF627" i="6"/>
  <c r="AH627" i="6"/>
  <c r="W626" i="6"/>
  <c r="AG626" i="6"/>
  <c r="AH626" i="6"/>
  <c r="W625" i="6"/>
  <c r="AI625" i="6"/>
  <c r="AH625" i="6"/>
  <c r="W624" i="6"/>
  <c r="AG624" i="6"/>
  <c r="AH624" i="6"/>
  <c r="W623" i="6"/>
  <c r="AI623" i="6"/>
  <c r="AH623" i="6"/>
  <c r="W622" i="6"/>
  <c r="AI622" i="6"/>
  <c r="AH622" i="6"/>
  <c r="AF629" i="6"/>
  <c r="AI629" i="6"/>
  <c r="AF628" i="6"/>
  <c r="AG627" i="6"/>
  <c r="AI628" i="6"/>
  <c r="AI627" i="6"/>
  <c r="AI626" i="6"/>
  <c r="AF626" i="6"/>
  <c r="AI624" i="6"/>
  <c r="AG625" i="6"/>
  <c r="AF625" i="6"/>
  <c r="AF624" i="6"/>
  <c r="AF623" i="6"/>
  <c r="AG623" i="6"/>
  <c r="AG622" i="6"/>
  <c r="AF622" i="6"/>
  <c r="I55" i="3"/>
  <c r="I54" i="3"/>
  <c r="I53" i="3"/>
  <c r="I52" i="3"/>
  <c r="I51" i="3"/>
  <c r="I33" i="3"/>
  <c r="I34" i="3"/>
  <c r="I35" i="3"/>
  <c r="I36" i="3"/>
  <c r="I32" i="3"/>
  <c r="I22" i="3"/>
  <c r="I23" i="3"/>
  <c r="I24" i="3"/>
  <c r="I25" i="3"/>
  <c r="I21" i="3"/>
  <c r="C121" i="9"/>
  <c r="D85" i="9"/>
  <c r="D43" i="9"/>
  <c r="D15" i="9"/>
  <c r="C83" i="9"/>
  <c r="C41" i="9"/>
  <c r="C13" i="9"/>
  <c r="C120" i="9"/>
  <c r="E92" i="9"/>
  <c r="D87" i="9"/>
  <c r="E90" i="9"/>
  <c r="E89" i="9"/>
  <c r="D89" i="9"/>
  <c r="E45" i="9"/>
  <c r="E44" i="9"/>
  <c r="D44" i="9"/>
  <c r="D16" i="9"/>
  <c r="C49" i="9"/>
  <c r="C9" i="1"/>
  <c r="C8" i="1"/>
  <c r="K266" i="13"/>
  <c r="L266" i="13"/>
  <c r="K267" i="13"/>
  <c r="L267" i="13"/>
  <c r="K268" i="13"/>
  <c r="L268"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N39" i="2"/>
  <c r="N37" i="2"/>
  <c r="N45" i="2"/>
  <c r="K269" i="13"/>
  <c r="L269" i="13"/>
  <c r="K265" i="13"/>
  <c r="L265" i="13"/>
  <c r="G7" i="3"/>
  <c r="G12" i="3"/>
  <c r="G11" i="3"/>
  <c r="E7" i="22"/>
  <c r="E450" i="22"/>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c r="K23" i="2"/>
  <c r="K25" i="2"/>
  <c r="K24" i="2"/>
  <c r="K26" i="2"/>
  <c r="B1" i="9"/>
  <c r="B1" i="23"/>
  <c r="B1" i="11"/>
  <c r="B1" i="12"/>
  <c r="B1" i="18"/>
  <c r="B1" i="13"/>
  <c r="B1" i="22"/>
  <c r="B1" i="3"/>
  <c r="B1" i="2"/>
  <c r="K31" i="2"/>
  <c r="W55" i="6"/>
  <c r="AF55" i="6"/>
  <c r="W142" i="6"/>
  <c r="AI142" i="6"/>
  <c r="W143" i="6"/>
  <c r="AF143" i="6"/>
  <c r="W224" i="6"/>
  <c r="AG224" i="6"/>
  <c r="W240" i="6"/>
  <c r="AG240" i="6"/>
  <c r="W241" i="6"/>
  <c r="AF241" i="6"/>
  <c r="W329" i="6"/>
  <c r="AF329" i="6"/>
  <c r="W349" i="6"/>
  <c r="AF349" i="6"/>
  <c r="W359" i="6"/>
  <c r="W400" i="6"/>
  <c r="AG400" i="6"/>
  <c r="W476" i="6"/>
  <c r="AG476" i="6"/>
  <c r="W477" i="6"/>
  <c r="AF477" i="6"/>
  <c r="W488" i="6"/>
  <c r="AI488" i="6"/>
  <c r="W600" i="6"/>
  <c r="AI600" i="6"/>
  <c r="AF359" i="6"/>
  <c r="AG55" i="6"/>
  <c r="AG359" i="6"/>
  <c r="AH55" i="6"/>
  <c r="AH142" i="6"/>
  <c r="AH143" i="6"/>
  <c r="AH224" i="6"/>
  <c r="AH240" i="6"/>
  <c r="AH241" i="6"/>
  <c r="AH329" i="6"/>
  <c r="AH349" i="6"/>
  <c r="AH359" i="6"/>
  <c r="AH400" i="6"/>
  <c r="AH476" i="6"/>
  <c r="AH477" i="6"/>
  <c r="AH488" i="6"/>
  <c r="AH600" i="6"/>
  <c r="AI55" i="6"/>
  <c r="AI143" i="6"/>
  <c r="AI359" i="6"/>
  <c r="AI400" i="6"/>
  <c r="AF224" i="6"/>
  <c r="AF400" i="6"/>
  <c r="AI476" i="6"/>
  <c r="AF240" i="6"/>
  <c r="AF476" i="6"/>
  <c r="AG143" i="6"/>
  <c r="AF488" i="6"/>
  <c r="AI224" i="6"/>
  <c r="AF600" i="6"/>
  <c r="AG488" i="6"/>
  <c r="AG600" i="6"/>
  <c r="AG477" i="6"/>
  <c r="AI477" i="6"/>
  <c r="AI240" i="6"/>
  <c r="AG349" i="6"/>
  <c r="AG241" i="6"/>
  <c r="AI349" i="6"/>
  <c r="AI329" i="6"/>
  <c r="AG329" i="6"/>
  <c r="AI241" i="6"/>
  <c r="AF142" i="6"/>
  <c r="AG142" i="6"/>
  <c r="C6" i="18"/>
  <c r="W17" i="6"/>
  <c r="AG17" i="6"/>
  <c r="W18" i="6"/>
  <c r="AF18" i="6"/>
  <c r="W19" i="6"/>
  <c r="AI19" i="6"/>
  <c r="W20" i="6"/>
  <c r="AG20" i="6"/>
  <c r="W21" i="6"/>
  <c r="AI21" i="6"/>
  <c r="W22" i="6"/>
  <c r="W23" i="6"/>
  <c r="AF23" i="6"/>
  <c r="W24" i="6"/>
  <c r="AI24" i="6"/>
  <c r="W25" i="6"/>
  <c r="AG25" i="6"/>
  <c r="W26" i="6"/>
  <c r="AI26" i="6"/>
  <c r="W27" i="6"/>
  <c r="AI27" i="6"/>
  <c r="W28" i="6"/>
  <c r="AF28" i="6"/>
  <c r="W29" i="6"/>
  <c r="AI29" i="6"/>
  <c r="W30" i="6"/>
  <c r="W31" i="6"/>
  <c r="AF31" i="6"/>
  <c r="W32" i="6"/>
  <c r="AI32" i="6"/>
  <c r="W33" i="6"/>
  <c r="AF33" i="6"/>
  <c r="W34" i="6"/>
  <c r="AF34" i="6"/>
  <c r="W35" i="6"/>
  <c r="AI35" i="6"/>
  <c r="W36" i="6"/>
  <c r="AI36" i="6"/>
  <c r="W37" i="6"/>
  <c r="AF37" i="6"/>
  <c r="W38" i="6"/>
  <c r="W39" i="6"/>
  <c r="W40" i="6"/>
  <c r="AI40" i="6"/>
  <c r="W41" i="6"/>
  <c r="AI41" i="6"/>
  <c r="W42" i="6"/>
  <c r="AI42" i="6"/>
  <c r="W43" i="6"/>
  <c r="AI43" i="6"/>
  <c r="W44" i="6"/>
  <c r="AG44" i="6"/>
  <c r="W45" i="6"/>
  <c r="AI45" i="6"/>
  <c r="W46" i="6"/>
  <c r="W47" i="6"/>
  <c r="W48" i="6"/>
  <c r="AI48" i="6"/>
  <c r="W49" i="6"/>
  <c r="AG49" i="6"/>
  <c r="W50" i="6"/>
  <c r="AF50" i="6"/>
  <c r="W51" i="6"/>
  <c r="AI51" i="6"/>
  <c r="W52" i="6"/>
  <c r="AF52" i="6"/>
  <c r="W53" i="6"/>
  <c r="W54" i="6"/>
  <c r="W56" i="6"/>
  <c r="AI56" i="6"/>
  <c r="W57" i="6"/>
  <c r="AG57" i="6"/>
  <c r="W58" i="6"/>
  <c r="AF58" i="6"/>
  <c r="W59" i="6"/>
  <c r="AI59" i="6"/>
  <c r="W60" i="6"/>
  <c r="AF60" i="6"/>
  <c r="W61" i="6"/>
  <c r="AI61" i="6"/>
  <c r="W62" i="6"/>
  <c r="W63" i="6"/>
  <c r="W64" i="6"/>
  <c r="AF64" i="6"/>
  <c r="W65" i="6"/>
  <c r="AG65" i="6"/>
  <c r="W66" i="6"/>
  <c r="AI66" i="6"/>
  <c r="W67" i="6"/>
  <c r="AI67" i="6"/>
  <c r="W68" i="6"/>
  <c r="AI68" i="6"/>
  <c r="W69" i="6"/>
  <c r="AG69" i="6"/>
  <c r="W70" i="6"/>
  <c r="W71" i="6"/>
  <c r="W72" i="6"/>
  <c r="AF72" i="6"/>
  <c r="W73" i="6"/>
  <c r="AI73" i="6"/>
  <c r="W74" i="6"/>
  <c r="AG74" i="6"/>
  <c r="W75" i="6"/>
  <c r="AF75" i="6"/>
  <c r="W76" i="6"/>
  <c r="AF76" i="6"/>
  <c r="W77" i="6"/>
  <c r="AF77" i="6"/>
  <c r="W78" i="6"/>
  <c r="AI78" i="6"/>
  <c r="W79" i="6"/>
  <c r="W80" i="6"/>
  <c r="AF80" i="6"/>
  <c r="W81" i="6"/>
  <c r="AI81" i="6"/>
  <c r="W82" i="6"/>
  <c r="AF82" i="6"/>
  <c r="W83" i="6"/>
  <c r="AI83" i="6"/>
  <c r="W84" i="6"/>
  <c r="AI84" i="6"/>
  <c r="W85" i="6"/>
  <c r="AI85" i="6"/>
  <c r="W86" i="6"/>
  <c r="AI86" i="6"/>
  <c r="W87" i="6"/>
  <c r="W88" i="6"/>
  <c r="AG88" i="6"/>
  <c r="W89" i="6"/>
  <c r="AF89" i="6"/>
  <c r="W90" i="6"/>
  <c r="AI90" i="6"/>
  <c r="W91" i="6"/>
  <c r="AF91" i="6"/>
  <c r="W92" i="6"/>
  <c r="AF92" i="6"/>
  <c r="W93" i="6"/>
  <c r="W94" i="6"/>
  <c r="W95" i="6"/>
  <c r="W96" i="6"/>
  <c r="AF96" i="6"/>
  <c r="W97" i="6"/>
  <c r="AG97" i="6"/>
  <c r="W98" i="6"/>
  <c r="AG98" i="6"/>
  <c r="W99" i="6"/>
  <c r="AI99" i="6"/>
  <c r="W100" i="6"/>
  <c r="AF100" i="6"/>
  <c r="W101" i="6"/>
  <c r="W102" i="6"/>
  <c r="W103" i="6"/>
  <c r="AI103" i="6"/>
  <c r="W104" i="6"/>
  <c r="AG104" i="6"/>
  <c r="W105" i="6"/>
  <c r="AI105" i="6"/>
  <c r="W106" i="6"/>
  <c r="AF106" i="6"/>
  <c r="W107" i="6"/>
  <c r="AI107" i="6"/>
  <c r="W108" i="6"/>
  <c r="AI108" i="6"/>
  <c r="W109" i="6"/>
  <c r="W110" i="6"/>
  <c r="W111" i="6"/>
  <c r="AI111" i="6"/>
  <c r="W112" i="6"/>
  <c r="AG112" i="6"/>
  <c r="W113" i="6"/>
  <c r="AI113" i="6"/>
  <c r="W114" i="6"/>
  <c r="AI114" i="6"/>
  <c r="W115" i="6"/>
  <c r="AF115" i="6"/>
  <c r="W116" i="6"/>
  <c r="AF116" i="6"/>
  <c r="W117" i="6"/>
  <c r="AG117" i="6"/>
  <c r="W118" i="6"/>
  <c r="AG118" i="6"/>
  <c r="W119" i="6"/>
  <c r="AI119" i="6"/>
  <c r="W120" i="6"/>
  <c r="AF120" i="6"/>
  <c r="W121" i="6"/>
  <c r="AF121" i="6"/>
  <c r="W122" i="6"/>
  <c r="W123" i="6"/>
  <c r="W124" i="6"/>
  <c r="AI124" i="6"/>
  <c r="W125" i="6"/>
  <c r="AI125" i="6"/>
  <c r="W126" i="6"/>
  <c r="AI126" i="6"/>
  <c r="W127" i="6"/>
  <c r="AI127" i="6"/>
  <c r="W128" i="6"/>
  <c r="AF128" i="6"/>
  <c r="W129" i="6"/>
  <c r="AG129" i="6"/>
  <c r="W130" i="6"/>
  <c r="W131" i="6"/>
  <c r="AF131" i="6"/>
  <c r="W132" i="6"/>
  <c r="AG132" i="6"/>
  <c r="W133" i="6"/>
  <c r="AG133" i="6"/>
  <c r="W134" i="6"/>
  <c r="AI134" i="6"/>
  <c r="W135" i="6"/>
  <c r="W136" i="6"/>
  <c r="AF136" i="6"/>
  <c r="W137" i="6"/>
  <c r="AI137" i="6"/>
  <c r="W138" i="6"/>
  <c r="W139" i="6"/>
  <c r="W140" i="6"/>
  <c r="AG140" i="6"/>
  <c r="W141" i="6"/>
  <c r="AI141" i="6"/>
  <c r="W144" i="6"/>
  <c r="AF144" i="6"/>
  <c r="W145" i="6"/>
  <c r="AI145" i="6"/>
  <c r="W146" i="6"/>
  <c r="AI146" i="6"/>
  <c r="W147" i="6"/>
  <c r="AI147" i="6"/>
  <c r="W148" i="6"/>
  <c r="AI148" i="6"/>
  <c r="W149" i="6"/>
  <c r="W150" i="6"/>
  <c r="W151" i="6"/>
  <c r="AF151" i="6"/>
  <c r="W152" i="6"/>
  <c r="AI152" i="6"/>
  <c r="W153" i="6"/>
  <c r="AG153" i="6"/>
  <c r="W154" i="6"/>
  <c r="AG154" i="6"/>
  <c r="W155" i="6"/>
  <c r="AF155" i="6"/>
  <c r="W156" i="6"/>
  <c r="AF156" i="6"/>
  <c r="W157" i="6"/>
  <c r="W158" i="6"/>
  <c r="AF158" i="6"/>
  <c r="W159" i="6"/>
  <c r="AI159" i="6"/>
  <c r="W160" i="6"/>
  <c r="AG160" i="6"/>
  <c r="W161" i="6"/>
  <c r="W162" i="6"/>
  <c r="AG162" i="6"/>
  <c r="W163" i="6"/>
  <c r="AG163" i="6"/>
  <c r="W164" i="6"/>
  <c r="AF164" i="6"/>
  <c r="W165" i="6"/>
  <c r="W166" i="6"/>
  <c r="W167" i="6"/>
  <c r="AF167" i="6"/>
  <c r="W168" i="6"/>
  <c r="AI168" i="6"/>
  <c r="W169" i="6"/>
  <c r="AI169" i="6"/>
  <c r="W170" i="6"/>
  <c r="AF170" i="6"/>
  <c r="W171" i="6"/>
  <c r="AG171" i="6"/>
  <c r="W172" i="6"/>
  <c r="AG172" i="6"/>
  <c r="W173" i="6"/>
  <c r="W174" i="6"/>
  <c r="W175" i="6"/>
  <c r="AI175" i="6"/>
  <c r="W176" i="6"/>
  <c r="AI176" i="6"/>
  <c r="W177" i="6"/>
  <c r="AI177" i="6"/>
  <c r="W178" i="6"/>
  <c r="AF178" i="6"/>
  <c r="W179" i="6"/>
  <c r="AI179" i="6"/>
  <c r="W180" i="6"/>
  <c r="W181" i="6"/>
  <c r="AF181" i="6"/>
  <c r="W182" i="6"/>
  <c r="AF182" i="6"/>
  <c r="W183" i="6"/>
  <c r="AF183" i="6"/>
  <c r="W184" i="6"/>
  <c r="AG184" i="6"/>
  <c r="W185" i="6"/>
  <c r="AF185" i="6"/>
  <c r="W186" i="6"/>
  <c r="AF186" i="6"/>
  <c r="W187" i="6"/>
  <c r="AF187" i="6"/>
  <c r="W188" i="6"/>
  <c r="W189" i="6"/>
  <c r="AG189" i="6"/>
  <c r="W190" i="6"/>
  <c r="AI190" i="6"/>
  <c r="W191" i="6"/>
  <c r="AI191" i="6"/>
  <c r="W192" i="6"/>
  <c r="AF192" i="6"/>
  <c r="W193" i="6"/>
  <c r="AF193" i="6"/>
  <c r="W194" i="6"/>
  <c r="AF194" i="6"/>
  <c r="W195" i="6"/>
  <c r="AG195" i="6"/>
  <c r="W196" i="6"/>
  <c r="W197" i="6"/>
  <c r="W198" i="6"/>
  <c r="AF198" i="6"/>
  <c r="W199" i="6"/>
  <c r="AF199" i="6"/>
  <c r="W200" i="6"/>
  <c r="AI200" i="6"/>
  <c r="W201" i="6"/>
  <c r="AF201" i="6"/>
  <c r="W202" i="6"/>
  <c r="AG202" i="6"/>
  <c r="W203" i="6"/>
  <c r="AG203" i="6"/>
  <c r="W204" i="6"/>
  <c r="AF204" i="6"/>
  <c r="W205" i="6"/>
  <c r="AF205" i="6"/>
  <c r="W206" i="6"/>
  <c r="AG206" i="6"/>
  <c r="W207" i="6"/>
  <c r="AF207" i="6"/>
  <c r="W208" i="6"/>
  <c r="AF208" i="6"/>
  <c r="W209" i="6"/>
  <c r="W210" i="6"/>
  <c r="AG210" i="6"/>
  <c r="W211" i="6"/>
  <c r="AI211" i="6"/>
  <c r="W212" i="6"/>
  <c r="AF212" i="6"/>
  <c r="W213" i="6"/>
  <c r="AF213" i="6"/>
  <c r="W214" i="6"/>
  <c r="AF214" i="6"/>
  <c r="W215" i="6"/>
  <c r="AI215" i="6"/>
  <c r="W216" i="6"/>
  <c r="AI216" i="6"/>
  <c r="W217" i="6"/>
  <c r="AF217" i="6"/>
  <c r="W218" i="6"/>
  <c r="AF218" i="6"/>
  <c r="W219" i="6"/>
  <c r="W220" i="6"/>
  <c r="W221" i="6"/>
  <c r="AF221" i="6"/>
  <c r="W222" i="6"/>
  <c r="AG222" i="6"/>
  <c r="W223" i="6"/>
  <c r="AF223" i="6"/>
  <c r="W225" i="6"/>
  <c r="W226" i="6"/>
  <c r="AI226" i="6"/>
  <c r="W227" i="6"/>
  <c r="AF227" i="6"/>
  <c r="W228" i="6"/>
  <c r="AG228" i="6"/>
  <c r="W229" i="6"/>
  <c r="AG229" i="6"/>
  <c r="W230" i="6"/>
  <c r="AF230" i="6"/>
  <c r="W231" i="6"/>
  <c r="W232" i="6"/>
  <c r="AF232" i="6"/>
  <c r="W233" i="6"/>
  <c r="AI233" i="6"/>
  <c r="W234" i="6"/>
  <c r="W235" i="6"/>
  <c r="AF235" i="6"/>
  <c r="W236" i="6"/>
  <c r="AG236" i="6"/>
  <c r="W237" i="6"/>
  <c r="AF237" i="6"/>
  <c r="W238" i="6"/>
  <c r="W239" i="6"/>
  <c r="AG239" i="6"/>
  <c r="W242" i="6"/>
  <c r="AF242" i="6"/>
  <c r="W243" i="6"/>
  <c r="AI243" i="6"/>
  <c r="W244" i="6"/>
  <c r="AF244" i="6"/>
  <c r="W245" i="6"/>
  <c r="AF245" i="6"/>
  <c r="W246" i="6"/>
  <c r="AG246" i="6"/>
  <c r="W247" i="6"/>
  <c r="W248" i="6"/>
  <c r="W249" i="6"/>
  <c r="AF249" i="6"/>
  <c r="W250" i="6"/>
  <c r="AG250" i="6"/>
  <c r="W251" i="6"/>
  <c r="AG251" i="6"/>
  <c r="W252" i="6"/>
  <c r="AF252" i="6"/>
  <c r="W253" i="6"/>
  <c r="AF253" i="6"/>
  <c r="W254" i="6"/>
  <c r="W255" i="6"/>
  <c r="W256" i="6"/>
  <c r="AF256" i="6"/>
  <c r="W257" i="6"/>
  <c r="AF257" i="6"/>
  <c r="W258" i="6"/>
  <c r="AF258" i="6"/>
  <c r="W259" i="6"/>
  <c r="AF259" i="6"/>
  <c r="W260" i="6"/>
  <c r="W261" i="6"/>
  <c r="AF261" i="6"/>
  <c r="W262" i="6"/>
  <c r="AI262" i="6"/>
  <c r="W263" i="6"/>
  <c r="AF263" i="6"/>
  <c r="W264" i="6"/>
  <c r="AI264" i="6"/>
  <c r="W265" i="6"/>
  <c r="AG265" i="6"/>
  <c r="W266" i="6"/>
  <c r="AG266" i="6"/>
  <c r="W267" i="6"/>
  <c r="AI267" i="6"/>
  <c r="W268" i="6"/>
  <c r="AF268" i="6"/>
  <c r="W269" i="6"/>
  <c r="AG269" i="6"/>
  <c r="W270" i="6"/>
  <c r="AG270" i="6"/>
  <c r="W271" i="6"/>
  <c r="W272" i="6"/>
  <c r="AI272" i="6"/>
  <c r="W273" i="6"/>
  <c r="AF273" i="6"/>
  <c r="W274" i="6"/>
  <c r="AF274" i="6"/>
  <c r="W275" i="6"/>
  <c r="AI275" i="6"/>
  <c r="W276" i="6"/>
  <c r="W277" i="6"/>
  <c r="AI277" i="6"/>
  <c r="W278" i="6"/>
  <c r="W279" i="6"/>
  <c r="AF279" i="6"/>
  <c r="W280" i="6"/>
  <c r="AF280" i="6"/>
  <c r="W281" i="6"/>
  <c r="AI281" i="6"/>
  <c r="W282" i="6"/>
  <c r="AG282" i="6"/>
  <c r="W283" i="6"/>
  <c r="AG283" i="6"/>
  <c r="W284" i="6"/>
  <c r="AF284" i="6"/>
  <c r="W285" i="6"/>
  <c r="AF285" i="6"/>
  <c r="W286" i="6"/>
  <c r="W287" i="6"/>
  <c r="AG287" i="6"/>
  <c r="W288" i="6"/>
  <c r="AG288" i="6"/>
  <c r="W289" i="6"/>
  <c r="AG289" i="6"/>
  <c r="W290" i="6"/>
  <c r="AF290" i="6"/>
  <c r="W291" i="6"/>
  <c r="AF291" i="6"/>
  <c r="W292" i="6"/>
  <c r="AF292" i="6"/>
  <c r="W293" i="6"/>
  <c r="AF293" i="6"/>
  <c r="W294" i="6"/>
  <c r="W295" i="6"/>
  <c r="AI295" i="6"/>
  <c r="W296" i="6"/>
  <c r="AF296" i="6"/>
  <c r="W297" i="6"/>
  <c r="AF297" i="6"/>
  <c r="W298" i="6"/>
  <c r="AG298" i="6"/>
  <c r="W299" i="6"/>
  <c r="AI299" i="6"/>
  <c r="W300" i="6"/>
  <c r="AI300" i="6"/>
  <c r="W301" i="6"/>
  <c r="W302" i="6"/>
  <c r="W303" i="6"/>
  <c r="AF303" i="6"/>
  <c r="W304" i="6"/>
  <c r="AI304" i="6"/>
  <c r="W305" i="6"/>
  <c r="AI305" i="6"/>
  <c r="W306" i="6"/>
  <c r="AF306" i="6"/>
  <c r="W307" i="6"/>
  <c r="AI307" i="6"/>
  <c r="W308" i="6"/>
  <c r="AF308" i="6"/>
  <c r="W309" i="6"/>
  <c r="W310" i="6"/>
  <c r="AF310" i="6"/>
  <c r="W311" i="6"/>
  <c r="AI311" i="6"/>
  <c r="W312" i="6"/>
  <c r="AG312" i="6"/>
  <c r="W313" i="6"/>
  <c r="AG313" i="6"/>
  <c r="W314" i="6"/>
  <c r="AG314" i="6"/>
  <c r="W315" i="6"/>
  <c r="AF315" i="6"/>
  <c r="W316" i="6"/>
  <c r="AI316" i="6"/>
  <c r="W317" i="6"/>
  <c r="W318" i="6"/>
  <c r="W319" i="6"/>
  <c r="AI319" i="6"/>
  <c r="W320" i="6"/>
  <c r="AG320" i="6"/>
  <c r="W321" i="6"/>
  <c r="AF321" i="6"/>
  <c r="W322" i="6"/>
  <c r="AI322" i="6"/>
  <c r="W323" i="6"/>
  <c r="AI323" i="6"/>
  <c r="W324" i="6"/>
  <c r="AF324" i="6"/>
  <c r="W325" i="6"/>
  <c r="W326" i="6"/>
  <c r="W327" i="6"/>
  <c r="AI327" i="6"/>
  <c r="W328" i="6"/>
  <c r="AI328" i="6"/>
  <c r="W330" i="6"/>
  <c r="AI330" i="6"/>
  <c r="W331" i="6"/>
  <c r="AF331" i="6"/>
  <c r="W332" i="6"/>
  <c r="AI332" i="6"/>
  <c r="W333" i="6"/>
  <c r="W334" i="6"/>
  <c r="W335" i="6"/>
  <c r="AG335" i="6"/>
  <c r="W336" i="6"/>
  <c r="AF336" i="6"/>
  <c r="W337" i="6"/>
  <c r="AG337" i="6"/>
  <c r="W338" i="6"/>
  <c r="AG338" i="6"/>
  <c r="W339" i="6"/>
  <c r="AI339" i="6"/>
  <c r="W340" i="6"/>
  <c r="AI340" i="6"/>
  <c r="W341" i="6"/>
  <c r="AI341" i="6"/>
  <c r="W342" i="6"/>
  <c r="AF342" i="6"/>
  <c r="W343" i="6"/>
  <c r="AI343" i="6"/>
  <c r="W344" i="6"/>
  <c r="W345" i="6"/>
  <c r="AG345" i="6"/>
  <c r="W346" i="6"/>
  <c r="AF346" i="6"/>
  <c r="W347" i="6"/>
  <c r="AF347" i="6"/>
  <c r="W348" i="6"/>
  <c r="AI348" i="6"/>
  <c r="W350" i="6"/>
  <c r="W351" i="6"/>
  <c r="W352" i="6"/>
  <c r="W353" i="6"/>
  <c r="AI353" i="6"/>
  <c r="W354" i="6"/>
  <c r="AF354" i="6"/>
  <c r="W355" i="6"/>
  <c r="AF355" i="6"/>
  <c r="W356" i="6"/>
  <c r="AI356" i="6"/>
  <c r="W357" i="6"/>
  <c r="AF357" i="6"/>
  <c r="W358" i="6"/>
  <c r="AF358" i="6"/>
  <c r="W360" i="6"/>
  <c r="AI360" i="6"/>
  <c r="W361" i="6"/>
  <c r="AF361" i="6"/>
  <c r="W362" i="6"/>
  <c r="AF362" i="6"/>
  <c r="W363" i="6"/>
  <c r="AG363" i="6"/>
  <c r="W364" i="6"/>
  <c r="AI364" i="6"/>
  <c r="W365" i="6"/>
  <c r="AF365" i="6"/>
  <c r="W366" i="6"/>
  <c r="AF366" i="6"/>
  <c r="W367" i="6"/>
  <c r="AF367" i="6"/>
  <c r="W368" i="6"/>
  <c r="AF368" i="6"/>
  <c r="W369" i="6"/>
  <c r="W370" i="6"/>
  <c r="W371" i="6"/>
  <c r="W372" i="6"/>
  <c r="AF372" i="6"/>
  <c r="W373" i="6"/>
  <c r="AF373" i="6"/>
  <c r="W374" i="6"/>
  <c r="AI374" i="6"/>
  <c r="W375" i="6"/>
  <c r="AF375" i="6"/>
  <c r="W376" i="6"/>
  <c r="AF376" i="6"/>
  <c r="W377" i="6"/>
  <c r="AF377" i="6"/>
  <c r="W378" i="6"/>
  <c r="AG378" i="6"/>
  <c r="W379" i="6"/>
  <c r="W380" i="6"/>
  <c r="W381" i="6"/>
  <c r="AG381" i="6"/>
  <c r="W382" i="6"/>
  <c r="AI382" i="6"/>
  <c r="W383" i="6"/>
  <c r="AI383" i="6"/>
  <c r="W384" i="6"/>
  <c r="AF384" i="6"/>
  <c r="W385" i="6"/>
  <c r="AG385" i="6"/>
  <c r="W386" i="6"/>
  <c r="AG386" i="6"/>
  <c r="W387" i="6"/>
  <c r="W388" i="6"/>
  <c r="W389" i="6"/>
  <c r="AI389" i="6"/>
  <c r="W390" i="6"/>
  <c r="AF390" i="6"/>
  <c r="W391" i="6"/>
  <c r="AF391" i="6"/>
  <c r="W392" i="6"/>
  <c r="AF392" i="6"/>
  <c r="W393" i="6"/>
  <c r="AG393" i="6"/>
  <c r="W394" i="6"/>
  <c r="AG394" i="6"/>
  <c r="W395" i="6"/>
  <c r="W396" i="6"/>
  <c r="W397" i="6"/>
  <c r="AG397" i="6"/>
  <c r="W398" i="6"/>
  <c r="AG398" i="6"/>
  <c r="W399" i="6"/>
  <c r="W401" i="6"/>
  <c r="AF401" i="6"/>
  <c r="W402" i="6"/>
  <c r="AF402" i="6"/>
  <c r="W403" i="6"/>
  <c r="AF403" i="6"/>
  <c r="W404" i="6"/>
  <c r="W405" i="6"/>
  <c r="W406" i="6"/>
  <c r="AI406" i="6"/>
  <c r="W407" i="6"/>
  <c r="AI407" i="6"/>
  <c r="W408" i="6"/>
  <c r="W409" i="6"/>
  <c r="AF409" i="6"/>
  <c r="W410" i="6"/>
  <c r="AG410" i="6"/>
  <c r="W411" i="6"/>
  <c r="AI411" i="6"/>
  <c r="W412" i="6"/>
  <c r="W413" i="6"/>
  <c r="AF413" i="6"/>
  <c r="W414" i="6"/>
  <c r="AF414" i="6"/>
  <c r="W415" i="6"/>
  <c r="AI415" i="6"/>
  <c r="W416" i="6"/>
  <c r="W417" i="6"/>
  <c r="AF417" i="6"/>
  <c r="W418" i="6"/>
  <c r="AF418" i="6"/>
  <c r="W419" i="6"/>
  <c r="AF419" i="6"/>
  <c r="W420" i="6"/>
  <c r="W421" i="6"/>
  <c r="W422" i="6"/>
  <c r="AI422" i="6"/>
  <c r="W423" i="6"/>
  <c r="AF423" i="6"/>
  <c r="W424" i="6"/>
  <c r="AG424" i="6"/>
  <c r="W425" i="6"/>
  <c r="AF425" i="6"/>
  <c r="W426" i="6"/>
  <c r="AF426" i="6"/>
  <c r="W427" i="6"/>
  <c r="AF427" i="6"/>
  <c r="W428" i="6"/>
  <c r="W429" i="6"/>
  <c r="W430" i="6"/>
  <c r="AI430" i="6"/>
  <c r="W431" i="6"/>
  <c r="AG431" i="6"/>
  <c r="W432" i="6"/>
  <c r="AF432" i="6"/>
  <c r="W433" i="6"/>
  <c r="AG433" i="6"/>
  <c r="W434" i="6"/>
  <c r="AF434" i="6"/>
  <c r="W435" i="6"/>
  <c r="AI435" i="6"/>
  <c r="W436" i="6"/>
  <c r="W437" i="6"/>
  <c r="AF437" i="6"/>
  <c r="W438" i="6"/>
  <c r="AF438" i="6"/>
  <c r="W439" i="6"/>
  <c r="AI439" i="6"/>
  <c r="W440" i="6"/>
  <c r="AG440" i="6"/>
  <c r="W441" i="6"/>
  <c r="AG441" i="6"/>
  <c r="W442" i="6"/>
  <c r="AF442" i="6"/>
  <c r="W443" i="6"/>
  <c r="AF443" i="6"/>
  <c r="W444" i="6"/>
  <c r="W445" i="6"/>
  <c r="AG445" i="6"/>
  <c r="W446" i="6"/>
  <c r="AI446" i="6"/>
  <c r="W447" i="6"/>
  <c r="AI447" i="6"/>
  <c r="W448" i="6"/>
  <c r="AF448" i="6"/>
  <c r="W449" i="6"/>
  <c r="AG449" i="6"/>
  <c r="W450" i="6"/>
  <c r="AF450" i="6"/>
  <c r="W451" i="6"/>
  <c r="AI451" i="6"/>
  <c r="W452" i="6"/>
  <c r="W453" i="6"/>
  <c r="W454" i="6"/>
  <c r="AG454" i="6"/>
  <c r="W455" i="6"/>
  <c r="AF455" i="6"/>
  <c r="W456" i="6"/>
  <c r="AG456" i="6"/>
  <c r="W457" i="6"/>
  <c r="AF457" i="6"/>
  <c r="W458" i="6"/>
  <c r="AG458" i="6"/>
  <c r="W459" i="6"/>
  <c r="AG459" i="6"/>
  <c r="W460" i="6"/>
  <c r="W461" i="6"/>
  <c r="W462" i="6"/>
  <c r="AI462" i="6"/>
  <c r="W463" i="6"/>
  <c r="AG463" i="6"/>
  <c r="W464" i="6"/>
  <c r="W465" i="6"/>
  <c r="AG465" i="6"/>
  <c r="W466" i="6"/>
  <c r="AF466" i="6"/>
  <c r="W467" i="6"/>
  <c r="AF467" i="6"/>
  <c r="W468" i="6"/>
  <c r="W469" i="6"/>
  <c r="AF469" i="6"/>
  <c r="W470" i="6"/>
  <c r="AI470" i="6"/>
  <c r="W471" i="6"/>
  <c r="AI471" i="6"/>
  <c r="W472" i="6"/>
  <c r="AG472" i="6"/>
  <c r="W473" i="6"/>
  <c r="AG473" i="6"/>
  <c r="W474" i="6"/>
  <c r="AF474" i="6"/>
  <c r="W475" i="6"/>
  <c r="W478" i="6"/>
  <c r="AF478" i="6"/>
  <c r="W479" i="6"/>
  <c r="AF479" i="6"/>
  <c r="W480" i="6"/>
  <c r="AI480" i="6"/>
  <c r="W481" i="6"/>
  <c r="W482" i="6"/>
  <c r="AG482" i="6"/>
  <c r="W483" i="6"/>
  <c r="AG483" i="6"/>
  <c r="W484" i="6"/>
  <c r="AI484" i="6"/>
  <c r="W485" i="6"/>
  <c r="AF485" i="6"/>
  <c r="W486" i="6"/>
  <c r="AF486" i="6"/>
  <c r="W487" i="6"/>
  <c r="AF487" i="6"/>
  <c r="W489" i="6"/>
  <c r="W490" i="6"/>
  <c r="AG490" i="6"/>
  <c r="W491" i="6"/>
  <c r="AF491" i="6"/>
  <c r="W492" i="6"/>
  <c r="AF492" i="6"/>
  <c r="W493" i="6"/>
  <c r="AG493" i="6"/>
  <c r="W494" i="6"/>
  <c r="AI494" i="6"/>
  <c r="W495" i="6"/>
  <c r="AF495" i="6"/>
  <c r="W496" i="6"/>
  <c r="AI496" i="6"/>
  <c r="W497" i="6"/>
  <c r="W498" i="6"/>
  <c r="AF498" i="6"/>
  <c r="W499" i="6"/>
  <c r="AF499" i="6"/>
  <c r="W500" i="6"/>
  <c r="AF500" i="6"/>
  <c r="W501" i="6"/>
  <c r="AF501" i="6"/>
  <c r="W502" i="6"/>
  <c r="AI502" i="6"/>
  <c r="W503" i="6"/>
  <c r="AF503" i="6"/>
  <c r="W504" i="6"/>
  <c r="AF504" i="6"/>
  <c r="W505" i="6"/>
  <c r="W506" i="6"/>
  <c r="AG506" i="6"/>
  <c r="W507" i="6"/>
  <c r="AF507" i="6"/>
  <c r="W508" i="6"/>
  <c r="AF508" i="6"/>
  <c r="W509" i="6"/>
  <c r="AF509" i="6"/>
  <c r="W510" i="6"/>
  <c r="AI510" i="6"/>
  <c r="W511" i="6"/>
  <c r="AF511" i="6"/>
  <c r="W512" i="6"/>
  <c r="AG512" i="6"/>
  <c r="W513" i="6"/>
  <c r="W514" i="6"/>
  <c r="AF514" i="6"/>
  <c r="W515" i="6"/>
  <c r="AF515" i="6"/>
  <c r="W516" i="6"/>
  <c r="AF516" i="6"/>
  <c r="W517" i="6"/>
  <c r="AG517" i="6"/>
  <c r="W518" i="6"/>
  <c r="AF518" i="6"/>
  <c r="W519" i="6"/>
  <c r="AF519" i="6"/>
  <c r="W520" i="6"/>
  <c r="AF520" i="6"/>
  <c r="W521" i="6"/>
  <c r="W522" i="6"/>
  <c r="AI522" i="6"/>
  <c r="W523" i="6"/>
  <c r="AF523" i="6"/>
  <c r="W524" i="6"/>
  <c r="AF524" i="6"/>
  <c r="W525" i="6"/>
  <c r="AG525" i="6"/>
  <c r="W526" i="6"/>
  <c r="AG526" i="6"/>
  <c r="W527" i="6"/>
  <c r="AF527" i="6"/>
  <c r="W528" i="6"/>
  <c r="AF528" i="6"/>
  <c r="W529" i="6"/>
  <c r="W530" i="6"/>
  <c r="AF530" i="6"/>
  <c r="W531" i="6"/>
  <c r="AF531" i="6"/>
  <c r="W532" i="6"/>
  <c r="AF532" i="6"/>
  <c r="W533" i="6"/>
  <c r="AF533" i="6"/>
  <c r="W534" i="6"/>
  <c r="AG534" i="6"/>
  <c r="W535" i="6"/>
  <c r="AF535" i="6"/>
  <c r="W536" i="6"/>
  <c r="AG536" i="6"/>
  <c r="W537" i="6"/>
  <c r="AF537" i="6"/>
  <c r="W538" i="6"/>
  <c r="AG538" i="6"/>
  <c r="W539" i="6"/>
  <c r="AF539" i="6"/>
  <c r="W540" i="6"/>
  <c r="AF540" i="6"/>
  <c r="W541" i="6"/>
  <c r="AI541" i="6"/>
  <c r="W542" i="6"/>
  <c r="AG542" i="6"/>
  <c r="W543" i="6"/>
  <c r="AF543" i="6"/>
  <c r="W544" i="6"/>
  <c r="AI544" i="6"/>
  <c r="W545" i="6"/>
  <c r="W546" i="6"/>
  <c r="AI546" i="6"/>
  <c r="W547" i="6"/>
  <c r="AF547" i="6"/>
  <c r="W548" i="6"/>
  <c r="AG548" i="6"/>
  <c r="W549" i="6"/>
  <c r="AG549" i="6"/>
  <c r="W550" i="6"/>
  <c r="AG550" i="6"/>
  <c r="W551" i="6"/>
  <c r="AF551" i="6"/>
  <c r="W552" i="6"/>
  <c r="AF552" i="6"/>
  <c r="W553" i="6"/>
  <c r="W554" i="6"/>
  <c r="AF554" i="6"/>
  <c r="W555" i="6"/>
  <c r="AG555" i="6"/>
  <c r="W556" i="6"/>
  <c r="AF556" i="6"/>
  <c r="W557" i="6"/>
  <c r="AG557" i="6"/>
  <c r="W558" i="6"/>
  <c r="AF558" i="6"/>
  <c r="W559" i="6"/>
  <c r="AG559" i="6"/>
  <c r="W560" i="6"/>
  <c r="AG560" i="6"/>
  <c r="W561" i="6"/>
  <c r="W562" i="6"/>
  <c r="AF562" i="6"/>
  <c r="W563" i="6"/>
  <c r="AF563" i="6"/>
  <c r="W564" i="6"/>
  <c r="AG564" i="6"/>
  <c r="W565" i="6"/>
  <c r="AF565" i="6"/>
  <c r="W566" i="6"/>
  <c r="AI566" i="6"/>
  <c r="W567" i="6"/>
  <c r="AI567" i="6"/>
  <c r="W568" i="6"/>
  <c r="AI568" i="6"/>
  <c r="W569" i="6"/>
  <c r="AG569" i="6"/>
  <c r="W570" i="6"/>
  <c r="AF570" i="6"/>
  <c r="W571" i="6"/>
  <c r="AF571" i="6"/>
  <c r="W572" i="6"/>
  <c r="AF572" i="6"/>
  <c r="W573" i="6"/>
  <c r="AI573" i="6"/>
  <c r="W574" i="6"/>
  <c r="AI574" i="6"/>
  <c r="W575" i="6"/>
  <c r="AG575" i="6"/>
  <c r="W576" i="6"/>
  <c r="AF576" i="6"/>
  <c r="W577" i="6"/>
  <c r="W578" i="6"/>
  <c r="AF578" i="6"/>
  <c r="W579" i="6"/>
  <c r="AF579" i="6"/>
  <c r="W580" i="6"/>
  <c r="AG580" i="6"/>
  <c r="W581" i="6"/>
  <c r="AG581" i="6"/>
  <c r="W582" i="6"/>
  <c r="AG582" i="6"/>
  <c r="W583" i="6"/>
  <c r="AF583" i="6"/>
  <c r="W584" i="6"/>
  <c r="AI584" i="6"/>
  <c r="W585" i="6"/>
  <c r="W586" i="6"/>
  <c r="AF586" i="6"/>
  <c r="W587" i="6"/>
  <c r="AF587" i="6"/>
  <c r="W588" i="6"/>
  <c r="AF588" i="6"/>
  <c r="W589" i="6"/>
  <c r="AF589" i="6"/>
  <c r="W590" i="6"/>
  <c r="AF590" i="6"/>
  <c r="W591" i="6"/>
  <c r="AF591" i="6"/>
  <c r="W592" i="6"/>
  <c r="AF592" i="6"/>
  <c r="W593" i="6"/>
  <c r="AF593" i="6"/>
  <c r="W594" i="6"/>
  <c r="AG594" i="6"/>
  <c r="W595" i="6"/>
  <c r="AF595" i="6"/>
  <c r="W596" i="6"/>
  <c r="AG596" i="6"/>
  <c r="W597" i="6"/>
  <c r="AF597" i="6"/>
  <c r="W598" i="6"/>
  <c r="AI598" i="6"/>
  <c r="W599" i="6"/>
  <c r="AF599" i="6"/>
  <c r="W601" i="6"/>
  <c r="AF601" i="6"/>
  <c r="W602" i="6"/>
  <c r="AF602" i="6"/>
  <c r="W603" i="6"/>
  <c r="AF603" i="6"/>
  <c r="W604" i="6"/>
  <c r="AF604" i="6"/>
  <c r="W605" i="6"/>
  <c r="AG605" i="6"/>
  <c r="W606" i="6"/>
  <c r="AG606" i="6"/>
  <c r="W607" i="6"/>
  <c r="AG607" i="6"/>
  <c r="W608" i="6"/>
  <c r="AI608" i="6"/>
  <c r="W609" i="6"/>
  <c r="W610" i="6"/>
  <c r="AG610" i="6"/>
  <c r="W611" i="6"/>
  <c r="AG611" i="6"/>
  <c r="W612" i="6"/>
  <c r="AF612" i="6"/>
  <c r="W613" i="6"/>
  <c r="AG613" i="6"/>
  <c r="W614" i="6"/>
  <c r="AG614" i="6"/>
  <c r="W615" i="6"/>
  <c r="AF615" i="6"/>
  <c r="W616" i="6"/>
  <c r="AI616" i="6"/>
  <c r="W617" i="6"/>
  <c r="AF617" i="6"/>
  <c r="W618" i="6"/>
  <c r="AF618" i="6"/>
  <c r="W619" i="6"/>
  <c r="AF619" i="6"/>
  <c r="W620" i="6"/>
  <c r="AG620" i="6"/>
  <c r="W621" i="6"/>
  <c r="AF621" i="6"/>
  <c r="AF56" i="6"/>
  <c r="AF85" i="6"/>
  <c r="AF125" i="6"/>
  <c r="AF141" i="6"/>
  <c r="AG96" i="6"/>
  <c r="AG136" i="6"/>
  <c r="AG151" i="6"/>
  <c r="AG167" i="6"/>
  <c r="AG331" i="6"/>
  <c r="AG347" i="6"/>
  <c r="AG408"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I72" i="6"/>
  <c r="AI154" i="6"/>
  <c r="AF202" i="6"/>
  <c r="AI253" i="6"/>
  <c r="AF162" i="6"/>
  <c r="AF48" i="6"/>
  <c r="AI203" i="6"/>
  <c r="AG245" i="6"/>
  <c r="AF154" i="6"/>
  <c r="AI202" i="6"/>
  <c r="AI162"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c r="I386" i="22"/>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c r="I346" i="22"/>
  <c r="I345" i="22"/>
  <c r="I344" i="22"/>
  <c r="I343" i="22"/>
  <c r="I342" i="22"/>
  <c r="I341" i="22"/>
  <c r="I340" i="22"/>
  <c r="I339" i="22"/>
  <c r="I338" i="22"/>
  <c r="I337" i="22"/>
  <c r="I336" i="22"/>
  <c r="I335" i="22"/>
  <c r="I334" i="22"/>
  <c r="I333" i="22"/>
  <c r="I332" i="22"/>
  <c r="I331" i="22"/>
  <c r="I330" i="22"/>
  <c r="I329" i="22"/>
  <c r="G328" i="22"/>
  <c r="C322" i="22"/>
  <c r="G320" i="22"/>
  <c r="B318" i="22"/>
  <c r="A352" i="22"/>
  <c r="C27" i="22"/>
  <c r="E38" i="13"/>
  <c r="I80" i="22"/>
  <c r="I79" i="22"/>
  <c r="I78" i="22"/>
  <c r="I77" i="22"/>
  <c r="I76" i="22"/>
  <c r="I75" i="22"/>
  <c r="I74" i="22"/>
  <c r="I73" i="22"/>
  <c r="I72" i="22"/>
  <c r="I71" i="22"/>
  <c r="I70" i="22"/>
  <c r="I69" i="22"/>
  <c r="I68" i="22"/>
  <c r="I67" i="22"/>
  <c r="I66" i="22"/>
  <c r="I65" i="22"/>
  <c r="I64" i="22"/>
  <c r="I63" i="22"/>
  <c r="G62" i="22"/>
  <c r="C56" i="22"/>
  <c r="G54" i="22"/>
  <c r="B52" i="22"/>
  <c r="A86" i="22"/>
  <c r="I455" i="22"/>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c r="C124" i="22"/>
  <c r="B23" i="22"/>
  <c r="A51" i="22"/>
  <c r="B17" i="13"/>
  <c r="E17" i="22"/>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c r="B84" i="13"/>
  <c r="AA1" i="22" a="1"/>
  <c r="AA1" i="22"/>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c r="D18" i="23"/>
  <c r="D30" i="23"/>
  <c r="D22" i="23"/>
  <c r="D24" i="23"/>
  <c r="E42" i="13"/>
  <c r="E249" i="13"/>
  <c r="E251" i="13"/>
  <c r="E240" i="13"/>
  <c r="E43" i="13"/>
  <c r="E243" i="13"/>
  <c r="E40" i="13"/>
  <c r="E241" i="13"/>
  <c r="E41" i="13"/>
  <c r="E37" i="13"/>
  <c r="E246" i="13"/>
  <c r="E36" i="13"/>
  <c r="E239" i="13"/>
  <c r="E39" i="13"/>
  <c r="E248" i="13"/>
  <c r="E244" i="13"/>
  <c r="E44" i="13"/>
  <c r="E245" i="13"/>
  <c r="E45" i="13"/>
  <c r="D38" i="23"/>
  <c r="E12" i="18"/>
  <c r="F15" i="18"/>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S268" i="13"/>
  <c r="I268" i="13"/>
  <c r="S267" i="13"/>
  <c r="N267" i="13"/>
  <c r="I267" i="13"/>
  <c r="S266" i="13"/>
  <c r="N266" i="13"/>
  <c r="I266" i="13"/>
  <c r="S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269" i="13"/>
  <c r="I264" i="13"/>
  <c r="I265" i="13"/>
  <c r="I263" i="13"/>
  <c r="I117" i="13"/>
  <c r="H269" i="13"/>
  <c r="T259" i="13"/>
  <c r="I153" i="13"/>
  <c r="E122" i="13"/>
  <c r="H208" i="13"/>
  <c r="H254" i="13"/>
  <c r="H240" i="13"/>
  <c r="T265" i="13"/>
  <c r="E205" i="13"/>
  <c r="H241" i="13"/>
  <c r="H106" i="13"/>
  <c r="T248" i="13"/>
  <c r="H108" i="13"/>
  <c r="H155" i="13"/>
  <c r="T255" i="13"/>
  <c r="I104" i="13"/>
  <c r="H200" i="13"/>
  <c r="I155" i="13"/>
  <c r="I111" i="13"/>
  <c r="T247" i="13"/>
  <c r="H253" i="13"/>
  <c r="H107" i="13"/>
  <c r="H271" i="13"/>
  <c r="H278" i="13"/>
  <c r="T272" i="13"/>
  <c r="T117" i="13"/>
  <c r="H166" i="13"/>
  <c r="E207" i="13"/>
  <c r="H256" i="13"/>
  <c r="H246" i="13"/>
  <c r="I109" i="13"/>
  <c r="I106" i="13"/>
  <c r="T108" i="13"/>
  <c r="H205" i="13"/>
  <c r="E198" i="13"/>
  <c r="T150" i="13"/>
  <c r="P209" i="13"/>
  <c r="H151" i="13"/>
  <c r="T110" i="13"/>
  <c r="O275" i="13"/>
  <c r="H277" i="13"/>
  <c r="I257" i="13"/>
  <c r="T118" i="13"/>
  <c r="T242" i="13"/>
  <c r="H252" i="13"/>
  <c r="H153" i="13"/>
  <c r="I158" i="13"/>
  <c r="I105" i="13"/>
  <c r="T276" i="13"/>
  <c r="T260" i="13"/>
  <c r="T105" i="13"/>
  <c r="I247" i="13"/>
  <c r="H263" i="13"/>
  <c r="I152" i="13"/>
  <c r="T277" i="13"/>
  <c r="T168" i="13"/>
  <c r="H111" i="13"/>
  <c r="H201" i="13"/>
  <c r="T273" i="13"/>
  <c r="P207" i="13"/>
  <c r="I110" i="13"/>
  <c r="T107" i="13"/>
  <c r="I201" i="13"/>
  <c r="I202" i="13"/>
  <c r="T271" i="13"/>
  <c r="H251" i="13"/>
  <c r="H274" i="13"/>
  <c r="H207" i="13"/>
  <c r="T274" i="13"/>
  <c r="T209" i="13"/>
  <c r="I258" i="13"/>
  <c r="H198" i="13"/>
  <c r="E199" i="13"/>
  <c r="H260" i="13"/>
  <c r="T166" i="13"/>
  <c r="T252" i="13"/>
  <c r="I243" i="13"/>
  <c r="T269" i="13"/>
  <c r="I262" i="13"/>
  <c r="I160" i="13"/>
  <c r="H242" i="13"/>
  <c r="I103" i="13"/>
  <c r="H150" i="13"/>
  <c r="H245" i="13"/>
  <c r="H157" i="13"/>
  <c r="H161" i="13"/>
  <c r="E201" i="13"/>
  <c r="T163" i="13"/>
  <c r="I256" i="13"/>
  <c r="P121" i="13"/>
  <c r="I204" i="13"/>
  <c r="T106" i="13"/>
  <c r="I206" i="13"/>
  <c r="P274" i="13"/>
  <c r="E202" i="13"/>
  <c r="P208" i="13"/>
  <c r="T208" i="13"/>
  <c r="T257" i="13"/>
  <c r="H152" i="13"/>
  <c r="O271" i="13"/>
  <c r="T253" i="13"/>
  <c r="O122" i="13"/>
  <c r="H158" i="13"/>
  <c r="H162" i="13"/>
  <c r="T254" i="13"/>
  <c r="H203" i="13"/>
  <c r="P122" i="13"/>
  <c r="T200" i="13"/>
  <c r="I108" i="13"/>
  <c r="E259" i="13"/>
  <c r="H206" i="13"/>
  <c r="H255" i="13"/>
  <c r="T264" i="13"/>
  <c r="H159" i="13"/>
  <c r="H261" i="13"/>
  <c r="E260" i="13"/>
  <c r="E166" i="13"/>
  <c r="E211" i="13"/>
  <c r="O278" i="13"/>
  <c r="H156" i="13"/>
  <c r="H204" i="13"/>
  <c r="I157" i="13"/>
  <c r="I244" i="13"/>
  <c r="I161" i="13"/>
  <c r="E208" i="13"/>
  <c r="T278" i="13"/>
  <c r="H276" i="13"/>
  <c r="O210" i="13"/>
  <c r="T205" i="13"/>
  <c r="T202" i="13"/>
  <c r="T161" i="13"/>
  <c r="T165" i="13"/>
  <c r="O270" i="13"/>
  <c r="I159" i="13"/>
  <c r="P166" i="13"/>
  <c r="H272" i="13"/>
  <c r="T244" i="13"/>
  <c r="T261" i="13"/>
  <c r="H154" i="13"/>
  <c r="H104" i="13"/>
  <c r="T240" i="13"/>
  <c r="H164" i="13"/>
  <c r="I151" i="13"/>
  <c r="I261" i="13"/>
  <c r="I197" i="13"/>
  <c r="I116" i="13"/>
  <c r="T210" i="13"/>
  <c r="T203" i="13"/>
  <c r="T164" i="13"/>
  <c r="T249" i="13"/>
  <c r="I240" i="13"/>
  <c r="I112" i="13"/>
  <c r="T112" i="13"/>
  <c r="T197" i="13"/>
  <c r="T262" i="13"/>
  <c r="E204" i="13"/>
  <c r="I205" i="13"/>
  <c r="P265" i="13"/>
  <c r="H120" i="13"/>
  <c r="H105" i="13"/>
  <c r="I260" i="13"/>
  <c r="H257" i="13"/>
  <c r="H168" i="13"/>
  <c r="I198" i="13"/>
  <c r="H118" i="13"/>
  <c r="I249" i="13"/>
  <c r="T275" i="13"/>
  <c r="P211" i="13"/>
  <c r="P267" i="13"/>
  <c r="H119" i="13"/>
  <c r="I199" i="13"/>
  <c r="E200" i="13"/>
  <c r="T258" i="13"/>
  <c r="O119" i="13"/>
  <c r="I156" i="13"/>
  <c r="T266" i="13"/>
  <c r="P269" i="13"/>
  <c r="H202" i="13"/>
  <c r="T122" i="13"/>
  <c r="H115" i="13"/>
  <c r="T204" i="13"/>
  <c r="I259" i="13"/>
  <c r="T119" i="13"/>
  <c r="T167" i="13"/>
  <c r="E203" i="13"/>
  <c r="T113" i="13"/>
  <c r="E209" i="13"/>
  <c r="H264" i="13"/>
  <c r="I245" i="13"/>
  <c r="I251" i="13"/>
  <c r="H259" i="13"/>
  <c r="E121" i="13"/>
  <c r="H267" i="13"/>
  <c r="H116" i="13"/>
  <c r="H209" i="13"/>
  <c r="E168" i="13"/>
  <c r="H169" i="13"/>
  <c r="T199" i="13"/>
  <c r="T111" i="13"/>
  <c r="H114" i="13"/>
  <c r="H275" i="13"/>
  <c r="I200" i="13"/>
  <c r="I252" i="13"/>
  <c r="H265" i="13"/>
  <c r="H163" i="13"/>
  <c r="I250" i="13"/>
  <c r="I163" i="13"/>
  <c r="T270" i="13"/>
  <c r="H244" i="13"/>
  <c r="T241" i="13"/>
  <c r="T198" i="13"/>
  <c r="I246" i="13"/>
  <c r="H262" i="13"/>
  <c r="T263" i="13"/>
  <c r="T104" i="13"/>
  <c r="O209" i="13"/>
  <c r="H243" i="13"/>
  <c r="P273" i="13"/>
  <c r="P169" i="13"/>
  <c r="I150" i="13"/>
  <c r="H273" i="13"/>
  <c r="I248" i="13"/>
  <c r="E167" i="13"/>
  <c r="H258" i="13"/>
  <c r="H122" i="13"/>
  <c r="H160" i="13"/>
  <c r="P276" i="13"/>
  <c r="T267" i="13"/>
  <c r="T121" i="13"/>
  <c r="T246" i="13"/>
  <c r="H211" i="13"/>
  <c r="H270" i="13"/>
  <c r="T245" i="13"/>
  <c r="E254" i="13"/>
  <c r="P268" i="13"/>
  <c r="T256" i="13"/>
  <c r="H199" i="13"/>
  <c r="P168" i="13"/>
  <c r="P278" i="13"/>
  <c r="T268" i="13"/>
  <c r="I242" i="13"/>
  <c r="T114" i="13"/>
  <c r="T201" i="13"/>
  <c r="I115" i="13"/>
  <c r="H268" i="13"/>
  <c r="T206" i="13"/>
  <c r="H112" i="13"/>
  <c r="T169" i="13"/>
  <c r="I254" i="13"/>
  <c r="P271" i="13"/>
  <c r="H103" i="13"/>
  <c r="T115" i="13"/>
  <c r="P270" i="13"/>
  <c r="E169" i="13"/>
  <c r="H239" i="13"/>
  <c r="T239" i="13"/>
  <c r="I253" i="13"/>
  <c r="E210" i="13"/>
  <c r="E119" i="13"/>
  <c r="H249" i="13"/>
  <c r="P275" i="13"/>
  <c r="I113" i="13"/>
  <c r="H266" i="13"/>
  <c r="H121" i="13"/>
  <c r="T207" i="13"/>
  <c r="H197" i="13"/>
  <c r="I255" i="13"/>
  <c r="H165" i="13"/>
  <c r="I164" i="13"/>
  <c r="E118" i="13"/>
  <c r="P119" i="13"/>
  <c r="H210" i="13"/>
  <c r="H110" i="13"/>
  <c r="T243" i="13"/>
  <c r="H113" i="13"/>
  <c r="T120" i="13"/>
  <c r="P167" i="13"/>
  <c r="T103" i="13"/>
  <c r="O266" i="13"/>
  <c r="O120" i="13"/>
  <c r="E253" i="13"/>
  <c r="H247" i="13"/>
  <c r="T250" i="13"/>
  <c r="P272" i="13"/>
  <c r="I154" i="13"/>
  <c r="I241" i="13"/>
  <c r="E120" i="13"/>
  <c r="H117" i="13"/>
  <c r="H248" i="13"/>
  <c r="T109" i="13"/>
  <c r="I162" i="13"/>
  <c r="I203" i="13"/>
  <c r="T116" i="13"/>
  <c r="I114" i="13"/>
  <c r="O166" i="13"/>
  <c r="T211" i="13"/>
  <c r="H109" i="13"/>
  <c r="E206" i="13"/>
  <c r="H167" i="13"/>
  <c r="I239" i="13"/>
  <c r="T162" i="13"/>
  <c r="P277" i="13"/>
  <c r="E197" i="13"/>
  <c r="I107" i="13"/>
  <c r="E165" i="13"/>
  <c r="P118" i="13"/>
  <c r="H250" i="13"/>
  <c r="T251" i="13"/>
  <c r="O169" i="13"/>
  <c r="O267" i="13"/>
  <c r="O274" i="13"/>
  <c r="O118" i="13"/>
  <c r="O208" i="13"/>
  <c r="M13" i="18"/>
  <c r="M14" i="18"/>
  <c r="M17" i="18"/>
  <c r="M15" i="18"/>
  <c r="M16" i="18"/>
  <c r="M12" i="18"/>
  <c r="N165" i="13"/>
  <c r="N272" i="13"/>
  <c r="N276" i="13"/>
  <c r="N268"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a="1"/>
  <c r="N269" i="13"/>
  <c r="N265" i="13"/>
  <c r="T40" i="13"/>
  <c r="O268" i="13"/>
  <c r="O269" i="13"/>
  <c r="T44" i="13"/>
  <c r="P210" i="13"/>
  <c r="T45" i="13"/>
  <c r="O165" i="13"/>
  <c r="T60" i="13"/>
  <c r="T61" i="13"/>
  <c r="T53" i="13"/>
  <c r="T43" i="13"/>
  <c r="T52" i="13"/>
  <c r="T68" i="13"/>
  <c r="T58" i="13"/>
  <c r="T74" i="13"/>
  <c r="O211" i="13"/>
  <c r="O273" i="13"/>
  <c r="T67" i="13"/>
  <c r="T38" i="13"/>
  <c r="T47" i="13"/>
  <c r="O276" i="13"/>
  <c r="T75" i="13"/>
  <c r="O167" i="13"/>
  <c r="T72" i="13"/>
  <c r="T55" i="13"/>
  <c r="O277" i="13"/>
  <c r="P165" i="13"/>
  <c r="T46" i="13"/>
  <c r="T56" i="13"/>
  <c r="T48" i="13"/>
  <c r="T42" i="13"/>
  <c r="T73" i="13"/>
  <c r="T36" i="13"/>
  <c r="T39" i="13"/>
  <c r="T49" i="13"/>
  <c r="P266" i="13"/>
  <c r="T69" i="13"/>
  <c r="T59" i="13"/>
  <c r="T57" i="13"/>
  <c r="T66" i="13"/>
  <c r="T41" i="13"/>
  <c r="T63" i="13"/>
  <c r="P120" i="13"/>
  <c r="T62" i="13"/>
  <c r="T50" i="13"/>
  <c r="T70" i="13"/>
  <c r="T64" i="13"/>
  <c r="T37" i="13"/>
  <c r="O121" i="13"/>
  <c r="T71" i="13"/>
  <c r="O207" i="13"/>
  <c r="T51" i="13"/>
  <c r="T54" i="13"/>
  <c r="T65" i="13"/>
  <c r="O272" i="13"/>
  <c r="O168" i="13"/>
  <c r="AA1" i="13"/>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O265" i="13"/>
  <c r="D71" i="18"/>
  <c r="D60" i="18"/>
  <c r="D38" i="18"/>
  <c r="D49" i="18"/>
  <c r="D27" i="18"/>
  <c r="E12" i="14"/>
  <c r="F12" i="14"/>
  <c r="H12" i="14"/>
  <c r="I12" i="14"/>
  <c r="B43" i="17"/>
  <c r="N51" i="15"/>
  <c r="D11" i="2"/>
  <c r="K39" i="2"/>
  <c r="K42" i="2"/>
  <c r="K44" i="2"/>
  <c r="K45" i="2"/>
  <c r="AM629" i="6"/>
  <c r="AM628" i="6"/>
  <c r="AM627" i="6"/>
  <c r="AM626" i="6"/>
  <c r="AM625" i="6"/>
  <c r="AM624" i="6"/>
  <c r="AM623" i="6"/>
  <c r="AM622" i="6"/>
  <c r="E93" i="9"/>
  <c r="E48" i="9"/>
  <c r="D93" i="9"/>
  <c r="D90" i="9"/>
  <c r="D45" i="9"/>
  <c r="D234" i="13"/>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E61" i="13"/>
  <c r="E64" i="13"/>
  <c r="E59" i="13"/>
  <c r="E63" i="13"/>
  <c r="E68" i="13"/>
  <c r="E57" i="13"/>
  <c r="E51" i="13"/>
  <c r="E70" i="13"/>
  <c r="E54" i="13"/>
  <c r="E74" i="13"/>
  <c r="E62" i="13"/>
  <c r="E73" i="13"/>
  <c r="E55" i="13"/>
  <c r="E71" i="13"/>
  <c r="E60" i="13"/>
  <c r="E69" i="13"/>
  <c r="E46" i="13"/>
  <c r="E47" i="13"/>
  <c r="E67" i="13"/>
  <c r="E50" i="13"/>
  <c r="E75" i="13"/>
  <c r="E48" i="13"/>
  <c r="E53" i="13"/>
  <c r="E58" i="13"/>
  <c r="E72" i="13"/>
  <c r="E65" i="13"/>
  <c r="E56" i="13"/>
  <c r="E49" i="13"/>
  <c r="E66" i="13"/>
  <c r="E52" i="13"/>
  <c r="B8" i="6"/>
  <c r="D564" i="6"/>
  <c r="I35" i="22"/>
  <c r="I34" i="22"/>
  <c r="I33" i="22"/>
  <c r="I32" i="22"/>
  <c r="I31" i="22"/>
  <c r="I30" i="22"/>
  <c r="G29" i="22"/>
  <c r="D300" i="22"/>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c r="N68" i="13"/>
  <c r="O68" i="13"/>
  <c r="E31" i="13"/>
  <c r="E28" i="13"/>
  <c r="D9" i="22"/>
  <c r="D8" i="22"/>
  <c r="E437" i="22"/>
  <c r="E445" i="22"/>
  <c r="E408" i="22"/>
  <c r="E365" i="22"/>
  <c r="E373" i="22"/>
  <c r="F373" i="22"/>
  <c r="E381" i="22"/>
  <c r="F381" i="22"/>
  <c r="E336" i="22"/>
  <c r="F336" i="22"/>
  <c r="E344" i="22"/>
  <c r="F344" i="22"/>
  <c r="E297" i="22"/>
  <c r="E268" i="22"/>
  <c r="E231" i="22"/>
  <c r="F231" i="22"/>
  <c r="E202" i="22"/>
  <c r="E165" i="22"/>
  <c r="E173" i="22"/>
  <c r="F173" i="22"/>
  <c r="E136" i="22"/>
  <c r="F136" i="22"/>
  <c r="E99" i="22"/>
  <c r="F99" i="22"/>
  <c r="E107" i="22"/>
  <c r="E68" i="22"/>
  <c r="E76" i="22"/>
  <c r="E71" i="22"/>
  <c r="E72" i="22"/>
  <c r="E442" i="22"/>
  <c r="F442" i="22"/>
  <c r="E333" i="22"/>
  <c r="F333" i="22"/>
  <c r="E265" i="22"/>
  <c r="F265" i="22"/>
  <c r="E104" i="22"/>
  <c r="E406" i="22"/>
  <c r="E66" i="22"/>
  <c r="F66" i="22"/>
  <c r="E403" i="22"/>
  <c r="E263" i="22"/>
  <c r="E67" i="22"/>
  <c r="F67" i="22"/>
  <c r="E438" i="22"/>
  <c r="F438" i="22"/>
  <c r="E446" i="22"/>
  <c r="F446" i="22"/>
  <c r="E409" i="22"/>
  <c r="E366" i="22"/>
  <c r="E374" i="22"/>
  <c r="F374" i="22"/>
  <c r="E382" i="22"/>
  <c r="E364" i="22"/>
  <c r="E337" i="22"/>
  <c r="F337" i="22"/>
  <c r="E345" i="22"/>
  <c r="F345" i="22"/>
  <c r="E298" i="22"/>
  <c r="F298" i="22"/>
  <c r="E269" i="22"/>
  <c r="E232" i="22"/>
  <c r="E203" i="22"/>
  <c r="F203" i="22"/>
  <c r="E166" i="22"/>
  <c r="E174" i="22"/>
  <c r="F174" i="22"/>
  <c r="E137" i="22"/>
  <c r="F137" i="22"/>
  <c r="E100" i="22"/>
  <c r="F100" i="22"/>
  <c r="E108" i="22"/>
  <c r="F108" i="22"/>
  <c r="E69" i="22"/>
  <c r="F69" i="22"/>
  <c r="E77" i="22"/>
  <c r="E63" i="22"/>
  <c r="E79" i="22"/>
  <c r="E103" i="22"/>
  <c r="F103" i="22"/>
  <c r="E413" i="22"/>
  <c r="E341" i="22"/>
  <c r="F341" i="22"/>
  <c r="E236" i="22"/>
  <c r="F236" i="22"/>
  <c r="E65" i="22"/>
  <c r="E30" i="22"/>
  <c r="E379" i="22"/>
  <c r="F379" i="22"/>
  <c r="E200" i="22"/>
  <c r="F200" i="22"/>
  <c r="E335" i="22"/>
  <c r="E106" i="22"/>
  <c r="F106" i="22"/>
  <c r="E439" i="22"/>
  <c r="F439" i="22"/>
  <c r="E447" i="22"/>
  <c r="F447" i="22"/>
  <c r="E410" i="22"/>
  <c r="E367" i="22"/>
  <c r="E375" i="22"/>
  <c r="F375" i="22"/>
  <c r="E383" i="22"/>
  <c r="E330" i="22"/>
  <c r="E338" i="22"/>
  <c r="F338" i="22"/>
  <c r="E299" i="22"/>
  <c r="F299" i="22"/>
  <c r="E270" i="22"/>
  <c r="F270" i="22"/>
  <c r="E233" i="22"/>
  <c r="E204" i="22"/>
  <c r="E167" i="22"/>
  <c r="E175" i="22"/>
  <c r="E138" i="22"/>
  <c r="F138" i="22"/>
  <c r="E101" i="22"/>
  <c r="F101" i="22"/>
  <c r="E109" i="22"/>
  <c r="F109" i="22"/>
  <c r="E70" i="22"/>
  <c r="F70" i="22"/>
  <c r="E78" i="22"/>
  <c r="E31" i="22"/>
  <c r="F31" i="22"/>
  <c r="E110" i="22"/>
  <c r="F110" i="22"/>
  <c r="E32" i="22"/>
  <c r="F32" i="22"/>
  <c r="E33" i="22"/>
  <c r="F33" i="22"/>
  <c r="E133" i="22"/>
  <c r="F133" i="22"/>
  <c r="E443" i="22"/>
  <c r="F443" i="22"/>
  <c r="E334" i="22"/>
  <c r="F334" i="22"/>
  <c r="E407" i="22"/>
  <c r="E267" i="22"/>
  <c r="F267" i="22"/>
  <c r="E131" i="22"/>
  <c r="E440" i="22"/>
  <c r="E448" i="22"/>
  <c r="E436" i="22"/>
  <c r="E411" i="22"/>
  <c r="F411" i="22"/>
  <c r="E368" i="22"/>
  <c r="F368" i="22"/>
  <c r="E376" i="22"/>
  <c r="E384" i="22"/>
  <c r="E331" i="22"/>
  <c r="F331" i="22"/>
  <c r="E339" i="22"/>
  <c r="E300" i="22"/>
  <c r="E296" i="22"/>
  <c r="E271" i="22"/>
  <c r="F271" i="22"/>
  <c r="E234" i="22"/>
  <c r="F234" i="22"/>
  <c r="E230" i="22"/>
  <c r="E205" i="22"/>
  <c r="E168" i="22"/>
  <c r="F168" i="22"/>
  <c r="E176" i="22"/>
  <c r="E164" i="22"/>
  <c r="E139" i="22"/>
  <c r="F139" i="22"/>
  <c r="E102" i="22"/>
  <c r="F102" i="22"/>
  <c r="E98" i="22"/>
  <c r="E80" i="22"/>
  <c r="F80" i="22"/>
  <c r="E405" i="22"/>
  <c r="F405" i="22"/>
  <c r="E378" i="22"/>
  <c r="F378" i="22"/>
  <c r="E170" i="22"/>
  <c r="E34" i="22"/>
  <c r="F34" i="22"/>
  <c r="E105" i="22"/>
  <c r="F105" i="22"/>
  <c r="E372" i="22"/>
  <c r="F372" i="22"/>
  <c r="E172" i="22"/>
  <c r="F172" i="22"/>
  <c r="E75" i="22"/>
  <c r="F75" i="22"/>
  <c r="E441" i="22"/>
  <c r="F441" i="22"/>
  <c r="E449" i="22"/>
  <c r="F449" i="22"/>
  <c r="E404" i="22"/>
  <c r="E412" i="22"/>
  <c r="F412" i="22"/>
  <c r="E369" i="22"/>
  <c r="F369" i="22"/>
  <c r="E377" i="22"/>
  <c r="F377" i="22"/>
  <c r="E332" i="22"/>
  <c r="F332" i="22"/>
  <c r="E340" i="22"/>
  <c r="E301" i="22"/>
  <c r="E264" i="22"/>
  <c r="F264" i="22"/>
  <c r="E235" i="22"/>
  <c r="E198" i="22"/>
  <c r="F198" i="22"/>
  <c r="E206" i="22"/>
  <c r="F206" i="22"/>
  <c r="E169" i="22"/>
  <c r="F169" i="22"/>
  <c r="E132" i="22"/>
  <c r="F132" i="22"/>
  <c r="E140" i="22"/>
  <c r="E64" i="22"/>
  <c r="F64" i="22"/>
  <c r="E370" i="22"/>
  <c r="F370" i="22"/>
  <c r="E302" i="22"/>
  <c r="E199" i="22"/>
  <c r="F199" i="22"/>
  <c r="E73" i="22"/>
  <c r="F73" i="22"/>
  <c r="E414" i="22"/>
  <c r="F414" i="22"/>
  <c r="E303" i="22"/>
  <c r="F303" i="22"/>
  <c r="E171" i="22"/>
  <c r="F171" i="22"/>
  <c r="E343" i="22"/>
  <c r="F343" i="22"/>
  <c r="E207" i="22"/>
  <c r="F207" i="22"/>
  <c r="E371" i="22"/>
  <c r="E266" i="22"/>
  <c r="F266" i="22"/>
  <c r="E134" i="22"/>
  <c r="F134" i="22"/>
  <c r="E380" i="22"/>
  <c r="F380" i="22"/>
  <c r="E201" i="22"/>
  <c r="F201" i="22"/>
  <c r="E342" i="22"/>
  <c r="F342" i="22"/>
  <c r="E74" i="22"/>
  <c r="F74" i="22"/>
  <c r="E135" i="22"/>
  <c r="E444" i="22"/>
  <c r="F444" i="22"/>
  <c r="E329" i="22"/>
  <c r="E197" i="22"/>
  <c r="F205" i="22"/>
  <c r="F204" i="22"/>
  <c r="F202"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5" i="22"/>
  <c r="F232" i="22"/>
  <c r="F237" i="22"/>
  <c r="F233" i="22"/>
  <c r="F238" i="22"/>
  <c r="F104" i="22"/>
  <c r="F111" i="22"/>
  <c r="F107" i="22"/>
  <c r="F310" i="22"/>
  <c r="F308" i="22"/>
  <c r="F312" i="22"/>
  <c r="F306" i="22"/>
  <c r="F314" i="22"/>
  <c r="F309" i="22"/>
  <c r="F313" i="22"/>
  <c r="F385" i="22"/>
  <c r="F307" i="22"/>
  <c r="F311" i="22"/>
  <c r="F315" i="22"/>
  <c r="F305" i="22"/>
  <c r="F304" i="22"/>
  <c r="F302" i="22"/>
  <c r="F384" i="22"/>
  <c r="F300" i="22"/>
  <c r="F383" i="22"/>
  <c r="F301" i="22"/>
  <c r="F297" i="22"/>
  <c r="F382" i="22"/>
  <c r="F376" i="22"/>
  <c r="F371" i="22"/>
  <c r="F366" i="22"/>
  <c r="F365" i="22"/>
  <c r="F367" i="22"/>
  <c r="F339" i="22"/>
  <c r="F330" i="22"/>
  <c r="F335" i="22"/>
  <c r="F340" i="22"/>
  <c r="F346" i="22"/>
  <c r="F79" i="22"/>
  <c r="F77" i="22"/>
  <c r="F78"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1" i="22"/>
  <c r="F68" i="22"/>
  <c r="F72" i="22"/>
  <c r="F65" i="22"/>
  <c r="F76" i="22"/>
  <c r="F407" i="22"/>
  <c r="F268" i="22"/>
  <c r="F175" i="22"/>
  <c r="F167" i="22"/>
  <c r="F170" i="22"/>
  <c r="F269" i="22"/>
  <c r="F410" i="22"/>
  <c r="F406" i="22"/>
  <c r="F166" i="22"/>
  <c r="F437" i="22"/>
  <c r="F165" i="22"/>
  <c r="F413" i="22"/>
  <c r="F409" i="22"/>
  <c r="F404" i="22"/>
  <c r="F440" i="22"/>
  <c r="F176" i="22"/>
  <c r="F408" i="22"/>
  <c r="F448" i="22"/>
  <c r="F445" i="22"/>
  <c r="F140" i="22"/>
  <c r="F35" i="22"/>
  <c r="F135" i="22"/>
  <c r="F141" i="22"/>
  <c r="F146" i="22"/>
  <c r="F145" i="22"/>
  <c r="F150" i="22"/>
  <c r="F149" i="22"/>
  <c r="F144" i="22"/>
  <c r="F148" i="22"/>
  <c r="F147" i="22"/>
  <c r="F142" i="22"/>
  <c r="F143" i="22"/>
  <c r="E189" i="22"/>
  <c r="F197" i="22"/>
  <c r="F230" i="22"/>
  <c r="E222" i="22"/>
  <c r="E90" i="22"/>
  <c r="F98" i="22"/>
  <c r="E288" i="22"/>
  <c r="F296" i="22"/>
  <c r="E356" i="22"/>
  <c r="F364" i="22"/>
  <c r="F329" i="22"/>
  <c r="E321" i="22"/>
  <c r="E428" i="22"/>
  <c r="F436" i="22"/>
  <c r="E55" i="22"/>
  <c r="F63" i="22"/>
  <c r="F164" i="22"/>
  <c r="E156" i="22"/>
  <c r="E255" i="22"/>
  <c r="F263" i="22"/>
  <c r="F403" i="22"/>
  <c r="E395" i="22"/>
  <c r="E123" i="22"/>
  <c r="F131" i="22"/>
  <c r="F123" i="22"/>
  <c r="F30" i="22"/>
  <c r="E26" i="22"/>
  <c r="D15" i="22"/>
  <c r="G31" i="23"/>
  <c r="N8" i="23"/>
  <c r="N6" i="23"/>
  <c r="C50" i="24"/>
  <c r="C48" i="24"/>
  <c r="C49" i="24"/>
  <c r="C41" i="24"/>
  <c r="C40" i="24"/>
  <c r="C43" i="24"/>
  <c r="C44" i="24"/>
  <c r="C45" i="24"/>
  <c r="C42" i="24"/>
  <c r="C46" i="24"/>
  <c r="C47" i="24"/>
  <c r="F21" i="14"/>
  <c r="I21" i="14"/>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c r="K24" i="3"/>
  <c r="M24" i="3"/>
  <c r="N24" i="3"/>
  <c r="K25" i="3"/>
  <c r="M25" i="3"/>
  <c r="N25" i="3"/>
  <c r="F10" i="14"/>
  <c r="N46" i="15"/>
  <c r="K34" i="3"/>
  <c r="M34" i="3"/>
  <c r="N34" i="3"/>
  <c r="K35" i="3"/>
  <c r="M35" i="3"/>
  <c r="O35" i="3"/>
  <c r="K36" i="3"/>
  <c r="M36" i="3"/>
  <c r="O36" i="3"/>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c r="H6" i="14"/>
  <c r="H7" i="14"/>
  <c r="F7" i="14"/>
  <c r="H8" i="14"/>
  <c r="F8" i="14"/>
  <c r="I8" i="14"/>
  <c r="H9" i="14"/>
  <c r="F9" i="14"/>
  <c r="H10" i="14"/>
  <c r="H11" i="14"/>
  <c r="F11" i="14"/>
  <c r="H13" i="14"/>
  <c r="F13" i="14"/>
  <c r="I13" i="14"/>
  <c r="H14" i="14"/>
  <c r="H15" i="14"/>
  <c r="F15" i="14"/>
  <c r="I15" i="14"/>
  <c r="H16" i="14"/>
  <c r="H17" i="14"/>
  <c r="F17" i="14"/>
  <c r="I17" i="14"/>
  <c r="H18" i="14"/>
  <c r="F18" i="14"/>
  <c r="I18" i="14"/>
  <c r="H19" i="14"/>
  <c r="F19" i="14"/>
  <c r="I19" i="14"/>
  <c r="H20" i="14"/>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N40" i="15"/>
  <c r="N42" i="15"/>
  <c r="N43" i="15"/>
  <c r="N45" i="15"/>
  <c r="G19" i="14"/>
  <c r="E8" i="14"/>
  <c r="E7" i="14"/>
  <c r="E5" i="14"/>
  <c r="K21" i="3"/>
  <c r="D11" i="3"/>
  <c r="D12" i="3"/>
  <c r="K51" i="3"/>
  <c r="K52" i="3"/>
  <c r="M51" i="3"/>
  <c r="N51" i="3"/>
  <c r="M52" i="3"/>
  <c r="M53" i="3"/>
  <c r="M54" i="3"/>
  <c r="I4" i="14"/>
  <c r="AA16" i="6"/>
  <c r="AE16" i="6"/>
  <c r="K53"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O74" i="13"/>
  <c r="H42" i="13"/>
  <c r="T159" i="13"/>
  <c r="H44" i="13"/>
  <c r="H47" i="13"/>
  <c r="H62" i="13"/>
  <c r="H59" i="13"/>
  <c r="H57" i="13"/>
  <c r="H45" i="13"/>
  <c r="H69" i="13"/>
  <c r="H73" i="13"/>
  <c r="T158" i="13"/>
  <c r="H36" i="13"/>
  <c r="H70" i="13"/>
  <c r="T153" i="13"/>
  <c r="H48" i="13"/>
  <c r="H61" i="13"/>
  <c r="H46" i="13"/>
  <c r="H66" i="13"/>
  <c r="H43" i="13"/>
  <c r="H55" i="13"/>
  <c r="H60" i="13"/>
  <c r="T156" i="13"/>
  <c r="O73" i="13"/>
  <c r="O72" i="13"/>
  <c r="T151" i="13"/>
  <c r="H52" i="13"/>
  <c r="H65" i="13"/>
  <c r="H40" i="13"/>
  <c r="T154" i="13"/>
  <c r="H56" i="13"/>
  <c r="T160" i="13"/>
  <c r="H38" i="13"/>
  <c r="H68" i="13"/>
  <c r="H71" i="13"/>
  <c r="H53" i="13"/>
  <c r="H51" i="13"/>
  <c r="H50" i="13"/>
  <c r="P75" i="13"/>
  <c r="H72" i="13"/>
  <c r="P68" i="13"/>
  <c r="O75" i="13"/>
  <c r="T155" i="13"/>
  <c r="H74" i="13"/>
  <c r="P72" i="13"/>
  <c r="H41" i="13"/>
  <c r="H67" i="13"/>
  <c r="T157" i="13"/>
  <c r="P74" i="13"/>
  <c r="H64" i="13"/>
  <c r="H49" i="13"/>
  <c r="H75" i="13"/>
  <c r="T152" i="13"/>
  <c r="H63" i="13"/>
  <c r="H54" i="13"/>
  <c r="H58" i="13"/>
  <c r="H39" i="13"/>
  <c r="H37" i="13"/>
  <c r="I7" i="14"/>
  <c r="AJ241" i="6"/>
  <c r="AK241" i="6"/>
  <c r="AL241" i="6"/>
  <c r="AJ95" i="6"/>
  <c r="AK95" i="6"/>
  <c r="AL95" i="6"/>
  <c r="AJ103" i="6"/>
  <c r="AK103" i="6"/>
  <c r="AL103" i="6"/>
  <c r="AJ56" i="6"/>
  <c r="AK56" i="6"/>
  <c r="AL56" i="6"/>
  <c r="AJ64" i="6"/>
  <c r="AK64" i="6"/>
  <c r="AL64" i="6"/>
  <c r="AJ96" i="6"/>
  <c r="AK96" i="6"/>
  <c r="AL96" i="6"/>
  <c r="AJ104" i="6"/>
  <c r="AK104" i="6"/>
  <c r="AL104" i="6"/>
  <c r="AJ202" i="6"/>
  <c r="AK202" i="6"/>
  <c r="AL202" i="6"/>
  <c r="AJ57" i="6"/>
  <c r="AK57" i="6"/>
  <c r="AL57" i="6"/>
  <c r="AJ65" i="6"/>
  <c r="AK65" i="6"/>
  <c r="AL65" i="6"/>
  <c r="AJ81" i="6"/>
  <c r="AK81" i="6"/>
  <c r="AL81" i="6"/>
  <c r="AJ97" i="6"/>
  <c r="AK97" i="6"/>
  <c r="AL97" i="6"/>
  <c r="AJ105" i="6"/>
  <c r="AK105" i="6"/>
  <c r="AL105" i="6"/>
  <c r="AJ113" i="6"/>
  <c r="AK113" i="6"/>
  <c r="AL113" i="6"/>
  <c r="AJ195" i="6"/>
  <c r="AK195" i="6"/>
  <c r="AL195" i="6"/>
  <c r="AJ254" i="6"/>
  <c r="AK254" i="6"/>
  <c r="AL254" i="6"/>
  <c r="AJ58" i="6"/>
  <c r="AK58" i="6"/>
  <c r="AL58" i="6"/>
  <c r="AJ82" i="6"/>
  <c r="AK82" i="6"/>
  <c r="AL82" i="6"/>
  <c r="AJ106" i="6"/>
  <c r="AK106" i="6"/>
  <c r="AL106" i="6"/>
  <c r="AJ130" i="6"/>
  <c r="AK130" i="6"/>
  <c r="AL130" i="6"/>
  <c r="AJ255" i="6"/>
  <c r="AK255" i="6"/>
  <c r="AL255" i="6"/>
  <c r="AJ67" i="6"/>
  <c r="AK67" i="6"/>
  <c r="AL67" i="6"/>
  <c r="AJ123" i="6"/>
  <c r="AK123" i="6"/>
  <c r="AL123" i="6"/>
  <c r="AJ157" i="6"/>
  <c r="AK157" i="6"/>
  <c r="AL157" i="6"/>
  <c r="AJ60" i="6"/>
  <c r="AK60" i="6"/>
  <c r="AL60" i="6"/>
  <c r="AJ68" i="6"/>
  <c r="AK68" i="6"/>
  <c r="AL68" i="6"/>
  <c r="AJ84" i="6"/>
  <c r="AK84" i="6"/>
  <c r="AL84" i="6"/>
  <c r="AJ100" i="6"/>
  <c r="AK100" i="6"/>
  <c r="AL100" i="6"/>
  <c r="AJ124" i="6"/>
  <c r="AK124" i="6"/>
  <c r="AL124" i="6"/>
  <c r="AJ69" i="6"/>
  <c r="AK69" i="6"/>
  <c r="AL69" i="6"/>
  <c r="AJ93" i="6"/>
  <c r="AK93" i="6"/>
  <c r="AL93" i="6"/>
  <c r="AJ125" i="6"/>
  <c r="AK125" i="6"/>
  <c r="AL125" i="6"/>
  <c r="AJ284" i="6"/>
  <c r="AK284" i="6"/>
  <c r="AL284" i="6"/>
  <c r="AJ350" i="6"/>
  <c r="AK350" i="6"/>
  <c r="AL350" i="6"/>
  <c r="AJ391" i="6"/>
  <c r="AK391" i="6"/>
  <c r="AL391" i="6"/>
  <c r="AJ456" i="6"/>
  <c r="AK456" i="6"/>
  <c r="AL456" i="6"/>
  <c r="AJ507" i="6"/>
  <c r="AK507" i="6"/>
  <c r="AL507" i="6"/>
  <c r="AJ571" i="6"/>
  <c r="AK571" i="6"/>
  <c r="AL571" i="6"/>
  <c r="AJ620" i="6"/>
  <c r="AK620" i="6"/>
  <c r="AL620" i="6"/>
  <c r="AJ275" i="6"/>
  <c r="AK275" i="6"/>
  <c r="AL275" i="6"/>
  <c r="AJ200" i="6"/>
  <c r="AK200" i="6"/>
  <c r="AL200" i="6"/>
  <c r="AJ269" i="6"/>
  <c r="AK269" i="6"/>
  <c r="AL269" i="6"/>
  <c r="AJ516" i="6"/>
  <c r="AK516" i="6"/>
  <c r="AL516" i="6"/>
  <c r="AJ572" i="6"/>
  <c r="AK572" i="6"/>
  <c r="AL572" i="6"/>
  <c r="AJ580" i="6"/>
  <c r="AK580" i="6"/>
  <c r="AL580" i="6"/>
  <c r="AJ621" i="6"/>
  <c r="AK621" i="6"/>
  <c r="AL621" i="6"/>
  <c r="AJ366" i="6"/>
  <c r="AK366" i="6"/>
  <c r="AL366" i="6"/>
  <c r="AJ270" i="6"/>
  <c r="AK270" i="6"/>
  <c r="AL270" i="6"/>
  <c r="AJ517" i="6"/>
  <c r="AK517" i="6"/>
  <c r="AL517" i="6"/>
  <c r="AJ565" i="6"/>
  <c r="AK565" i="6"/>
  <c r="AL565" i="6"/>
  <c r="AJ573" i="6"/>
  <c r="AK573" i="6"/>
  <c r="AL573" i="6"/>
  <c r="AJ53" i="6"/>
  <c r="AK53" i="6"/>
  <c r="AL53" i="6"/>
  <c r="AJ570" i="6"/>
  <c r="AK570" i="6"/>
  <c r="AL570" i="6"/>
  <c r="AJ253" i="6"/>
  <c r="AK253" i="6"/>
  <c r="AL253" i="6"/>
  <c r="AJ271" i="6"/>
  <c r="AK271" i="6"/>
  <c r="AL271" i="6"/>
  <c r="AJ443" i="6"/>
  <c r="AK443" i="6"/>
  <c r="AL443" i="6"/>
  <c r="AJ574" i="6"/>
  <c r="AK574" i="6"/>
  <c r="AL574" i="6"/>
  <c r="AJ94" i="6"/>
  <c r="AK94" i="6"/>
  <c r="AL94" i="6"/>
  <c r="AJ296" i="6"/>
  <c r="AK296" i="6"/>
  <c r="AL296" i="6"/>
  <c r="AJ575" i="6"/>
  <c r="AK575" i="6"/>
  <c r="AL575" i="6"/>
  <c r="AJ602" i="6"/>
  <c r="AK602" i="6"/>
  <c r="AL602" i="6"/>
  <c r="AJ603" i="6"/>
  <c r="AK603" i="6"/>
  <c r="AL603" i="6"/>
  <c r="AJ102" i="6"/>
  <c r="AK102" i="6"/>
  <c r="AL102" i="6"/>
  <c r="AJ461" i="6"/>
  <c r="AK461" i="6"/>
  <c r="AL461" i="6"/>
  <c r="AJ528" i="6"/>
  <c r="AK528" i="6"/>
  <c r="AL528" i="6"/>
  <c r="AJ568" i="6"/>
  <c r="AK568" i="6"/>
  <c r="AL568" i="6"/>
  <c r="AJ576" i="6"/>
  <c r="AK576" i="6"/>
  <c r="AL576" i="6"/>
  <c r="AJ283" i="6"/>
  <c r="AK283" i="6"/>
  <c r="AL283" i="6"/>
  <c r="AJ282" i="6"/>
  <c r="AK282" i="6"/>
  <c r="AL282" i="6"/>
  <c r="AJ489" i="6"/>
  <c r="AK489" i="6"/>
  <c r="AL489" i="6"/>
  <c r="AJ505" i="6"/>
  <c r="AK505" i="6"/>
  <c r="AL505" i="6"/>
  <c r="AJ569" i="6"/>
  <c r="AK569" i="6"/>
  <c r="AL569" i="6"/>
  <c r="X622" i="6"/>
  <c r="AB622" i="6"/>
  <c r="Z626" i="6"/>
  <c r="AD626" i="6"/>
  <c r="AA626" i="6"/>
  <c r="AE626" i="6"/>
  <c r="X629" i="6"/>
  <c r="AB629" i="6"/>
  <c r="X626" i="6"/>
  <c r="AB626" i="6"/>
  <c r="Y626" i="6"/>
  <c r="AC626" i="6"/>
  <c r="Y622" i="6"/>
  <c r="AC622" i="6"/>
  <c r="Z623" i="6"/>
  <c r="AD623" i="6"/>
  <c r="AA627" i="6"/>
  <c r="AE627" i="6"/>
  <c r="AA622" i="6"/>
  <c r="AE622" i="6"/>
  <c r="Y629" i="6"/>
  <c r="AC629" i="6"/>
  <c r="X628" i="6"/>
  <c r="AB628" i="6"/>
  <c r="X624" i="6"/>
  <c r="AB624" i="6"/>
  <c r="AA628" i="6"/>
  <c r="AE628" i="6"/>
  <c r="Y623" i="6"/>
  <c r="AC623" i="6"/>
  <c r="Z624" i="6"/>
  <c r="AD624" i="6"/>
  <c r="AA625" i="6"/>
  <c r="AE625" i="6"/>
  <c r="Z629" i="6"/>
  <c r="AD629" i="6"/>
  <c r="Y628" i="6"/>
  <c r="AC628" i="6"/>
  <c r="X625" i="6"/>
  <c r="AB625" i="6"/>
  <c r="Y627" i="6"/>
  <c r="AC627" i="6"/>
  <c r="Y624" i="6"/>
  <c r="AC624" i="6"/>
  <c r="Z625" i="6"/>
  <c r="AD625" i="6"/>
  <c r="AA623" i="6"/>
  <c r="AE623" i="6"/>
  <c r="AA629" i="6"/>
  <c r="AE629" i="6"/>
  <c r="Z628" i="6"/>
  <c r="AD628" i="6"/>
  <c r="X627" i="6"/>
  <c r="AB627" i="6"/>
  <c r="X623" i="6"/>
  <c r="AB623" i="6"/>
  <c r="Y625" i="6"/>
  <c r="AC625" i="6"/>
  <c r="Z627" i="6"/>
  <c r="AD627" i="6"/>
  <c r="Z622" i="6"/>
  <c r="AD622" i="6"/>
  <c r="AA624" i="6"/>
  <c r="AE624" i="6"/>
  <c r="D95" i="13"/>
  <c r="D28" i="13"/>
  <c r="D231" i="13"/>
  <c r="D189" i="13"/>
  <c r="D142" i="13"/>
  <c r="X143" i="6"/>
  <c r="AB143" i="6"/>
  <c r="X476" i="6"/>
  <c r="AB476" i="6"/>
  <c r="Y240" i="6"/>
  <c r="AC240" i="6"/>
  <c r="Y488" i="6"/>
  <c r="AC488" i="6"/>
  <c r="Z329" i="6"/>
  <c r="AD329" i="6"/>
  <c r="AA55" i="6"/>
  <c r="AE55" i="6"/>
  <c r="AA359" i="6"/>
  <c r="AE359" i="6"/>
  <c r="X224" i="6"/>
  <c r="AB224" i="6"/>
  <c r="X477" i="6"/>
  <c r="AB477" i="6"/>
  <c r="Y241" i="6"/>
  <c r="AC241" i="6"/>
  <c r="Y600" i="6"/>
  <c r="AC600" i="6"/>
  <c r="Z349" i="6"/>
  <c r="AD349" i="6"/>
  <c r="AA142" i="6"/>
  <c r="AE142" i="6"/>
  <c r="AA400" i="6"/>
  <c r="AE400" i="6"/>
  <c r="Z240" i="6"/>
  <c r="AD240" i="6"/>
  <c r="Y477" i="6"/>
  <c r="AC477" i="6"/>
  <c r="X240" i="6"/>
  <c r="AB240" i="6"/>
  <c r="X488" i="6"/>
  <c r="AB488" i="6"/>
  <c r="Y329" i="6"/>
  <c r="AC329" i="6"/>
  <c r="Z55" i="6"/>
  <c r="AD55" i="6"/>
  <c r="Z359" i="6"/>
  <c r="AD359" i="6"/>
  <c r="AA143" i="6"/>
  <c r="AE143" i="6"/>
  <c r="AA476" i="6"/>
  <c r="AE476" i="6"/>
  <c r="AA600" i="6"/>
  <c r="AE600" i="6"/>
  <c r="X359" i="6"/>
  <c r="AB359" i="6"/>
  <c r="Z488" i="6"/>
  <c r="AD488" i="6"/>
  <c r="Y224" i="6"/>
  <c r="AC224" i="6"/>
  <c r="X241" i="6"/>
  <c r="AB241" i="6"/>
  <c r="X600" i="6"/>
  <c r="AB600" i="6"/>
  <c r="Y349" i="6"/>
  <c r="AC349" i="6"/>
  <c r="Z142" i="6"/>
  <c r="AD142" i="6"/>
  <c r="Z400" i="6"/>
  <c r="AD400" i="6"/>
  <c r="AA224" i="6"/>
  <c r="AE224" i="6"/>
  <c r="AA477" i="6"/>
  <c r="AE477" i="6"/>
  <c r="AA241" i="6"/>
  <c r="AE241" i="6"/>
  <c r="Y476" i="6"/>
  <c r="AC476" i="6"/>
  <c r="X142" i="6"/>
  <c r="AB142" i="6"/>
  <c r="Z600" i="6"/>
  <c r="AD600" i="6"/>
  <c r="X329" i="6"/>
  <c r="AB329" i="6"/>
  <c r="Y55" i="6"/>
  <c r="AC55" i="6"/>
  <c r="Y359" i="6"/>
  <c r="AC359" i="6"/>
  <c r="Z143" i="6"/>
  <c r="AD143" i="6"/>
  <c r="Z476" i="6"/>
  <c r="AD476" i="6"/>
  <c r="AA240" i="6"/>
  <c r="AE240" i="6"/>
  <c r="AA488" i="6"/>
  <c r="AE488" i="6"/>
  <c r="Z477" i="6"/>
  <c r="AD477" i="6"/>
  <c r="X55" i="6"/>
  <c r="AB55" i="6"/>
  <c r="X400" i="6"/>
  <c r="AB400" i="6"/>
  <c r="AA349" i="6"/>
  <c r="AE349" i="6"/>
  <c r="X349" i="6"/>
  <c r="AB349" i="6"/>
  <c r="Y142" i="6"/>
  <c r="AC142" i="6"/>
  <c r="Y400" i="6"/>
  <c r="AC400" i="6"/>
  <c r="Z224" i="6"/>
  <c r="AD224" i="6"/>
  <c r="Y143" i="6"/>
  <c r="AC143" i="6"/>
  <c r="AA329" i="6"/>
  <c r="AE329" i="6"/>
  <c r="Z241" i="6"/>
  <c r="AD241" i="6"/>
  <c r="X19" i="6"/>
  <c r="AB19" i="6"/>
  <c r="X27" i="6"/>
  <c r="AB27" i="6"/>
  <c r="X35" i="6"/>
  <c r="AB35" i="6"/>
  <c r="X43" i="6"/>
  <c r="AB43" i="6"/>
  <c r="X51" i="6"/>
  <c r="AB51" i="6"/>
  <c r="X60" i="6"/>
  <c r="AB60" i="6"/>
  <c r="X68" i="6"/>
  <c r="AB68" i="6"/>
  <c r="X76" i="6"/>
  <c r="AB76" i="6"/>
  <c r="X84" i="6"/>
  <c r="AB84" i="6"/>
  <c r="X92" i="6"/>
  <c r="AB92" i="6"/>
  <c r="X100" i="6"/>
  <c r="AB100" i="6"/>
  <c r="X108" i="6"/>
  <c r="AB108" i="6"/>
  <c r="X116" i="6"/>
  <c r="AB116" i="6"/>
  <c r="X124" i="6"/>
  <c r="AB124" i="6"/>
  <c r="X132" i="6"/>
  <c r="AB132" i="6"/>
  <c r="X140" i="6"/>
  <c r="AB140" i="6"/>
  <c r="X150" i="6"/>
  <c r="AB150" i="6"/>
  <c r="X158" i="6"/>
  <c r="AB158" i="6"/>
  <c r="X166" i="6"/>
  <c r="AB166" i="6"/>
  <c r="X174" i="6"/>
  <c r="AB174" i="6"/>
  <c r="X182" i="6"/>
  <c r="AB182" i="6"/>
  <c r="X190" i="6"/>
  <c r="AB190" i="6"/>
  <c r="X198" i="6"/>
  <c r="AB198" i="6"/>
  <c r="X206" i="6"/>
  <c r="AB206" i="6"/>
  <c r="X214" i="6"/>
  <c r="AB214" i="6"/>
  <c r="X222" i="6"/>
  <c r="AB222" i="6"/>
  <c r="X231" i="6"/>
  <c r="AB231" i="6"/>
  <c r="X239" i="6"/>
  <c r="AB239" i="6"/>
  <c r="X249" i="6"/>
  <c r="AB249" i="6"/>
  <c r="X257" i="6"/>
  <c r="AB257" i="6"/>
  <c r="X265" i="6"/>
  <c r="AB265" i="6"/>
  <c r="X273" i="6"/>
  <c r="AB273" i="6"/>
  <c r="X281" i="6"/>
  <c r="AB281" i="6"/>
  <c r="X20" i="6"/>
  <c r="AB20" i="6"/>
  <c r="X28" i="6"/>
  <c r="AB28" i="6"/>
  <c r="X36" i="6"/>
  <c r="AB36" i="6"/>
  <c r="X44" i="6"/>
  <c r="AB44" i="6"/>
  <c r="X52" i="6"/>
  <c r="AB52" i="6"/>
  <c r="X61" i="6"/>
  <c r="AB61" i="6"/>
  <c r="X69" i="6"/>
  <c r="AB69" i="6"/>
  <c r="X77" i="6"/>
  <c r="AB77" i="6"/>
  <c r="X85" i="6"/>
  <c r="AB85" i="6"/>
  <c r="X93" i="6"/>
  <c r="AB93" i="6"/>
  <c r="X101" i="6"/>
  <c r="AB101" i="6"/>
  <c r="X109" i="6"/>
  <c r="AB109" i="6"/>
  <c r="X117" i="6"/>
  <c r="AB117" i="6"/>
  <c r="X125" i="6"/>
  <c r="AB125" i="6"/>
  <c r="X133" i="6"/>
  <c r="AB133" i="6"/>
  <c r="X141" i="6"/>
  <c r="AB141" i="6"/>
  <c r="X151" i="6"/>
  <c r="AB151" i="6"/>
  <c r="X159" i="6"/>
  <c r="AB159" i="6"/>
  <c r="X167" i="6"/>
  <c r="AB167" i="6"/>
  <c r="X175" i="6"/>
  <c r="AB175" i="6"/>
  <c r="X183" i="6"/>
  <c r="AB183" i="6"/>
  <c r="X191" i="6"/>
  <c r="AB191" i="6"/>
  <c r="X199" i="6"/>
  <c r="AB199" i="6"/>
  <c r="X207" i="6"/>
  <c r="AB207" i="6"/>
  <c r="X215" i="6"/>
  <c r="AB215" i="6"/>
  <c r="X223" i="6"/>
  <c r="AB223" i="6"/>
  <c r="X232" i="6"/>
  <c r="AB232" i="6"/>
  <c r="X242" i="6"/>
  <c r="AB242" i="6"/>
  <c r="X250" i="6"/>
  <c r="AB250" i="6"/>
  <c r="X258" i="6"/>
  <c r="AB258" i="6"/>
  <c r="X266" i="6"/>
  <c r="AB266" i="6"/>
  <c r="X274" i="6"/>
  <c r="AB274" i="6"/>
  <c r="X282" i="6"/>
  <c r="AB282" i="6"/>
  <c r="X290" i="6"/>
  <c r="AB290" i="6"/>
  <c r="X298" i="6"/>
  <c r="AB298" i="6"/>
  <c r="X306" i="6"/>
  <c r="AB306" i="6"/>
  <c r="X314" i="6"/>
  <c r="AB314" i="6"/>
  <c r="X322" i="6"/>
  <c r="AB322" i="6"/>
  <c r="X331" i="6"/>
  <c r="AB331" i="6"/>
  <c r="X339" i="6"/>
  <c r="AB339" i="6"/>
  <c r="X347" i="6"/>
  <c r="AB347" i="6"/>
  <c r="X356" i="6"/>
  <c r="AB356" i="6"/>
  <c r="X365" i="6"/>
  <c r="AB365" i="6"/>
  <c r="X373" i="6"/>
  <c r="AB373" i="6"/>
  <c r="X381" i="6"/>
  <c r="AB381" i="6"/>
  <c r="X389" i="6"/>
  <c r="AB389" i="6"/>
  <c r="X397" i="6"/>
  <c r="AB397" i="6"/>
  <c r="X406" i="6"/>
  <c r="AB406" i="6"/>
  <c r="X414" i="6"/>
  <c r="AB414" i="6"/>
  <c r="X422" i="6"/>
  <c r="AB422" i="6"/>
  <c r="X430" i="6"/>
  <c r="AB430" i="6"/>
  <c r="X438" i="6"/>
  <c r="AB438" i="6"/>
  <c r="X446" i="6"/>
  <c r="AB446" i="6"/>
  <c r="X454" i="6"/>
  <c r="AB454" i="6"/>
  <c r="X462" i="6"/>
  <c r="AB462" i="6"/>
  <c r="X470" i="6"/>
  <c r="AB470" i="6"/>
  <c r="X480" i="6"/>
  <c r="AB480" i="6"/>
  <c r="X489" i="6"/>
  <c r="AB489" i="6"/>
  <c r="X497" i="6"/>
  <c r="AB497" i="6"/>
  <c r="X505" i="6"/>
  <c r="AB505" i="6"/>
  <c r="X513" i="6"/>
  <c r="AB513" i="6"/>
  <c r="X521" i="6"/>
  <c r="AB521" i="6"/>
  <c r="X529" i="6"/>
  <c r="AB529" i="6"/>
  <c r="X537" i="6"/>
  <c r="AB537" i="6"/>
  <c r="X545" i="6"/>
  <c r="AB545" i="6"/>
  <c r="X553" i="6"/>
  <c r="AB553" i="6"/>
  <c r="X561" i="6"/>
  <c r="AB561" i="6"/>
  <c r="X569" i="6"/>
  <c r="AB569" i="6"/>
  <c r="X577" i="6"/>
  <c r="AB577" i="6"/>
  <c r="X585" i="6"/>
  <c r="AB585" i="6"/>
  <c r="X593" i="6"/>
  <c r="AB593" i="6"/>
  <c r="X602" i="6"/>
  <c r="AB602" i="6"/>
  <c r="X610" i="6"/>
  <c r="AB610" i="6"/>
  <c r="X618" i="6"/>
  <c r="AB618" i="6"/>
  <c r="Y21" i="6"/>
  <c r="AC21" i="6"/>
  <c r="Y29" i="6"/>
  <c r="AC29" i="6"/>
  <c r="Y37" i="6"/>
  <c r="AC37" i="6"/>
  <c r="Y45" i="6"/>
  <c r="AC45" i="6"/>
  <c r="Y53" i="6"/>
  <c r="AC53" i="6"/>
  <c r="Y62" i="6"/>
  <c r="AC62" i="6"/>
  <c r="Y70" i="6"/>
  <c r="AC70" i="6"/>
  <c r="Y78" i="6"/>
  <c r="AC78" i="6"/>
  <c r="Y86" i="6"/>
  <c r="AC86" i="6"/>
  <c r="Y94" i="6"/>
  <c r="AC94" i="6"/>
  <c r="Y102" i="6"/>
  <c r="AC102" i="6"/>
  <c r="X21" i="6"/>
  <c r="AB21" i="6"/>
  <c r="X29" i="6"/>
  <c r="AB29" i="6"/>
  <c r="X37" i="6"/>
  <c r="AB37" i="6"/>
  <c r="X45" i="6"/>
  <c r="AB45" i="6"/>
  <c r="X53" i="6"/>
  <c r="AB53" i="6"/>
  <c r="X62" i="6"/>
  <c r="AB62" i="6"/>
  <c r="X70" i="6"/>
  <c r="AB70" i="6"/>
  <c r="X78" i="6"/>
  <c r="AB78" i="6"/>
  <c r="X86" i="6"/>
  <c r="AB86" i="6"/>
  <c r="X94" i="6"/>
  <c r="AB94" i="6"/>
  <c r="X102" i="6"/>
  <c r="AB102" i="6"/>
  <c r="X110" i="6"/>
  <c r="AB110" i="6"/>
  <c r="X118" i="6"/>
  <c r="AB118" i="6"/>
  <c r="X126" i="6"/>
  <c r="AB126" i="6"/>
  <c r="X134" i="6"/>
  <c r="AB134" i="6"/>
  <c r="X144" i="6"/>
  <c r="AB144" i="6"/>
  <c r="X152" i="6"/>
  <c r="AB152" i="6"/>
  <c r="X160" i="6"/>
  <c r="AB160" i="6"/>
  <c r="X168" i="6"/>
  <c r="AB168" i="6"/>
  <c r="X176" i="6"/>
  <c r="AB176" i="6"/>
  <c r="X184" i="6"/>
  <c r="AB184" i="6"/>
  <c r="X192" i="6"/>
  <c r="AB192" i="6"/>
  <c r="X200" i="6"/>
  <c r="AB200" i="6"/>
  <c r="X208" i="6"/>
  <c r="AB208" i="6"/>
  <c r="X216" i="6"/>
  <c r="AB216" i="6"/>
  <c r="X225" i="6"/>
  <c r="AB225" i="6"/>
  <c r="X233" i="6"/>
  <c r="AB233" i="6"/>
  <c r="X243" i="6"/>
  <c r="AB243" i="6"/>
  <c r="X251" i="6"/>
  <c r="AB251" i="6"/>
  <c r="X259" i="6"/>
  <c r="AB259" i="6"/>
  <c r="X267" i="6"/>
  <c r="AB267" i="6"/>
  <c r="X275" i="6"/>
  <c r="AB275" i="6"/>
  <c r="X283" i="6"/>
  <c r="AB283" i="6"/>
  <c r="X291" i="6"/>
  <c r="AB291" i="6"/>
  <c r="X299" i="6"/>
  <c r="AB299" i="6"/>
  <c r="X307" i="6"/>
  <c r="AB307" i="6"/>
  <c r="X315" i="6"/>
  <c r="AB315" i="6"/>
  <c r="X323" i="6"/>
  <c r="AB323" i="6"/>
  <c r="X332" i="6"/>
  <c r="AB332" i="6"/>
  <c r="X340" i="6"/>
  <c r="AB340" i="6"/>
  <c r="X348" i="6"/>
  <c r="AB348" i="6"/>
  <c r="X357" i="6"/>
  <c r="AB357" i="6"/>
  <c r="X366" i="6"/>
  <c r="AB366" i="6"/>
  <c r="X374" i="6"/>
  <c r="AB374" i="6"/>
  <c r="X382" i="6"/>
  <c r="AB382" i="6"/>
  <c r="X390" i="6"/>
  <c r="AB390" i="6"/>
  <c r="X398" i="6"/>
  <c r="AB398" i="6"/>
  <c r="X407" i="6"/>
  <c r="AB407" i="6"/>
  <c r="X415" i="6"/>
  <c r="AB415" i="6"/>
  <c r="X423" i="6"/>
  <c r="AB423" i="6"/>
  <c r="X431" i="6"/>
  <c r="AB431" i="6"/>
  <c r="X439" i="6"/>
  <c r="AB439" i="6"/>
  <c r="X447" i="6"/>
  <c r="AB447" i="6"/>
  <c r="X455" i="6"/>
  <c r="AB455" i="6"/>
  <c r="X463" i="6"/>
  <c r="AB463" i="6"/>
  <c r="X471" i="6"/>
  <c r="AB471" i="6"/>
  <c r="X481" i="6"/>
  <c r="AB481" i="6"/>
  <c r="X490" i="6"/>
  <c r="AB490" i="6"/>
  <c r="X498" i="6"/>
  <c r="AB498" i="6"/>
  <c r="X506" i="6"/>
  <c r="AB506" i="6"/>
  <c r="X514" i="6"/>
  <c r="AB514" i="6"/>
  <c r="X522" i="6"/>
  <c r="AB522" i="6"/>
  <c r="X530" i="6"/>
  <c r="AB530" i="6"/>
  <c r="X538" i="6"/>
  <c r="AB538" i="6"/>
  <c r="X546" i="6"/>
  <c r="AB546" i="6"/>
  <c r="X554" i="6"/>
  <c r="AB554" i="6"/>
  <c r="X562" i="6"/>
  <c r="AB562" i="6"/>
  <c r="X570" i="6"/>
  <c r="AB570" i="6"/>
  <c r="X578" i="6"/>
  <c r="AB578" i="6"/>
  <c r="X586" i="6"/>
  <c r="AB586" i="6"/>
  <c r="X594" i="6"/>
  <c r="AB594" i="6"/>
  <c r="X603" i="6"/>
  <c r="AB603" i="6"/>
  <c r="X611" i="6"/>
  <c r="AB611" i="6"/>
  <c r="X619" i="6"/>
  <c r="AB619" i="6"/>
  <c r="Y22" i="6"/>
  <c r="AC22" i="6"/>
  <c r="Y30" i="6"/>
  <c r="AC30" i="6"/>
  <c r="Y38" i="6"/>
  <c r="AC38" i="6"/>
  <c r="Y46" i="6"/>
  <c r="AC46" i="6"/>
  <c r="Y54" i="6"/>
  <c r="AC54" i="6"/>
  <c r="Y63" i="6"/>
  <c r="AC63" i="6"/>
  <c r="Y71" i="6"/>
  <c r="AC71" i="6"/>
  <c r="Y79" i="6"/>
  <c r="AC79" i="6"/>
  <c r="Y87" i="6"/>
  <c r="AC87" i="6"/>
  <c r="Y95" i="6"/>
  <c r="AC95" i="6"/>
  <c r="Y103" i="6"/>
  <c r="AC103" i="6"/>
  <c r="X22" i="6"/>
  <c r="AB22" i="6"/>
  <c r="X30" i="6"/>
  <c r="AB30" i="6"/>
  <c r="X38" i="6"/>
  <c r="AB38" i="6"/>
  <c r="X46" i="6"/>
  <c r="AB46" i="6"/>
  <c r="X54" i="6"/>
  <c r="AB54" i="6"/>
  <c r="X63" i="6"/>
  <c r="AB63" i="6"/>
  <c r="X71" i="6"/>
  <c r="AB71" i="6"/>
  <c r="X79" i="6"/>
  <c r="AB79" i="6"/>
  <c r="X87" i="6"/>
  <c r="AB87" i="6"/>
  <c r="X95" i="6"/>
  <c r="AB95" i="6"/>
  <c r="X103" i="6"/>
  <c r="AB103" i="6"/>
  <c r="X111" i="6"/>
  <c r="AB111" i="6"/>
  <c r="X119" i="6"/>
  <c r="AB119" i="6"/>
  <c r="X127" i="6"/>
  <c r="AB127" i="6"/>
  <c r="X135" i="6"/>
  <c r="AB135" i="6"/>
  <c r="X145" i="6"/>
  <c r="AB145" i="6"/>
  <c r="X153" i="6"/>
  <c r="AB153" i="6"/>
  <c r="X161" i="6"/>
  <c r="AB161" i="6"/>
  <c r="X169" i="6"/>
  <c r="AB169" i="6"/>
  <c r="X177" i="6"/>
  <c r="AB177" i="6"/>
  <c r="X185" i="6"/>
  <c r="AB185" i="6"/>
  <c r="X193" i="6"/>
  <c r="AB193" i="6"/>
  <c r="X201" i="6"/>
  <c r="AB201" i="6"/>
  <c r="X209" i="6"/>
  <c r="AB209" i="6"/>
  <c r="X217" i="6"/>
  <c r="AB217" i="6"/>
  <c r="X226" i="6"/>
  <c r="AB226" i="6"/>
  <c r="X234" i="6"/>
  <c r="AB234" i="6"/>
  <c r="X244" i="6"/>
  <c r="AB244" i="6"/>
  <c r="X252" i="6"/>
  <c r="AB252" i="6"/>
  <c r="X260" i="6"/>
  <c r="AB260" i="6"/>
  <c r="X268" i="6"/>
  <c r="AB268" i="6"/>
  <c r="X276" i="6"/>
  <c r="AB276" i="6"/>
  <c r="X284" i="6"/>
  <c r="AB284" i="6"/>
  <c r="X292" i="6"/>
  <c r="AB292" i="6"/>
  <c r="X300" i="6"/>
  <c r="AB300" i="6"/>
  <c r="X308" i="6"/>
  <c r="AB308" i="6"/>
  <c r="X316" i="6"/>
  <c r="AB316" i="6"/>
  <c r="X324" i="6"/>
  <c r="AB324" i="6"/>
  <c r="X333" i="6"/>
  <c r="AB333" i="6"/>
  <c r="X341" i="6"/>
  <c r="AB341" i="6"/>
  <c r="X350" i="6"/>
  <c r="AB350" i="6"/>
  <c r="X358" i="6"/>
  <c r="AB358" i="6"/>
  <c r="X367" i="6"/>
  <c r="AB367" i="6"/>
  <c r="X375" i="6"/>
  <c r="AB375" i="6"/>
  <c r="X383" i="6"/>
  <c r="AB383" i="6"/>
  <c r="X391" i="6"/>
  <c r="AB391" i="6"/>
  <c r="X399" i="6"/>
  <c r="AB399" i="6"/>
  <c r="X408" i="6"/>
  <c r="AB408" i="6"/>
  <c r="X416" i="6"/>
  <c r="AB416" i="6"/>
  <c r="X424" i="6"/>
  <c r="AB424" i="6"/>
  <c r="X432" i="6"/>
  <c r="AB432" i="6"/>
  <c r="X440" i="6"/>
  <c r="AB440" i="6"/>
  <c r="X448" i="6"/>
  <c r="AB448" i="6"/>
  <c r="X456" i="6"/>
  <c r="AB456" i="6"/>
  <c r="X464" i="6"/>
  <c r="AB464" i="6"/>
  <c r="X472" i="6"/>
  <c r="AB472" i="6"/>
  <c r="X482" i="6"/>
  <c r="AB482" i="6"/>
  <c r="X491" i="6"/>
  <c r="AB491" i="6"/>
  <c r="X499" i="6"/>
  <c r="AB499" i="6"/>
  <c r="X507" i="6"/>
  <c r="AB507" i="6"/>
  <c r="X515" i="6"/>
  <c r="AB515" i="6"/>
  <c r="X523" i="6"/>
  <c r="AB523" i="6"/>
  <c r="X531" i="6"/>
  <c r="AB531" i="6"/>
  <c r="X539" i="6"/>
  <c r="AB539" i="6"/>
  <c r="X547" i="6"/>
  <c r="AB547" i="6"/>
  <c r="X555" i="6"/>
  <c r="AB555" i="6"/>
  <c r="X563" i="6"/>
  <c r="AB563" i="6"/>
  <c r="X571" i="6"/>
  <c r="AB571" i="6"/>
  <c r="X579" i="6"/>
  <c r="AB579" i="6"/>
  <c r="X587" i="6"/>
  <c r="AB587" i="6"/>
  <c r="X595" i="6"/>
  <c r="AB595" i="6"/>
  <c r="X604" i="6"/>
  <c r="AB604" i="6"/>
  <c r="X612" i="6"/>
  <c r="AB612" i="6"/>
  <c r="X620" i="6"/>
  <c r="AB620" i="6"/>
  <c r="Y23" i="6"/>
  <c r="AC23" i="6"/>
  <c r="Y31" i="6"/>
  <c r="AC31" i="6"/>
  <c r="Y39" i="6"/>
  <c r="AC39" i="6"/>
  <c r="Y47" i="6"/>
  <c r="AC47" i="6"/>
  <c r="Y56" i="6"/>
  <c r="AC56" i="6"/>
  <c r="Y64" i="6"/>
  <c r="AC64" i="6"/>
  <c r="Y72" i="6"/>
  <c r="AC72" i="6"/>
  <c r="Y80" i="6"/>
  <c r="AC80" i="6"/>
  <c r="Y88" i="6"/>
  <c r="AC88" i="6"/>
  <c r="Y96" i="6"/>
  <c r="AC96" i="6"/>
  <c r="Y104" i="6"/>
  <c r="AC104" i="6"/>
  <c r="X23" i="6"/>
  <c r="AB23" i="6"/>
  <c r="X31" i="6"/>
  <c r="AB31" i="6"/>
  <c r="X39" i="6"/>
  <c r="AB39" i="6"/>
  <c r="X47" i="6"/>
  <c r="AB47" i="6"/>
  <c r="X56" i="6"/>
  <c r="AB56" i="6"/>
  <c r="X64" i="6"/>
  <c r="AB64" i="6"/>
  <c r="X72" i="6"/>
  <c r="AB72" i="6"/>
  <c r="X80" i="6"/>
  <c r="AB80" i="6"/>
  <c r="X88" i="6"/>
  <c r="AB88" i="6"/>
  <c r="X96" i="6"/>
  <c r="AB96" i="6"/>
  <c r="X104" i="6"/>
  <c r="AB104" i="6"/>
  <c r="X112" i="6"/>
  <c r="AB112" i="6"/>
  <c r="X120" i="6"/>
  <c r="AB120" i="6"/>
  <c r="X128" i="6"/>
  <c r="AB128" i="6"/>
  <c r="X136" i="6"/>
  <c r="AB136" i="6"/>
  <c r="X146" i="6"/>
  <c r="AB146" i="6"/>
  <c r="X154" i="6"/>
  <c r="AB154" i="6"/>
  <c r="X162" i="6"/>
  <c r="AB162" i="6"/>
  <c r="X170" i="6"/>
  <c r="AB170" i="6"/>
  <c r="X178" i="6"/>
  <c r="AB178" i="6"/>
  <c r="X186" i="6"/>
  <c r="AB186" i="6"/>
  <c r="X194" i="6"/>
  <c r="AB194" i="6"/>
  <c r="X202" i="6"/>
  <c r="AB202" i="6"/>
  <c r="X210" i="6"/>
  <c r="AB210" i="6"/>
  <c r="X218" i="6"/>
  <c r="AB218" i="6"/>
  <c r="X227" i="6"/>
  <c r="AB227" i="6"/>
  <c r="X235" i="6"/>
  <c r="AB235" i="6"/>
  <c r="X245" i="6"/>
  <c r="AB245" i="6"/>
  <c r="X253" i="6"/>
  <c r="AB253" i="6"/>
  <c r="X261" i="6"/>
  <c r="AB261" i="6"/>
  <c r="X269" i="6"/>
  <c r="AB269" i="6"/>
  <c r="X277" i="6"/>
  <c r="AB277" i="6"/>
  <c r="X285" i="6"/>
  <c r="AB285" i="6"/>
  <c r="X293" i="6"/>
  <c r="AB293" i="6"/>
  <c r="X301" i="6"/>
  <c r="AB301" i="6"/>
  <c r="X309" i="6"/>
  <c r="AB309" i="6"/>
  <c r="X317" i="6"/>
  <c r="AB317" i="6"/>
  <c r="X325" i="6"/>
  <c r="AB325" i="6"/>
  <c r="X334" i="6"/>
  <c r="AB334" i="6"/>
  <c r="X342" i="6"/>
  <c r="AB342" i="6"/>
  <c r="X351" i="6"/>
  <c r="AB351" i="6"/>
  <c r="X360" i="6"/>
  <c r="AB360" i="6"/>
  <c r="X368" i="6"/>
  <c r="AB368" i="6"/>
  <c r="X376" i="6"/>
  <c r="AB376" i="6"/>
  <c r="X384" i="6"/>
  <c r="AB384" i="6"/>
  <c r="X392" i="6"/>
  <c r="AB392" i="6"/>
  <c r="X401" i="6"/>
  <c r="AB401" i="6"/>
  <c r="X24" i="6"/>
  <c r="AB24" i="6"/>
  <c r="X32" i="6"/>
  <c r="AB32" i="6"/>
  <c r="X40" i="6"/>
  <c r="AB40" i="6"/>
  <c r="X48" i="6"/>
  <c r="AB48" i="6"/>
  <c r="X57" i="6"/>
  <c r="AB57" i="6"/>
  <c r="X65" i="6"/>
  <c r="AB65" i="6"/>
  <c r="X73" i="6"/>
  <c r="AB73" i="6"/>
  <c r="X81" i="6"/>
  <c r="AB81" i="6"/>
  <c r="X89" i="6"/>
  <c r="AB89" i="6"/>
  <c r="X97" i="6"/>
  <c r="AB97" i="6"/>
  <c r="X105" i="6"/>
  <c r="AB105" i="6"/>
  <c r="X113" i="6"/>
  <c r="AB113" i="6"/>
  <c r="X121" i="6"/>
  <c r="AB121" i="6"/>
  <c r="X129" i="6"/>
  <c r="AB129" i="6"/>
  <c r="X137" i="6"/>
  <c r="AB137" i="6"/>
  <c r="X147" i="6"/>
  <c r="AB147" i="6"/>
  <c r="X155" i="6"/>
  <c r="AB155" i="6"/>
  <c r="X163" i="6"/>
  <c r="AB163" i="6"/>
  <c r="X171" i="6"/>
  <c r="AB171" i="6"/>
  <c r="X179" i="6"/>
  <c r="AB179" i="6"/>
  <c r="X187" i="6"/>
  <c r="AB187" i="6"/>
  <c r="X195" i="6"/>
  <c r="AB195" i="6"/>
  <c r="X203" i="6"/>
  <c r="AB203" i="6"/>
  <c r="X211" i="6"/>
  <c r="AB211" i="6"/>
  <c r="X219" i="6"/>
  <c r="AB219" i="6"/>
  <c r="X228" i="6"/>
  <c r="AB228" i="6"/>
  <c r="X236" i="6"/>
  <c r="AB236" i="6"/>
  <c r="X246" i="6"/>
  <c r="AB246" i="6"/>
  <c r="X254" i="6"/>
  <c r="AB254" i="6"/>
  <c r="X262" i="6"/>
  <c r="AB262" i="6"/>
  <c r="X270" i="6"/>
  <c r="AB270" i="6"/>
  <c r="X278" i="6"/>
  <c r="AB278" i="6"/>
  <c r="X286" i="6"/>
  <c r="AB286" i="6"/>
  <c r="X294" i="6"/>
  <c r="AB294" i="6"/>
  <c r="X302" i="6"/>
  <c r="AB302" i="6"/>
  <c r="X310" i="6"/>
  <c r="AB310" i="6"/>
  <c r="X318" i="6"/>
  <c r="AB318" i="6"/>
  <c r="X326" i="6"/>
  <c r="AB326" i="6"/>
  <c r="X335" i="6"/>
  <c r="AB335" i="6"/>
  <c r="X343" i="6"/>
  <c r="AB343" i="6"/>
  <c r="X352" i="6"/>
  <c r="AB352" i="6"/>
  <c r="X361" i="6"/>
  <c r="AB361" i="6"/>
  <c r="X369" i="6"/>
  <c r="AB369" i="6"/>
  <c r="X377" i="6"/>
  <c r="AB377" i="6"/>
  <c r="X385" i="6"/>
  <c r="AB385" i="6"/>
  <c r="X393" i="6"/>
  <c r="AB393" i="6"/>
  <c r="X402" i="6"/>
  <c r="AB402" i="6"/>
  <c r="X410" i="6"/>
  <c r="AB410" i="6"/>
  <c r="X418" i="6"/>
  <c r="AB418" i="6"/>
  <c r="X426" i="6"/>
  <c r="AB426" i="6"/>
  <c r="X434" i="6"/>
  <c r="AB434" i="6"/>
  <c r="X442" i="6"/>
  <c r="AB442" i="6"/>
  <c r="X450" i="6"/>
  <c r="AB450" i="6"/>
  <c r="X458" i="6"/>
  <c r="AB458" i="6"/>
  <c r="X466" i="6"/>
  <c r="AB466" i="6"/>
  <c r="X474" i="6"/>
  <c r="AB474" i="6"/>
  <c r="X484" i="6"/>
  <c r="AB484" i="6"/>
  <c r="X493" i="6"/>
  <c r="AB493" i="6"/>
  <c r="X501" i="6"/>
  <c r="AB501" i="6"/>
  <c r="X509" i="6"/>
  <c r="AB509" i="6"/>
  <c r="X517" i="6"/>
  <c r="AB517" i="6"/>
  <c r="X525" i="6"/>
  <c r="AB525" i="6"/>
  <c r="X533" i="6"/>
  <c r="AB533" i="6"/>
  <c r="X541" i="6"/>
  <c r="AB541" i="6"/>
  <c r="X17" i="6"/>
  <c r="AB17" i="6"/>
  <c r="X25" i="6"/>
  <c r="AB25" i="6"/>
  <c r="X33" i="6"/>
  <c r="AB33" i="6"/>
  <c r="X41" i="6"/>
  <c r="AB41" i="6"/>
  <c r="X34" i="6"/>
  <c r="AB34" i="6"/>
  <c r="X74" i="6"/>
  <c r="AB74" i="6"/>
  <c r="X106" i="6"/>
  <c r="AB106" i="6"/>
  <c r="X138" i="6"/>
  <c r="AB138" i="6"/>
  <c r="X172" i="6"/>
  <c r="AB172" i="6"/>
  <c r="X204" i="6"/>
  <c r="AB204" i="6"/>
  <c r="X237" i="6"/>
  <c r="AB237" i="6"/>
  <c r="X271" i="6"/>
  <c r="AB271" i="6"/>
  <c r="X296" i="6"/>
  <c r="AB296" i="6"/>
  <c r="X319" i="6"/>
  <c r="AB319" i="6"/>
  <c r="X338" i="6"/>
  <c r="AB338" i="6"/>
  <c r="X363" i="6"/>
  <c r="AB363" i="6"/>
  <c r="X386" i="6"/>
  <c r="AB386" i="6"/>
  <c r="X405" i="6"/>
  <c r="AB405" i="6"/>
  <c r="X421" i="6"/>
  <c r="AB421" i="6"/>
  <c r="X437" i="6"/>
  <c r="AB437" i="6"/>
  <c r="X453" i="6"/>
  <c r="AB453" i="6"/>
  <c r="X469" i="6"/>
  <c r="AB469" i="6"/>
  <c r="X487" i="6"/>
  <c r="AB487" i="6"/>
  <c r="X504" i="6"/>
  <c r="AB504" i="6"/>
  <c r="X520" i="6"/>
  <c r="AB520" i="6"/>
  <c r="X536" i="6"/>
  <c r="AB536" i="6"/>
  <c r="X551" i="6"/>
  <c r="AB551" i="6"/>
  <c r="X565" i="6"/>
  <c r="AB565" i="6"/>
  <c r="X576" i="6"/>
  <c r="AB576" i="6"/>
  <c r="X590" i="6"/>
  <c r="AB590" i="6"/>
  <c r="X605" i="6"/>
  <c r="AB605" i="6"/>
  <c r="X616" i="6"/>
  <c r="AB616" i="6"/>
  <c r="Y25" i="6"/>
  <c r="AC25" i="6"/>
  <c r="Y36" i="6"/>
  <c r="AC36" i="6"/>
  <c r="Y50" i="6"/>
  <c r="AC50" i="6"/>
  <c r="Y65" i="6"/>
  <c r="AC65" i="6"/>
  <c r="Y76" i="6"/>
  <c r="AC76" i="6"/>
  <c r="Y90" i="6"/>
  <c r="AC90" i="6"/>
  <c r="Y101" i="6"/>
  <c r="AC101" i="6"/>
  <c r="Y112" i="6"/>
  <c r="AC112" i="6"/>
  <c r="Y120" i="6"/>
  <c r="AC120" i="6"/>
  <c r="Y128" i="6"/>
  <c r="AC128" i="6"/>
  <c r="Y136" i="6"/>
  <c r="AC136" i="6"/>
  <c r="Y146" i="6"/>
  <c r="AC146" i="6"/>
  <c r="Y154" i="6"/>
  <c r="AC154" i="6"/>
  <c r="Y162" i="6"/>
  <c r="AC162" i="6"/>
  <c r="Y170" i="6"/>
  <c r="AC170" i="6"/>
  <c r="Y178" i="6"/>
  <c r="AC178" i="6"/>
  <c r="Y186" i="6"/>
  <c r="AC186" i="6"/>
  <c r="Y194" i="6"/>
  <c r="AC194" i="6"/>
  <c r="Y202" i="6"/>
  <c r="AC202" i="6"/>
  <c r="Y210" i="6"/>
  <c r="AC210" i="6"/>
  <c r="Y218" i="6"/>
  <c r="AC218" i="6"/>
  <c r="Y227" i="6"/>
  <c r="AC227" i="6"/>
  <c r="Y235" i="6"/>
  <c r="AC235" i="6"/>
  <c r="Y245" i="6"/>
  <c r="AC245" i="6"/>
  <c r="Y253" i="6"/>
  <c r="AC253" i="6"/>
  <c r="Y261" i="6"/>
  <c r="AC261" i="6"/>
  <c r="Y269" i="6"/>
  <c r="AC269" i="6"/>
  <c r="Y277" i="6"/>
  <c r="AC277" i="6"/>
  <c r="Y285" i="6"/>
  <c r="AC285" i="6"/>
  <c r="Y293" i="6"/>
  <c r="AC293" i="6"/>
  <c r="Y301" i="6"/>
  <c r="AC301" i="6"/>
  <c r="Y309" i="6"/>
  <c r="AC309" i="6"/>
  <c r="Y317" i="6"/>
  <c r="AC317" i="6"/>
  <c r="Y325" i="6"/>
  <c r="AC325" i="6"/>
  <c r="Y334" i="6"/>
  <c r="AC334" i="6"/>
  <c r="Y342" i="6"/>
  <c r="AC342" i="6"/>
  <c r="Y351" i="6"/>
  <c r="AC351" i="6"/>
  <c r="Y360" i="6"/>
  <c r="AC360" i="6"/>
  <c r="Y368" i="6"/>
  <c r="AC368" i="6"/>
  <c r="Y376" i="6"/>
  <c r="AC376" i="6"/>
  <c r="Y384" i="6"/>
  <c r="AC384" i="6"/>
  <c r="Y392" i="6"/>
  <c r="AC392" i="6"/>
  <c r="Y401" i="6"/>
  <c r="AC401" i="6"/>
  <c r="Y409" i="6"/>
  <c r="AC409" i="6"/>
  <c r="Y417" i="6"/>
  <c r="AC417" i="6"/>
  <c r="Y425" i="6"/>
  <c r="AC425" i="6"/>
  <c r="Y433" i="6"/>
  <c r="AC433" i="6"/>
  <c r="Y441" i="6"/>
  <c r="AC441" i="6"/>
  <c r="Y449" i="6"/>
  <c r="AC449" i="6"/>
  <c r="Y457" i="6"/>
  <c r="AC457" i="6"/>
  <c r="Y465" i="6"/>
  <c r="AC465" i="6"/>
  <c r="Y473" i="6"/>
  <c r="AC473" i="6"/>
  <c r="Y483" i="6"/>
  <c r="AC483" i="6"/>
  <c r="Y492" i="6"/>
  <c r="AC492" i="6"/>
  <c r="Y500" i="6"/>
  <c r="AC500" i="6"/>
  <c r="Y508" i="6"/>
  <c r="AC508" i="6"/>
  <c r="X42" i="6"/>
  <c r="AB42" i="6"/>
  <c r="X75" i="6"/>
  <c r="AB75" i="6"/>
  <c r="X107" i="6"/>
  <c r="AB107" i="6"/>
  <c r="X139" i="6"/>
  <c r="AB139" i="6"/>
  <c r="X173" i="6"/>
  <c r="AB173" i="6"/>
  <c r="X205" i="6"/>
  <c r="AB205" i="6"/>
  <c r="X238" i="6"/>
  <c r="AB238" i="6"/>
  <c r="X272" i="6"/>
  <c r="AB272" i="6"/>
  <c r="X297" i="6"/>
  <c r="AB297" i="6"/>
  <c r="X320" i="6"/>
  <c r="AB320" i="6"/>
  <c r="X344" i="6"/>
  <c r="AB344" i="6"/>
  <c r="X364" i="6"/>
  <c r="AB364" i="6"/>
  <c r="X387" i="6"/>
  <c r="AB387" i="6"/>
  <c r="X409" i="6"/>
  <c r="AB409" i="6"/>
  <c r="X425" i="6"/>
  <c r="AB425" i="6"/>
  <c r="X441" i="6"/>
  <c r="AB441" i="6"/>
  <c r="X457" i="6"/>
  <c r="AB457" i="6"/>
  <c r="X473" i="6"/>
  <c r="AB473" i="6"/>
  <c r="X492" i="6"/>
  <c r="AB492" i="6"/>
  <c r="X508" i="6"/>
  <c r="AB508" i="6"/>
  <c r="X524" i="6"/>
  <c r="AB524" i="6"/>
  <c r="X540" i="6"/>
  <c r="AB540" i="6"/>
  <c r="X552" i="6"/>
  <c r="AB552" i="6"/>
  <c r="X566" i="6"/>
  <c r="AB566" i="6"/>
  <c r="X580" i="6"/>
  <c r="AB580" i="6"/>
  <c r="X591" i="6"/>
  <c r="AB591" i="6"/>
  <c r="X606" i="6"/>
  <c r="AB606" i="6"/>
  <c r="X617" i="6"/>
  <c r="AB617" i="6"/>
  <c r="Y26" i="6"/>
  <c r="AC26" i="6"/>
  <c r="Y40" i="6"/>
  <c r="AC40" i="6"/>
  <c r="Y51" i="6"/>
  <c r="AC51" i="6"/>
  <c r="Y66" i="6"/>
  <c r="AC66" i="6"/>
  <c r="Y77" i="6"/>
  <c r="AC77" i="6"/>
  <c r="Y91" i="6"/>
  <c r="AC91" i="6"/>
  <c r="Y105" i="6"/>
  <c r="AC105" i="6"/>
  <c r="Y113" i="6"/>
  <c r="AC113" i="6"/>
  <c r="Y121" i="6"/>
  <c r="AC121" i="6"/>
  <c r="Y129" i="6"/>
  <c r="AC129" i="6"/>
  <c r="Y137" i="6"/>
  <c r="AC137" i="6"/>
  <c r="Y147" i="6"/>
  <c r="AC147" i="6"/>
  <c r="Y155" i="6"/>
  <c r="AC155" i="6"/>
  <c r="Y163" i="6"/>
  <c r="AC163" i="6"/>
  <c r="Y171" i="6"/>
  <c r="AC171" i="6"/>
  <c r="Y179" i="6"/>
  <c r="AC179" i="6"/>
  <c r="Y187" i="6"/>
  <c r="AC187" i="6"/>
  <c r="Y195" i="6"/>
  <c r="AC195" i="6"/>
  <c r="Y203" i="6"/>
  <c r="AC203" i="6"/>
  <c r="Y211" i="6"/>
  <c r="AC211" i="6"/>
  <c r="Y219" i="6"/>
  <c r="AC219" i="6"/>
  <c r="Y228" i="6"/>
  <c r="AC228" i="6"/>
  <c r="Y236" i="6"/>
  <c r="AC236" i="6"/>
  <c r="Y246" i="6"/>
  <c r="AC246" i="6"/>
  <c r="Y254" i="6"/>
  <c r="AC254" i="6"/>
  <c r="Y262" i="6"/>
  <c r="AC262" i="6"/>
  <c r="Y270" i="6"/>
  <c r="AC270" i="6"/>
  <c r="Y278" i="6"/>
  <c r="AC278" i="6"/>
  <c r="Y286" i="6"/>
  <c r="AC286" i="6"/>
  <c r="Y294" i="6"/>
  <c r="AC294" i="6"/>
  <c r="Y302" i="6"/>
  <c r="AC302" i="6"/>
  <c r="Y310" i="6"/>
  <c r="AC310" i="6"/>
  <c r="Y318" i="6"/>
  <c r="AC318" i="6"/>
  <c r="Y326" i="6"/>
  <c r="AC326" i="6"/>
  <c r="Y335" i="6"/>
  <c r="AC335" i="6"/>
  <c r="Y343" i="6"/>
  <c r="AC343" i="6"/>
  <c r="Y352" i="6"/>
  <c r="AC352" i="6"/>
  <c r="Y361" i="6"/>
  <c r="AC361" i="6"/>
  <c r="Y369" i="6"/>
  <c r="AC369" i="6"/>
  <c r="Y377" i="6"/>
  <c r="AC377" i="6"/>
  <c r="Y385" i="6"/>
  <c r="AC385" i="6"/>
  <c r="Y393" i="6"/>
  <c r="AC393" i="6"/>
  <c r="Y402" i="6"/>
  <c r="AC402" i="6"/>
  <c r="Y410" i="6"/>
  <c r="AC410" i="6"/>
  <c r="Y418" i="6"/>
  <c r="AC418" i="6"/>
  <c r="Y426" i="6"/>
  <c r="AC426" i="6"/>
  <c r="Y434" i="6"/>
  <c r="AC434" i="6"/>
  <c r="Y442" i="6"/>
  <c r="AC442" i="6"/>
  <c r="Y450" i="6"/>
  <c r="AC450" i="6"/>
  <c r="Y458" i="6"/>
  <c r="AC458" i="6"/>
  <c r="Y466" i="6"/>
  <c r="AC466" i="6"/>
  <c r="Y474" i="6"/>
  <c r="AC474" i="6"/>
  <c r="Y484" i="6"/>
  <c r="AC484" i="6"/>
  <c r="Y493" i="6"/>
  <c r="AC493" i="6"/>
  <c r="Y501" i="6"/>
  <c r="AC501" i="6"/>
  <c r="Y509" i="6"/>
  <c r="AC509" i="6"/>
  <c r="X49" i="6"/>
  <c r="AB49" i="6"/>
  <c r="X82" i="6"/>
  <c r="AB82" i="6"/>
  <c r="X114" i="6"/>
  <c r="AB114" i="6"/>
  <c r="X148" i="6"/>
  <c r="AB148" i="6"/>
  <c r="X180" i="6"/>
  <c r="AB180" i="6"/>
  <c r="X212" i="6"/>
  <c r="AB212" i="6"/>
  <c r="X247" i="6"/>
  <c r="AB247" i="6"/>
  <c r="X279" i="6"/>
  <c r="AB279" i="6"/>
  <c r="X303" i="6"/>
  <c r="AB303" i="6"/>
  <c r="X321" i="6"/>
  <c r="AB321" i="6"/>
  <c r="X345" i="6"/>
  <c r="AB345" i="6"/>
  <c r="X370" i="6"/>
  <c r="AB370" i="6"/>
  <c r="X388" i="6"/>
  <c r="AB388" i="6"/>
  <c r="X411" i="6"/>
  <c r="AB411" i="6"/>
  <c r="X427" i="6"/>
  <c r="AB427" i="6"/>
  <c r="X443" i="6"/>
  <c r="AB443" i="6"/>
  <c r="X459" i="6"/>
  <c r="AB459" i="6"/>
  <c r="X475" i="6"/>
  <c r="AB475" i="6"/>
  <c r="X494" i="6"/>
  <c r="AB494" i="6"/>
  <c r="X510" i="6"/>
  <c r="AB510" i="6"/>
  <c r="X526" i="6"/>
  <c r="AB526" i="6"/>
  <c r="X542" i="6"/>
  <c r="AB542" i="6"/>
  <c r="X556" i="6"/>
  <c r="AB556" i="6"/>
  <c r="X567" i="6"/>
  <c r="AB567" i="6"/>
  <c r="X581" i="6"/>
  <c r="AB581" i="6"/>
  <c r="X592" i="6"/>
  <c r="AB592" i="6"/>
  <c r="X607" i="6"/>
  <c r="AB607" i="6"/>
  <c r="X621" i="6"/>
  <c r="AB621" i="6"/>
  <c r="Y27" i="6"/>
  <c r="AC27" i="6"/>
  <c r="Y41" i="6"/>
  <c r="AC41" i="6"/>
  <c r="Y52" i="6"/>
  <c r="AC52" i="6"/>
  <c r="Y67" i="6"/>
  <c r="AC67" i="6"/>
  <c r="Y81" i="6"/>
  <c r="AC81" i="6"/>
  <c r="Y92" i="6"/>
  <c r="AC92" i="6"/>
  <c r="Y106" i="6"/>
  <c r="AC106" i="6"/>
  <c r="Y114" i="6"/>
  <c r="AC114" i="6"/>
  <c r="Y122" i="6"/>
  <c r="AC122" i="6"/>
  <c r="Y130" i="6"/>
  <c r="AC130" i="6"/>
  <c r="Y138" i="6"/>
  <c r="AC138" i="6"/>
  <c r="Y148" i="6"/>
  <c r="AC148" i="6"/>
  <c r="Y156" i="6"/>
  <c r="AC156" i="6"/>
  <c r="Y164" i="6"/>
  <c r="AC164" i="6"/>
  <c r="Y172" i="6"/>
  <c r="AC172" i="6"/>
  <c r="Y180" i="6"/>
  <c r="AC180" i="6"/>
  <c r="Y188" i="6"/>
  <c r="AC188" i="6"/>
  <c r="Y196" i="6"/>
  <c r="AC196" i="6"/>
  <c r="Y204" i="6"/>
  <c r="AC204" i="6"/>
  <c r="Y212" i="6"/>
  <c r="AC212" i="6"/>
  <c r="Y220" i="6"/>
  <c r="AC220" i="6"/>
  <c r="Y229" i="6"/>
  <c r="AC229" i="6"/>
  <c r="Y237" i="6"/>
  <c r="AC237" i="6"/>
  <c r="Y247" i="6"/>
  <c r="AC247" i="6"/>
  <c r="Y255" i="6"/>
  <c r="AC255" i="6"/>
  <c r="Y263" i="6"/>
  <c r="AC263" i="6"/>
  <c r="Y271" i="6"/>
  <c r="AC271" i="6"/>
  <c r="Y279" i="6"/>
  <c r="AC279" i="6"/>
  <c r="Y287" i="6"/>
  <c r="AC287" i="6"/>
  <c r="Y295" i="6"/>
  <c r="AC295" i="6"/>
  <c r="Y303" i="6"/>
  <c r="AC303" i="6"/>
  <c r="Y311" i="6"/>
  <c r="AC311" i="6"/>
  <c r="Y319" i="6"/>
  <c r="AC319" i="6"/>
  <c r="Y327" i="6"/>
  <c r="AC327" i="6"/>
  <c r="Y336" i="6"/>
  <c r="AC336" i="6"/>
  <c r="Y344" i="6"/>
  <c r="AC344" i="6"/>
  <c r="Y353" i="6"/>
  <c r="AC353" i="6"/>
  <c r="Y362" i="6"/>
  <c r="AC362" i="6"/>
  <c r="Y370" i="6"/>
  <c r="AC370" i="6"/>
  <c r="Y378" i="6"/>
  <c r="AC378" i="6"/>
  <c r="Y386" i="6"/>
  <c r="AC386" i="6"/>
  <c r="Y394" i="6"/>
  <c r="AC394" i="6"/>
  <c r="Y403" i="6"/>
  <c r="AC403" i="6"/>
  <c r="Y411" i="6"/>
  <c r="AC411" i="6"/>
  <c r="Y419" i="6"/>
  <c r="AC419" i="6"/>
  <c r="Y427" i="6"/>
  <c r="AC427" i="6"/>
  <c r="Y435" i="6"/>
  <c r="AC435" i="6"/>
  <c r="Y443" i="6"/>
  <c r="AC443" i="6"/>
  <c r="Y451" i="6"/>
  <c r="AC451" i="6"/>
  <c r="Y459" i="6"/>
  <c r="AC459" i="6"/>
  <c r="Y467" i="6"/>
  <c r="AC467" i="6"/>
  <c r="Y475" i="6"/>
  <c r="AC475" i="6"/>
  <c r="Y485" i="6"/>
  <c r="AC485" i="6"/>
  <c r="Y494" i="6"/>
  <c r="AC494" i="6"/>
  <c r="Y502" i="6"/>
  <c r="AC502" i="6"/>
  <c r="Y510" i="6"/>
  <c r="AC510" i="6"/>
  <c r="Y518" i="6"/>
  <c r="AC518" i="6"/>
  <c r="X50" i="6"/>
  <c r="AB50" i="6"/>
  <c r="X83" i="6"/>
  <c r="AB83" i="6"/>
  <c r="X115" i="6"/>
  <c r="AB115" i="6"/>
  <c r="X149" i="6"/>
  <c r="AB149" i="6"/>
  <c r="X181" i="6"/>
  <c r="AB181" i="6"/>
  <c r="X213" i="6"/>
  <c r="AB213" i="6"/>
  <c r="X248" i="6"/>
  <c r="AB248" i="6"/>
  <c r="X280" i="6"/>
  <c r="AB280" i="6"/>
  <c r="X304" i="6"/>
  <c r="AB304" i="6"/>
  <c r="X327" i="6"/>
  <c r="AB327" i="6"/>
  <c r="X346" i="6"/>
  <c r="AB346" i="6"/>
  <c r="X371" i="6"/>
  <c r="AB371" i="6"/>
  <c r="X394" i="6"/>
  <c r="AB394" i="6"/>
  <c r="X412" i="6"/>
  <c r="AB412" i="6"/>
  <c r="X428" i="6"/>
  <c r="AB428" i="6"/>
  <c r="X444" i="6"/>
  <c r="AB444" i="6"/>
  <c r="X460" i="6"/>
  <c r="AB460" i="6"/>
  <c r="X478" i="6"/>
  <c r="AB478" i="6"/>
  <c r="X495" i="6"/>
  <c r="AB495" i="6"/>
  <c r="X511" i="6"/>
  <c r="AB511" i="6"/>
  <c r="X527" i="6"/>
  <c r="AB527" i="6"/>
  <c r="X543" i="6"/>
  <c r="AB543" i="6"/>
  <c r="X557" i="6"/>
  <c r="AB557" i="6"/>
  <c r="X568" i="6"/>
  <c r="AB568" i="6"/>
  <c r="X582" i="6"/>
  <c r="AB582" i="6"/>
  <c r="X596" i="6"/>
  <c r="AB596" i="6"/>
  <c r="X608" i="6"/>
  <c r="AB608" i="6"/>
  <c r="Y17" i="6"/>
  <c r="AC17" i="6"/>
  <c r="Y28" i="6"/>
  <c r="AC28" i="6"/>
  <c r="Y42" i="6"/>
  <c r="AC42" i="6"/>
  <c r="Y57" i="6"/>
  <c r="AC57" i="6"/>
  <c r="Y68" i="6"/>
  <c r="AC68" i="6"/>
  <c r="Y82" i="6"/>
  <c r="AC82" i="6"/>
  <c r="Y93" i="6"/>
  <c r="AC93" i="6"/>
  <c r="Y107" i="6"/>
  <c r="AC107" i="6"/>
  <c r="Y115" i="6"/>
  <c r="AC115" i="6"/>
  <c r="Y123" i="6"/>
  <c r="AC123" i="6"/>
  <c r="Y131" i="6"/>
  <c r="AC131" i="6"/>
  <c r="Y139" i="6"/>
  <c r="AC139" i="6"/>
  <c r="Y149" i="6"/>
  <c r="AC149" i="6"/>
  <c r="Y157" i="6"/>
  <c r="AC157" i="6"/>
  <c r="Y165" i="6"/>
  <c r="AC165" i="6"/>
  <c r="Y173" i="6"/>
  <c r="AC173" i="6"/>
  <c r="Y181" i="6"/>
  <c r="AC181" i="6"/>
  <c r="Y189" i="6"/>
  <c r="AC189" i="6"/>
  <c r="Y197" i="6"/>
  <c r="AC197" i="6"/>
  <c r="Y205" i="6"/>
  <c r="AC205" i="6"/>
  <c r="Y213" i="6"/>
  <c r="AC213" i="6"/>
  <c r="Y221" i="6"/>
  <c r="AC221" i="6"/>
  <c r="Y230" i="6"/>
  <c r="AC230" i="6"/>
  <c r="Y238" i="6"/>
  <c r="AC238" i="6"/>
  <c r="Y248" i="6"/>
  <c r="AC248" i="6"/>
  <c r="Y256" i="6"/>
  <c r="AC256" i="6"/>
  <c r="Y264" i="6"/>
  <c r="AC264" i="6"/>
  <c r="Y272" i="6"/>
  <c r="AC272" i="6"/>
  <c r="Y280" i="6"/>
  <c r="AC280" i="6"/>
  <c r="Y288" i="6"/>
  <c r="AC288" i="6"/>
  <c r="Y296" i="6"/>
  <c r="AC296" i="6"/>
  <c r="Y304" i="6"/>
  <c r="AC304" i="6"/>
  <c r="Y312" i="6"/>
  <c r="AC312" i="6"/>
  <c r="Y320" i="6"/>
  <c r="AC320" i="6"/>
  <c r="Y328" i="6"/>
  <c r="AC328" i="6"/>
  <c r="Y337" i="6"/>
  <c r="AC337" i="6"/>
  <c r="Y345" i="6"/>
  <c r="AC345" i="6"/>
  <c r="Y354" i="6"/>
  <c r="AC354" i="6"/>
  <c r="Y363" i="6"/>
  <c r="AC363" i="6"/>
  <c r="Y371" i="6"/>
  <c r="AC371" i="6"/>
  <c r="Y379" i="6"/>
  <c r="AC379" i="6"/>
  <c r="Y387" i="6"/>
  <c r="AC387" i="6"/>
  <c r="Y395" i="6"/>
  <c r="AC395" i="6"/>
  <c r="Y404" i="6"/>
  <c r="AC404" i="6"/>
  <c r="Y412" i="6"/>
  <c r="AC412" i="6"/>
  <c r="Y420" i="6"/>
  <c r="AC420" i="6"/>
  <c r="Y428" i="6"/>
  <c r="AC428" i="6"/>
  <c r="Y436" i="6"/>
  <c r="AC436" i="6"/>
  <c r="Y444" i="6"/>
  <c r="AC444" i="6"/>
  <c r="Y452" i="6"/>
  <c r="AC452" i="6"/>
  <c r="Y460" i="6"/>
  <c r="AC460" i="6"/>
  <c r="Y468" i="6"/>
  <c r="AC468" i="6"/>
  <c r="Y478" i="6"/>
  <c r="AC478" i="6"/>
  <c r="Y486" i="6"/>
  <c r="AC486" i="6"/>
  <c r="Y495" i="6"/>
  <c r="AC495" i="6"/>
  <c r="Y503" i="6"/>
  <c r="AC503" i="6"/>
  <c r="X58" i="6"/>
  <c r="AB58" i="6"/>
  <c r="X90" i="6"/>
  <c r="AB90" i="6"/>
  <c r="X122" i="6"/>
  <c r="AB122" i="6"/>
  <c r="X156" i="6"/>
  <c r="AB156" i="6"/>
  <c r="X188" i="6"/>
  <c r="AB188" i="6"/>
  <c r="X220" i="6"/>
  <c r="AB220" i="6"/>
  <c r="X255" i="6"/>
  <c r="AB255" i="6"/>
  <c r="X287" i="6"/>
  <c r="AB287" i="6"/>
  <c r="X305" i="6"/>
  <c r="AB305" i="6"/>
  <c r="X328" i="6"/>
  <c r="AB328" i="6"/>
  <c r="X353" i="6"/>
  <c r="AB353" i="6"/>
  <c r="X372" i="6"/>
  <c r="AB372" i="6"/>
  <c r="X395" i="6"/>
  <c r="AB395" i="6"/>
  <c r="X413" i="6"/>
  <c r="AB413" i="6"/>
  <c r="X429" i="6"/>
  <c r="AB429" i="6"/>
  <c r="X445" i="6"/>
  <c r="AB445" i="6"/>
  <c r="X461" i="6"/>
  <c r="AB461" i="6"/>
  <c r="X479" i="6"/>
  <c r="AB479" i="6"/>
  <c r="X496" i="6"/>
  <c r="AB496" i="6"/>
  <c r="X512" i="6"/>
  <c r="AB512" i="6"/>
  <c r="X528" i="6"/>
  <c r="AB528" i="6"/>
  <c r="X544" i="6"/>
  <c r="AB544" i="6"/>
  <c r="X558" i="6"/>
  <c r="AB558" i="6"/>
  <c r="X572" i="6"/>
  <c r="AB572" i="6"/>
  <c r="X583" i="6"/>
  <c r="AB583" i="6"/>
  <c r="X597" i="6"/>
  <c r="AB597" i="6"/>
  <c r="X609" i="6"/>
  <c r="AB609" i="6"/>
  <c r="Y18" i="6"/>
  <c r="AC18" i="6"/>
  <c r="Y32" i="6"/>
  <c r="AC32" i="6"/>
  <c r="Y43" i="6"/>
  <c r="AC43" i="6"/>
  <c r="Y58" i="6"/>
  <c r="AC58" i="6"/>
  <c r="Y69" i="6"/>
  <c r="AC69" i="6"/>
  <c r="Y83" i="6"/>
  <c r="AC83" i="6"/>
  <c r="Y97" i="6"/>
  <c r="AC97" i="6"/>
  <c r="Y108" i="6"/>
  <c r="AC108" i="6"/>
  <c r="Y116" i="6"/>
  <c r="AC116" i="6"/>
  <c r="Y124" i="6"/>
  <c r="AC124" i="6"/>
  <c r="Y132" i="6"/>
  <c r="AC132" i="6"/>
  <c r="Y140" i="6"/>
  <c r="AC140" i="6"/>
  <c r="Y150" i="6"/>
  <c r="AC150" i="6"/>
  <c r="Y158" i="6"/>
  <c r="AC158" i="6"/>
  <c r="Y166" i="6"/>
  <c r="AC166" i="6"/>
  <c r="Y174" i="6"/>
  <c r="AC174" i="6"/>
  <c r="Y182" i="6"/>
  <c r="AC182" i="6"/>
  <c r="Y190" i="6"/>
  <c r="AC190" i="6"/>
  <c r="Y198" i="6"/>
  <c r="AC198" i="6"/>
  <c r="Y206" i="6"/>
  <c r="AC206" i="6"/>
  <c r="Y214" i="6"/>
  <c r="AC214" i="6"/>
  <c r="Y222" i="6"/>
  <c r="AC222" i="6"/>
  <c r="Y231" i="6"/>
  <c r="AC231" i="6"/>
  <c r="Y239" i="6"/>
  <c r="AC239" i="6"/>
  <c r="Y249" i="6"/>
  <c r="AC249" i="6"/>
  <c r="Y257" i="6"/>
  <c r="AC257" i="6"/>
  <c r="Y265" i="6"/>
  <c r="AC265" i="6"/>
  <c r="Y273" i="6"/>
  <c r="AC273" i="6"/>
  <c r="Y281" i="6"/>
  <c r="AC281" i="6"/>
  <c r="Y289" i="6"/>
  <c r="AC289" i="6"/>
  <c r="Y297" i="6"/>
  <c r="AC297" i="6"/>
  <c r="Y305" i="6"/>
  <c r="AC305" i="6"/>
  <c r="Y313" i="6"/>
  <c r="AC313" i="6"/>
  <c r="Y321" i="6"/>
  <c r="AC321" i="6"/>
  <c r="Y330" i="6"/>
  <c r="AC330" i="6"/>
  <c r="Y338" i="6"/>
  <c r="AC338" i="6"/>
  <c r="Y346" i="6"/>
  <c r="AC346" i="6"/>
  <c r="Y355" i="6"/>
  <c r="AC355" i="6"/>
  <c r="Y364" i="6"/>
  <c r="AC364" i="6"/>
  <c r="Y372" i="6"/>
  <c r="AC372" i="6"/>
  <c r="Y380" i="6"/>
  <c r="AC380" i="6"/>
  <c r="Y388" i="6"/>
  <c r="AC388" i="6"/>
  <c r="Y396" i="6"/>
  <c r="AC396" i="6"/>
  <c r="Y405" i="6"/>
  <c r="AC405" i="6"/>
  <c r="Y413" i="6"/>
  <c r="AC413" i="6"/>
  <c r="Y421" i="6"/>
  <c r="AC421" i="6"/>
  <c r="Y429" i="6"/>
  <c r="AC429" i="6"/>
  <c r="Y437" i="6"/>
  <c r="AC437" i="6"/>
  <c r="X59" i="6"/>
  <c r="AB59" i="6"/>
  <c r="X91" i="6"/>
  <c r="AB91" i="6"/>
  <c r="X123" i="6"/>
  <c r="AB123" i="6"/>
  <c r="X157" i="6"/>
  <c r="AB157" i="6"/>
  <c r="X189" i="6"/>
  <c r="AB189" i="6"/>
  <c r="X221" i="6"/>
  <c r="AB221" i="6"/>
  <c r="X256" i="6"/>
  <c r="AB256" i="6"/>
  <c r="X288" i="6"/>
  <c r="AB288" i="6"/>
  <c r="X311" i="6"/>
  <c r="AB311" i="6"/>
  <c r="X330" i="6"/>
  <c r="AB330" i="6"/>
  <c r="X354" i="6"/>
  <c r="AB354" i="6"/>
  <c r="X378" i="6"/>
  <c r="AB378" i="6"/>
  <c r="X396" i="6"/>
  <c r="AB396" i="6"/>
  <c r="X417" i="6"/>
  <c r="AB417" i="6"/>
  <c r="X433" i="6"/>
  <c r="AB433" i="6"/>
  <c r="X449" i="6"/>
  <c r="AB449" i="6"/>
  <c r="X465" i="6"/>
  <c r="AB465" i="6"/>
  <c r="X483" i="6"/>
  <c r="AB483" i="6"/>
  <c r="X500" i="6"/>
  <c r="AB500" i="6"/>
  <c r="X516" i="6"/>
  <c r="AB516" i="6"/>
  <c r="X532" i="6"/>
  <c r="AB532" i="6"/>
  <c r="X548" i="6"/>
  <c r="AB548" i="6"/>
  <c r="X559" i="6"/>
  <c r="AB559" i="6"/>
  <c r="X573" i="6"/>
  <c r="AB573" i="6"/>
  <c r="X584" i="6"/>
  <c r="AB584" i="6"/>
  <c r="X598" i="6"/>
  <c r="AB598" i="6"/>
  <c r="X613" i="6"/>
  <c r="AB613" i="6"/>
  <c r="Y19" i="6"/>
  <c r="AC19" i="6"/>
  <c r="Y33" i="6"/>
  <c r="AC33" i="6"/>
  <c r="Y44" i="6"/>
  <c r="AC44" i="6"/>
  <c r="Y59" i="6"/>
  <c r="AC59" i="6"/>
  <c r="Y73" i="6"/>
  <c r="AC73" i="6"/>
  <c r="Y84" i="6"/>
  <c r="AC84" i="6"/>
  <c r="Y98" i="6"/>
  <c r="AC98" i="6"/>
  <c r="Y109" i="6"/>
  <c r="AC109" i="6"/>
  <c r="Y117" i="6"/>
  <c r="AC117" i="6"/>
  <c r="Y125" i="6"/>
  <c r="AC125" i="6"/>
  <c r="Y133" i="6"/>
  <c r="AC133" i="6"/>
  <c r="Y141" i="6"/>
  <c r="AC141" i="6"/>
  <c r="Y151" i="6"/>
  <c r="AC151" i="6"/>
  <c r="Y159" i="6"/>
  <c r="AC159" i="6"/>
  <c r="Y167" i="6"/>
  <c r="AC167" i="6"/>
  <c r="Y175" i="6"/>
  <c r="AC175" i="6"/>
  <c r="Y183" i="6"/>
  <c r="AC183" i="6"/>
  <c r="Y191" i="6"/>
  <c r="AC191" i="6"/>
  <c r="Y199" i="6"/>
  <c r="AC199" i="6"/>
  <c r="Y207" i="6"/>
  <c r="AC207" i="6"/>
  <c r="Y215" i="6"/>
  <c r="AC215" i="6"/>
  <c r="Y223" i="6"/>
  <c r="AC223" i="6"/>
  <c r="Y232" i="6"/>
  <c r="AC232" i="6"/>
  <c r="Y242" i="6"/>
  <c r="AC242" i="6"/>
  <c r="Y250" i="6"/>
  <c r="AC250" i="6"/>
  <c r="Y258" i="6"/>
  <c r="AC258" i="6"/>
  <c r="Y266" i="6"/>
  <c r="AC266" i="6"/>
  <c r="Y274" i="6"/>
  <c r="AC274" i="6"/>
  <c r="Y282" i="6"/>
  <c r="AC282" i="6"/>
  <c r="Y290" i="6"/>
  <c r="AC290" i="6"/>
  <c r="Y298" i="6"/>
  <c r="AC298" i="6"/>
  <c r="Y306" i="6"/>
  <c r="AC306" i="6"/>
  <c r="Y314" i="6"/>
  <c r="AC314" i="6"/>
  <c r="Y322" i="6"/>
  <c r="AC322" i="6"/>
  <c r="Y331" i="6"/>
  <c r="AC331" i="6"/>
  <c r="Y339" i="6"/>
  <c r="AC339" i="6"/>
  <c r="Y347" i="6"/>
  <c r="AC347" i="6"/>
  <c r="Y356" i="6"/>
  <c r="AC356" i="6"/>
  <c r="Y365" i="6"/>
  <c r="AC365" i="6"/>
  <c r="Y373" i="6"/>
  <c r="AC373" i="6"/>
  <c r="Y381" i="6"/>
  <c r="AC381" i="6"/>
  <c r="Y389" i="6"/>
  <c r="AC389" i="6"/>
  <c r="Y397" i="6"/>
  <c r="AC397" i="6"/>
  <c r="Y406" i="6"/>
  <c r="AC406" i="6"/>
  <c r="Y414" i="6"/>
  <c r="AC414" i="6"/>
  <c r="Y422" i="6"/>
  <c r="AC422" i="6"/>
  <c r="Y430" i="6"/>
  <c r="AC430" i="6"/>
  <c r="Y438" i="6"/>
  <c r="AC438" i="6"/>
  <c r="X18" i="6"/>
  <c r="AB18" i="6"/>
  <c r="X66" i="6"/>
  <c r="AB66" i="6"/>
  <c r="X98" i="6"/>
  <c r="AB98" i="6"/>
  <c r="X130" i="6"/>
  <c r="AB130" i="6"/>
  <c r="X164" i="6"/>
  <c r="AB164" i="6"/>
  <c r="X196" i="6"/>
  <c r="AB196" i="6"/>
  <c r="X229" i="6"/>
  <c r="AB229" i="6"/>
  <c r="X263" i="6"/>
  <c r="AB263" i="6"/>
  <c r="X289" i="6"/>
  <c r="AB289" i="6"/>
  <c r="X99" i="6"/>
  <c r="AB99" i="6"/>
  <c r="X313" i="6"/>
  <c r="AB313" i="6"/>
  <c r="X404" i="6"/>
  <c r="AB404" i="6"/>
  <c r="X468" i="6"/>
  <c r="AB468" i="6"/>
  <c r="X535" i="6"/>
  <c r="AB535" i="6"/>
  <c r="X589" i="6"/>
  <c r="AB589" i="6"/>
  <c r="Y35" i="6"/>
  <c r="AC35" i="6"/>
  <c r="Y89" i="6"/>
  <c r="AC89" i="6"/>
  <c r="Y127" i="6"/>
  <c r="AC127" i="6"/>
  <c r="Y161" i="6"/>
  <c r="AC161" i="6"/>
  <c r="Y193" i="6"/>
  <c r="AC193" i="6"/>
  <c r="Y226" i="6"/>
  <c r="AC226" i="6"/>
  <c r="Y260" i="6"/>
  <c r="AC260" i="6"/>
  <c r="Y292" i="6"/>
  <c r="AC292" i="6"/>
  <c r="Y324" i="6"/>
  <c r="AC324" i="6"/>
  <c r="Y358" i="6"/>
  <c r="AC358" i="6"/>
  <c r="Y391" i="6"/>
  <c r="AC391" i="6"/>
  <c r="Y424" i="6"/>
  <c r="AC424" i="6"/>
  <c r="Y448" i="6"/>
  <c r="AC448" i="6"/>
  <c r="Y464" i="6"/>
  <c r="AC464" i="6"/>
  <c r="Y482" i="6"/>
  <c r="AC482" i="6"/>
  <c r="Y499" i="6"/>
  <c r="AC499" i="6"/>
  <c r="Y514" i="6"/>
  <c r="AC514" i="6"/>
  <c r="Y523" i="6"/>
  <c r="AC523" i="6"/>
  <c r="Y531" i="6"/>
  <c r="AC531" i="6"/>
  <c r="Y539" i="6"/>
  <c r="AC539" i="6"/>
  <c r="Y547" i="6"/>
  <c r="AC547" i="6"/>
  <c r="Y555" i="6"/>
  <c r="AC555" i="6"/>
  <c r="Y563" i="6"/>
  <c r="AC563" i="6"/>
  <c r="Y571" i="6"/>
  <c r="AC571" i="6"/>
  <c r="Y579" i="6"/>
  <c r="AC579" i="6"/>
  <c r="Y587" i="6"/>
  <c r="AC587" i="6"/>
  <c r="Y595" i="6"/>
  <c r="AC595" i="6"/>
  <c r="Y604" i="6"/>
  <c r="AC604" i="6"/>
  <c r="Y612" i="6"/>
  <c r="AC612" i="6"/>
  <c r="Y620" i="6"/>
  <c r="AC620" i="6"/>
  <c r="Z23" i="6"/>
  <c r="AD23" i="6"/>
  <c r="Z31" i="6"/>
  <c r="AD31" i="6"/>
  <c r="Z39" i="6"/>
  <c r="AD39" i="6"/>
  <c r="Z47" i="6"/>
  <c r="AD47" i="6"/>
  <c r="Z56" i="6"/>
  <c r="AD56" i="6"/>
  <c r="Z64" i="6"/>
  <c r="AD64" i="6"/>
  <c r="Z72" i="6"/>
  <c r="AD72" i="6"/>
  <c r="Z80" i="6"/>
  <c r="AD80" i="6"/>
  <c r="Z88" i="6"/>
  <c r="AD88" i="6"/>
  <c r="Z96" i="6"/>
  <c r="AD96" i="6"/>
  <c r="Z104" i="6"/>
  <c r="AD104" i="6"/>
  <c r="Z112" i="6"/>
  <c r="AD112" i="6"/>
  <c r="Z120" i="6"/>
  <c r="AD120" i="6"/>
  <c r="Z128" i="6"/>
  <c r="AD128" i="6"/>
  <c r="Z136" i="6"/>
  <c r="AD136" i="6"/>
  <c r="Z146" i="6"/>
  <c r="AD146" i="6"/>
  <c r="Z154" i="6"/>
  <c r="AD154" i="6"/>
  <c r="Z162" i="6"/>
  <c r="AD162" i="6"/>
  <c r="Z170" i="6"/>
  <c r="AD170" i="6"/>
  <c r="Z178" i="6"/>
  <c r="AD178" i="6"/>
  <c r="Z186" i="6"/>
  <c r="AD186" i="6"/>
  <c r="Z194" i="6"/>
  <c r="AD194" i="6"/>
  <c r="Z202" i="6"/>
  <c r="AD202" i="6"/>
  <c r="Z210" i="6"/>
  <c r="AD210" i="6"/>
  <c r="Z218" i="6"/>
  <c r="AD218" i="6"/>
  <c r="Z227" i="6"/>
  <c r="AD227" i="6"/>
  <c r="Z235" i="6"/>
  <c r="AD235" i="6"/>
  <c r="Z245" i="6"/>
  <c r="AD245" i="6"/>
  <c r="Z253" i="6"/>
  <c r="AD253" i="6"/>
  <c r="Z261" i="6"/>
  <c r="AD261" i="6"/>
  <c r="Z269" i="6"/>
  <c r="AD269" i="6"/>
  <c r="Z277" i="6"/>
  <c r="AD277" i="6"/>
  <c r="Z285" i="6"/>
  <c r="AD285" i="6"/>
  <c r="Z293" i="6"/>
  <c r="AD293" i="6"/>
  <c r="Z301" i="6"/>
  <c r="AD301" i="6"/>
  <c r="Z309" i="6"/>
  <c r="AD309" i="6"/>
  <c r="Z317" i="6"/>
  <c r="AD317" i="6"/>
  <c r="Z325" i="6"/>
  <c r="AD325" i="6"/>
  <c r="Z334" i="6"/>
  <c r="AD334" i="6"/>
  <c r="Z342" i="6"/>
  <c r="AD342" i="6"/>
  <c r="Z351" i="6"/>
  <c r="AD351" i="6"/>
  <c r="Z360" i="6"/>
  <c r="AD360" i="6"/>
  <c r="Z368" i="6"/>
  <c r="AD368" i="6"/>
  <c r="Z376" i="6"/>
  <c r="AD376" i="6"/>
  <c r="Z384" i="6"/>
  <c r="AD384" i="6"/>
  <c r="Z392" i="6"/>
  <c r="AD392" i="6"/>
  <c r="Z401" i="6"/>
  <c r="AD401" i="6"/>
  <c r="Z409" i="6"/>
  <c r="AD409" i="6"/>
  <c r="Z417" i="6"/>
  <c r="AD417" i="6"/>
  <c r="X131" i="6"/>
  <c r="AB131" i="6"/>
  <c r="X336" i="6"/>
  <c r="AB336" i="6"/>
  <c r="X419" i="6"/>
  <c r="AB419" i="6"/>
  <c r="X485" i="6"/>
  <c r="AB485" i="6"/>
  <c r="X549" i="6"/>
  <c r="AB549" i="6"/>
  <c r="X599" i="6"/>
  <c r="AB599" i="6"/>
  <c r="Y48" i="6"/>
  <c r="AC48" i="6"/>
  <c r="Y99" i="6"/>
  <c r="AC99" i="6"/>
  <c r="Y134" i="6"/>
  <c r="AC134" i="6"/>
  <c r="Y168" i="6"/>
  <c r="AC168" i="6"/>
  <c r="Y200" i="6"/>
  <c r="AC200" i="6"/>
  <c r="Y233" i="6"/>
  <c r="AC233" i="6"/>
  <c r="Y267" i="6"/>
  <c r="AC267" i="6"/>
  <c r="Y299" i="6"/>
  <c r="AC299" i="6"/>
  <c r="Y332" i="6"/>
  <c r="AC332" i="6"/>
  <c r="Y366" i="6"/>
  <c r="AC366" i="6"/>
  <c r="Y398" i="6"/>
  <c r="AC398" i="6"/>
  <c r="Y431" i="6"/>
  <c r="AC431" i="6"/>
  <c r="Y453" i="6"/>
  <c r="AC453" i="6"/>
  <c r="Y469" i="6"/>
  <c r="AC469" i="6"/>
  <c r="Y487" i="6"/>
  <c r="AC487" i="6"/>
  <c r="Y504" i="6"/>
  <c r="AC504" i="6"/>
  <c r="Y515" i="6"/>
  <c r="AC515" i="6"/>
  <c r="Y524" i="6"/>
  <c r="AC524" i="6"/>
  <c r="Y532" i="6"/>
  <c r="AC532" i="6"/>
  <c r="Y540" i="6"/>
  <c r="AC540" i="6"/>
  <c r="Y548" i="6"/>
  <c r="AC548" i="6"/>
  <c r="Y556" i="6"/>
  <c r="AC556" i="6"/>
  <c r="Y564" i="6"/>
  <c r="AC564" i="6"/>
  <c r="Y572" i="6"/>
  <c r="AC572" i="6"/>
  <c r="Y580" i="6"/>
  <c r="AC580" i="6"/>
  <c r="Y588" i="6"/>
  <c r="AC588" i="6"/>
  <c r="Y596" i="6"/>
  <c r="AC596" i="6"/>
  <c r="Y605" i="6"/>
  <c r="AC605" i="6"/>
  <c r="Y613" i="6"/>
  <c r="AC613" i="6"/>
  <c r="Y621" i="6"/>
  <c r="AC621" i="6"/>
  <c r="Z24" i="6"/>
  <c r="AD24" i="6"/>
  <c r="Z32" i="6"/>
  <c r="AD32" i="6"/>
  <c r="Z40" i="6"/>
  <c r="AD40" i="6"/>
  <c r="Z48" i="6"/>
  <c r="AD48" i="6"/>
  <c r="Z57" i="6"/>
  <c r="AD57" i="6"/>
  <c r="Z65" i="6"/>
  <c r="AD65" i="6"/>
  <c r="Z73" i="6"/>
  <c r="AD73" i="6"/>
  <c r="Z81" i="6"/>
  <c r="AD81" i="6"/>
  <c r="Z89" i="6"/>
  <c r="AD89" i="6"/>
  <c r="Z97" i="6"/>
  <c r="AD97" i="6"/>
  <c r="Z105" i="6"/>
  <c r="AD105" i="6"/>
  <c r="Z113" i="6"/>
  <c r="AD113" i="6"/>
  <c r="Z121" i="6"/>
  <c r="AD121" i="6"/>
  <c r="Z129" i="6"/>
  <c r="AD129" i="6"/>
  <c r="Z137" i="6"/>
  <c r="AD137" i="6"/>
  <c r="Z147" i="6"/>
  <c r="AD147" i="6"/>
  <c r="Z155" i="6"/>
  <c r="AD155" i="6"/>
  <c r="Z163" i="6"/>
  <c r="AD163" i="6"/>
  <c r="Z171" i="6"/>
  <c r="AD171" i="6"/>
  <c r="Z179" i="6"/>
  <c r="AD179" i="6"/>
  <c r="Z187" i="6"/>
  <c r="AD187" i="6"/>
  <c r="Z195" i="6"/>
  <c r="AD195" i="6"/>
  <c r="Z203" i="6"/>
  <c r="AD203" i="6"/>
  <c r="Z211" i="6"/>
  <c r="AD211" i="6"/>
  <c r="Z219" i="6"/>
  <c r="AD219" i="6"/>
  <c r="Z228" i="6"/>
  <c r="AD228" i="6"/>
  <c r="Z236" i="6"/>
  <c r="AD236" i="6"/>
  <c r="Z246" i="6"/>
  <c r="AD246" i="6"/>
  <c r="Z254" i="6"/>
  <c r="AD254" i="6"/>
  <c r="Z262" i="6"/>
  <c r="AD262" i="6"/>
  <c r="Z270" i="6"/>
  <c r="AD270" i="6"/>
  <c r="Z278" i="6"/>
  <c r="AD278" i="6"/>
  <c r="Z286" i="6"/>
  <c r="AD286" i="6"/>
  <c r="Z294" i="6"/>
  <c r="AD294" i="6"/>
  <c r="Z302" i="6"/>
  <c r="AD302" i="6"/>
  <c r="Z310" i="6"/>
  <c r="AD310" i="6"/>
  <c r="Z318" i="6"/>
  <c r="AD318" i="6"/>
  <c r="Z326" i="6"/>
  <c r="AD326" i="6"/>
  <c r="Z335" i="6"/>
  <c r="AD335" i="6"/>
  <c r="Z343" i="6"/>
  <c r="AD343" i="6"/>
  <c r="Z352" i="6"/>
  <c r="AD352" i="6"/>
  <c r="Z361" i="6"/>
  <c r="AD361" i="6"/>
  <c r="Z369" i="6"/>
  <c r="AD369" i="6"/>
  <c r="Z377" i="6"/>
  <c r="AD377" i="6"/>
  <c r="Z385" i="6"/>
  <c r="AD385" i="6"/>
  <c r="Z393" i="6"/>
  <c r="AD393" i="6"/>
  <c r="Z402" i="6"/>
  <c r="AD402" i="6"/>
  <c r="Z410" i="6"/>
  <c r="AD410" i="6"/>
  <c r="Z418" i="6"/>
  <c r="AD418" i="6"/>
  <c r="X165" i="6"/>
  <c r="AB165" i="6"/>
  <c r="X337" i="6"/>
  <c r="AB337" i="6"/>
  <c r="X420" i="6"/>
  <c r="AB420" i="6"/>
  <c r="X486" i="6"/>
  <c r="AB486" i="6"/>
  <c r="X550" i="6"/>
  <c r="AB550" i="6"/>
  <c r="X601" i="6"/>
  <c r="AB601" i="6"/>
  <c r="Y49" i="6"/>
  <c r="AC49" i="6"/>
  <c r="Y100" i="6"/>
  <c r="AC100" i="6"/>
  <c r="Y135" i="6"/>
  <c r="AC135" i="6"/>
  <c r="Y169" i="6"/>
  <c r="AC169" i="6"/>
  <c r="Y201" i="6"/>
  <c r="AC201" i="6"/>
  <c r="Y234" i="6"/>
  <c r="AC234" i="6"/>
  <c r="Y268" i="6"/>
  <c r="AC268" i="6"/>
  <c r="Y300" i="6"/>
  <c r="AC300" i="6"/>
  <c r="Y333" i="6"/>
  <c r="AC333" i="6"/>
  <c r="Y367" i="6"/>
  <c r="AC367" i="6"/>
  <c r="Y399" i="6"/>
  <c r="AC399" i="6"/>
  <c r="Y432" i="6"/>
  <c r="AC432" i="6"/>
  <c r="Y454" i="6"/>
  <c r="AC454" i="6"/>
  <c r="Y470" i="6"/>
  <c r="AC470" i="6"/>
  <c r="Y489" i="6"/>
  <c r="AC489" i="6"/>
  <c r="Y505" i="6"/>
  <c r="AC505" i="6"/>
  <c r="Y516" i="6"/>
  <c r="AC516" i="6"/>
  <c r="Y525" i="6"/>
  <c r="AC525" i="6"/>
  <c r="Y533" i="6"/>
  <c r="AC533" i="6"/>
  <c r="Y541" i="6"/>
  <c r="AC541" i="6"/>
  <c r="Y549" i="6"/>
  <c r="AC549" i="6"/>
  <c r="Y557" i="6"/>
  <c r="AC557" i="6"/>
  <c r="Y565" i="6"/>
  <c r="AC565" i="6"/>
  <c r="Y573" i="6"/>
  <c r="AC573" i="6"/>
  <c r="Y581" i="6"/>
  <c r="AC581" i="6"/>
  <c r="Y589" i="6"/>
  <c r="AC589" i="6"/>
  <c r="Y597" i="6"/>
  <c r="AC597" i="6"/>
  <c r="Y606" i="6"/>
  <c r="AC606" i="6"/>
  <c r="Y614" i="6"/>
  <c r="AC614" i="6"/>
  <c r="Z17" i="6"/>
  <c r="AD17" i="6"/>
  <c r="Z25" i="6"/>
  <c r="AD25" i="6"/>
  <c r="Z33" i="6"/>
  <c r="AD33" i="6"/>
  <c r="Z41" i="6"/>
  <c r="AD41" i="6"/>
  <c r="Z49" i="6"/>
  <c r="AD49" i="6"/>
  <c r="Z58" i="6"/>
  <c r="AD58" i="6"/>
  <c r="Z66" i="6"/>
  <c r="AD66" i="6"/>
  <c r="Z74" i="6"/>
  <c r="AD74" i="6"/>
  <c r="Z82" i="6"/>
  <c r="AD82" i="6"/>
  <c r="Z90" i="6"/>
  <c r="AD90" i="6"/>
  <c r="Z98" i="6"/>
  <c r="AD98" i="6"/>
  <c r="Z106" i="6"/>
  <c r="AD106" i="6"/>
  <c r="Z114" i="6"/>
  <c r="AD114" i="6"/>
  <c r="Z122" i="6"/>
  <c r="AD122" i="6"/>
  <c r="Z130" i="6"/>
  <c r="AD130" i="6"/>
  <c r="Z138" i="6"/>
  <c r="AD138" i="6"/>
  <c r="Z148" i="6"/>
  <c r="AD148" i="6"/>
  <c r="Z156" i="6"/>
  <c r="AD156" i="6"/>
  <c r="Z164" i="6"/>
  <c r="AD164" i="6"/>
  <c r="Z172" i="6"/>
  <c r="AD172" i="6"/>
  <c r="Z180" i="6"/>
  <c r="AD180" i="6"/>
  <c r="Z188" i="6"/>
  <c r="AD188" i="6"/>
  <c r="Z196" i="6"/>
  <c r="AD196" i="6"/>
  <c r="Z204" i="6"/>
  <c r="AD204" i="6"/>
  <c r="Z212" i="6"/>
  <c r="AD212" i="6"/>
  <c r="Z220" i="6"/>
  <c r="AD220" i="6"/>
  <c r="Z229" i="6"/>
  <c r="AD229" i="6"/>
  <c r="Z237" i="6"/>
  <c r="AD237" i="6"/>
  <c r="Z247" i="6"/>
  <c r="AD247" i="6"/>
  <c r="Z255" i="6"/>
  <c r="AD255" i="6"/>
  <c r="Z263" i="6"/>
  <c r="AD263" i="6"/>
  <c r="Z271" i="6"/>
  <c r="AD271" i="6"/>
  <c r="Z279" i="6"/>
  <c r="AD279" i="6"/>
  <c r="Z287" i="6"/>
  <c r="AD287" i="6"/>
  <c r="Z295" i="6"/>
  <c r="AD295" i="6"/>
  <c r="Z303" i="6"/>
  <c r="AD303" i="6"/>
  <c r="Z311" i="6"/>
  <c r="AD311" i="6"/>
  <c r="Z319" i="6"/>
  <c r="AD319" i="6"/>
  <c r="Z327" i="6"/>
  <c r="AD327" i="6"/>
  <c r="Z336" i="6"/>
  <c r="AD336" i="6"/>
  <c r="Z344" i="6"/>
  <c r="AD344" i="6"/>
  <c r="Z353" i="6"/>
  <c r="AD353" i="6"/>
  <c r="Z362" i="6"/>
  <c r="AD362" i="6"/>
  <c r="Z370" i="6"/>
  <c r="AD370" i="6"/>
  <c r="Z378" i="6"/>
  <c r="AD378" i="6"/>
  <c r="Z386" i="6"/>
  <c r="AD386" i="6"/>
  <c r="Z394" i="6"/>
  <c r="AD394" i="6"/>
  <c r="Z403" i="6"/>
  <c r="AD403" i="6"/>
  <c r="Z411" i="6"/>
  <c r="AD411" i="6"/>
  <c r="Z419" i="6"/>
  <c r="AD419" i="6"/>
  <c r="X197" i="6"/>
  <c r="AB197" i="6"/>
  <c r="X355" i="6"/>
  <c r="AB355" i="6"/>
  <c r="X435" i="6"/>
  <c r="AB435" i="6"/>
  <c r="X502" i="6"/>
  <c r="AB502" i="6"/>
  <c r="X560" i="6"/>
  <c r="AB560" i="6"/>
  <c r="X614" i="6"/>
  <c r="AB614" i="6"/>
  <c r="Y60" i="6"/>
  <c r="AC60" i="6"/>
  <c r="Y110" i="6"/>
  <c r="AC110" i="6"/>
  <c r="Y144" i="6"/>
  <c r="AC144" i="6"/>
  <c r="Y176" i="6"/>
  <c r="AC176" i="6"/>
  <c r="Y208" i="6"/>
  <c r="AC208" i="6"/>
  <c r="Y243" i="6"/>
  <c r="AC243" i="6"/>
  <c r="Y275" i="6"/>
  <c r="AC275" i="6"/>
  <c r="Y307" i="6"/>
  <c r="AC307" i="6"/>
  <c r="Y340" i="6"/>
  <c r="AC340" i="6"/>
  <c r="Y374" i="6"/>
  <c r="AC374" i="6"/>
  <c r="Y407" i="6"/>
  <c r="AC407" i="6"/>
  <c r="Y439" i="6"/>
  <c r="AC439" i="6"/>
  <c r="Y455" i="6"/>
  <c r="AC455" i="6"/>
  <c r="Y471" i="6"/>
  <c r="AC471" i="6"/>
  <c r="Y490" i="6"/>
  <c r="AC490" i="6"/>
  <c r="Y506" i="6"/>
  <c r="AC506" i="6"/>
  <c r="Y517" i="6"/>
  <c r="AC517" i="6"/>
  <c r="Y526" i="6"/>
  <c r="AC526" i="6"/>
  <c r="Y534" i="6"/>
  <c r="AC534" i="6"/>
  <c r="Y542" i="6"/>
  <c r="AC542" i="6"/>
  <c r="Y550" i="6"/>
  <c r="AC550" i="6"/>
  <c r="Y558" i="6"/>
  <c r="AC558" i="6"/>
  <c r="Y566" i="6"/>
  <c r="AC566" i="6"/>
  <c r="Y574" i="6"/>
  <c r="AC574" i="6"/>
  <c r="Y582" i="6"/>
  <c r="AC582" i="6"/>
  <c r="Y590" i="6"/>
  <c r="AC590" i="6"/>
  <c r="Y598" i="6"/>
  <c r="AC598" i="6"/>
  <c r="Y607" i="6"/>
  <c r="AC607" i="6"/>
  <c r="Y615" i="6"/>
  <c r="AC615" i="6"/>
  <c r="Z18" i="6"/>
  <c r="AD18" i="6"/>
  <c r="Z26" i="6"/>
  <c r="AD26" i="6"/>
  <c r="Z34" i="6"/>
  <c r="AD34" i="6"/>
  <c r="Z42" i="6"/>
  <c r="AD42" i="6"/>
  <c r="Z50" i="6"/>
  <c r="AD50" i="6"/>
  <c r="Z59" i="6"/>
  <c r="AD59" i="6"/>
  <c r="Z67" i="6"/>
  <c r="AD67" i="6"/>
  <c r="Z75" i="6"/>
  <c r="AD75" i="6"/>
  <c r="Z83" i="6"/>
  <c r="AD83" i="6"/>
  <c r="Z91" i="6"/>
  <c r="AD91" i="6"/>
  <c r="Z99" i="6"/>
  <c r="AD99" i="6"/>
  <c r="Z107" i="6"/>
  <c r="AD107" i="6"/>
  <c r="Z115" i="6"/>
  <c r="AD115" i="6"/>
  <c r="Z123" i="6"/>
  <c r="AD123" i="6"/>
  <c r="Z131" i="6"/>
  <c r="AD131" i="6"/>
  <c r="Z139" i="6"/>
  <c r="AD139" i="6"/>
  <c r="Z149" i="6"/>
  <c r="AD149" i="6"/>
  <c r="Z157" i="6"/>
  <c r="AD157" i="6"/>
  <c r="Z165" i="6"/>
  <c r="AD165" i="6"/>
  <c r="Z173" i="6"/>
  <c r="AD173" i="6"/>
  <c r="Z181" i="6"/>
  <c r="AD181" i="6"/>
  <c r="Z189" i="6"/>
  <c r="AD189" i="6"/>
  <c r="Z197" i="6"/>
  <c r="AD197" i="6"/>
  <c r="Z205" i="6"/>
  <c r="AD205" i="6"/>
  <c r="Z213" i="6"/>
  <c r="AD213" i="6"/>
  <c r="Z221" i="6"/>
  <c r="AD221" i="6"/>
  <c r="Z230" i="6"/>
  <c r="AD230" i="6"/>
  <c r="Z238" i="6"/>
  <c r="AD238" i="6"/>
  <c r="Z248" i="6"/>
  <c r="AD248" i="6"/>
  <c r="Z256" i="6"/>
  <c r="AD256" i="6"/>
  <c r="Z264" i="6"/>
  <c r="AD264" i="6"/>
  <c r="Z272" i="6"/>
  <c r="AD272" i="6"/>
  <c r="Z280" i="6"/>
  <c r="AD280" i="6"/>
  <c r="Z288" i="6"/>
  <c r="AD288" i="6"/>
  <c r="Z296" i="6"/>
  <c r="AD296" i="6"/>
  <c r="Z304" i="6"/>
  <c r="AD304" i="6"/>
  <c r="Z312" i="6"/>
  <c r="AD312" i="6"/>
  <c r="Z320" i="6"/>
  <c r="AD320" i="6"/>
  <c r="Z328" i="6"/>
  <c r="AD328" i="6"/>
  <c r="Z337" i="6"/>
  <c r="AD337" i="6"/>
  <c r="Z345" i="6"/>
  <c r="AD345" i="6"/>
  <c r="Z354" i="6"/>
  <c r="AD354" i="6"/>
  <c r="Z363" i="6"/>
  <c r="AD363" i="6"/>
  <c r="Z371" i="6"/>
  <c r="AD371" i="6"/>
  <c r="Z379" i="6"/>
  <c r="AD379" i="6"/>
  <c r="Z387" i="6"/>
  <c r="AD387" i="6"/>
  <c r="Z395" i="6"/>
  <c r="AD395" i="6"/>
  <c r="Z404" i="6"/>
  <c r="AD404" i="6"/>
  <c r="Z412" i="6"/>
  <c r="AD412" i="6"/>
  <c r="Z420" i="6"/>
  <c r="AD420" i="6"/>
  <c r="X230" i="6"/>
  <c r="AB230" i="6"/>
  <c r="X362" i="6"/>
  <c r="AB362" i="6"/>
  <c r="X436" i="6"/>
  <c r="AB436" i="6"/>
  <c r="X503" i="6"/>
  <c r="AB503" i="6"/>
  <c r="X564" i="6"/>
  <c r="AB564" i="6"/>
  <c r="X615" i="6"/>
  <c r="AB615" i="6"/>
  <c r="Y61" i="6"/>
  <c r="AC61" i="6"/>
  <c r="Y111" i="6"/>
  <c r="AC111" i="6"/>
  <c r="Y145" i="6"/>
  <c r="AC145" i="6"/>
  <c r="Y177" i="6"/>
  <c r="AC177" i="6"/>
  <c r="Y209" i="6"/>
  <c r="AC209" i="6"/>
  <c r="Y244" i="6"/>
  <c r="AC244" i="6"/>
  <c r="Y276" i="6"/>
  <c r="AC276" i="6"/>
  <c r="Y308" i="6"/>
  <c r="AC308" i="6"/>
  <c r="Y341" i="6"/>
  <c r="AC341" i="6"/>
  <c r="Y375" i="6"/>
  <c r="AC375" i="6"/>
  <c r="Y408" i="6"/>
  <c r="AC408" i="6"/>
  <c r="Y440" i="6"/>
  <c r="AC440" i="6"/>
  <c r="Y456" i="6"/>
  <c r="AC456" i="6"/>
  <c r="Y472" i="6"/>
  <c r="AC472" i="6"/>
  <c r="Y491" i="6"/>
  <c r="AC491" i="6"/>
  <c r="Y507" i="6"/>
  <c r="AC507" i="6"/>
  <c r="Y519" i="6"/>
  <c r="AC519" i="6"/>
  <c r="Y527" i="6"/>
  <c r="AC527" i="6"/>
  <c r="Y535" i="6"/>
  <c r="AC535" i="6"/>
  <c r="Y543" i="6"/>
  <c r="AC543" i="6"/>
  <c r="Y551" i="6"/>
  <c r="AC551" i="6"/>
  <c r="Y559" i="6"/>
  <c r="AC559" i="6"/>
  <c r="Y567" i="6"/>
  <c r="AC567" i="6"/>
  <c r="Y575" i="6"/>
  <c r="AC575" i="6"/>
  <c r="Y583" i="6"/>
  <c r="AC583" i="6"/>
  <c r="Y591" i="6"/>
  <c r="AC591" i="6"/>
  <c r="Y599" i="6"/>
  <c r="AC599" i="6"/>
  <c r="Y608" i="6"/>
  <c r="AC608" i="6"/>
  <c r="Y616" i="6"/>
  <c r="AC616" i="6"/>
  <c r="Z19" i="6"/>
  <c r="AD19" i="6"/>
  <c r="Z27" i="6"/>
  <c r="AD27" i="6"/>
  <c r="Z35" i="6"/>
  <c r="AD35" i="6"/>
  <c r="Z43" i="6"/>
  <c r="AD43" i="6"/>
  <c r="Z51" i="6"/>
  <c r="AD51" i="6"/>
  <c r="Z60" i="6"/>
  <c r="AD60" i="6"/>
  <c r="Z68" i="6"/>
  <c r="AD68" i="6"/>
  <c r="Z76" i="6"/>
  <c r="AD76" i="6"/>
  <c r="Z84" i="6"/>
  <c r="AD84" i="6"/>
  <c r="Z92" i="6"/>
  <c r="AD92" i="6"/>
  <c r="Z100" i="6"/>
  <c r="AD100" i="6"/>
  <c r="Z108" i="6"/>
  <c r="AD108" i="6"/>
  <c r="Z116" i="6"/>
  <c r="AD116" i="6"/>
  <c r="Z124" i="6"/>
  <c r="AD124" i="6"/>
  <c r="Z132" i="6"/>
  <c r="AD132" i="6"/>
  <c r="Z140" i="6"/>
  <c r="AD140" i="6"/>
  <c r="Z150" i="6"/>
  <c r="AD150" i="6"/>
  <c r="Z158" i="6"/>
  <c r="AD158" i="6"/>
  <c r="Z166" i="6"/>
  <c r="AD166" i="6"/>
  <c r="Z174" i="6"/>
  <c r="AD174" i="6"/>
  <c r="Z182" i="6"/>
  <c r="AD182" i="6"/>
  <c r="Z190" i="6"/>
  <c r="AD190" i="6"/>
  <c r="Z198" i="6"/>
  <c r="AD198" i="6"/>
  <c r="Z206" i="6"/>
  <c r="AD206" i="6"/>
  <c r="Z214" i="6"/>
  <c r="AD214" i="6"/>
  <c r="Z222" i="6"/>
  <c r="AD222" i="6"/>
  <c r="Z231" i="6"/>
  <c r="AD231" i="6"/>
  <c r="Z239" i="6"/>
  <c r="AD239" i="6"/>
  <c r="Z249" i="6"/>
  <c r="AD249" i="6"/>
  <c r="Z257" i="6"/>
  <c r="AD257" i="6"/>
  <c r="Z265" i="6"/>
  <c r="AD265" i="6"/>
  <c r="Z273" i="6"/>
  <c r="AD273" i="6"/>
  <c r="Z281" i="6"/>
  <c r="AD281" i="6"/>
  <c r="Z289" i="6"/>
  <c r="AD289" i="6"/>
  <c r="Z297" i="6"/>
  <c r="AD297" i="6"/>
  <c r="Z305" i="6"/>
  <c r="AD305" i="6"/>
  <c r="Z313" i="6"/>
  <c r="AD313" i="6"/>
  <c r="Z321" i="6"/>
  <c r="AD321" i="6"/>
  <c r="Z330" i="6"/>
  <c r="AD330" i="6"/>
  <c r="Z338" i="6"/>
  <c r="AD338" i="6"/>
  <c r="Z346" i="6"/>
  <c r="AD346" i="6"/>
  <c r="Z355" i="6"/>
  <c r="AD355" i="6"/>
  <c r="Z364" i="6"/>
  <c r="AD364" i="6"/>
  <c r="Z372" i="6"/>
  <c r="AD372" i="6"/>
  <c r="Z380" i="6"/>
  <c r="AD380" i="6"/>
  <c r="Z388" i="6"/>
  <c r="AD388" i="6"/>
  <c r="Z396" i="6"/>
  <c r="AD396" i="6"/>
  <c r="Z405" i="6"/>
  <c r="AD405" i="6"/>
  <c r="Z413" i="6"/>
  <c r="AD413" i="6"/>
  <c r="Z421" i="6"/>
  <c r="AD421" i="6"/>
  <c r="X264" i="6"/>
  <c r="AB264" i="6"/>
  <c r="X379" i="6"/>
  <c r="AB379" i="6"/>
  <c r="X451" i="6"/>
  <c r="AB451" i="6"/>
  <c r="X518" i="6"/>
  <c r="AB518" i="6"/>
  <c r="X574" i="6"/>
  <c r="AB574" i="6"/>
  <c r="Y20" i="6"/>
  <c r="AC20" i="6"/>
  <c r="Y74" i="6"/>
  <c r="AC74" i="6"/>
  <c r="Y118" i="6"/>
  <c r="AC118" i="6"/>
  <c r="Y152" i="6"/>
  <c r="AC152" i="6"/>
  <c r="Y184" i="6"/>
  <c r="AC184" i="6"/>
  <c r="Y216" i="6"/>
  <c r="AC216" i="6"/>
  <c r="Y251" i="6"/>
  <c r="AC251" i="6"/>
  <c r="Y283" i="6"/>
  <c r="AC283" i="6"/>
  <c r="Y315" i="6"/>
  <c r="AC315" i="6"/>
  <c r="Y348" i="6"/>
  <c r="AC348" i="6"/>
  <c r="Y382" i="6"/>
  <c r="AC382" i="6"/>
  <c r="Y415" i="6"/>
  <c r="AC415" i="6"/>
  <c r="Y445" i="6"/>
  <c r="AC445" i="6"/>
  <c r="Y461" i="6"/>
  <c r="AC461" i="6"/>
  <c r="Y479" i="6"/>
  <c r="AC479" i="6"/>
  <c r="Y496" i="6"/>
  <c r="AC496" i="6"/>
  <c r="Y511" i="6"/>
  <c r="AC511" i="6"/>
  <c r="Y520" i="6"/>
  <c r="AC520" i="6"/>
  <c r="Y528" i="6"/>
  <c r="AC528" i="6"/>
  <c r="Y536" i="6"/>
  <c r="AC536" i="6"/>
  <c r="Y544" i="6"/>
  <c r="AC544" i="6"/>
  <c r="Y552" i="6"/>
  <c r="AC552" i="6"/>
  <c r="Y560" i="6"/>
  <c r="AC560" i="6"/>
  <c r="Y568" i="6"/>
  <c r="AC568" i="6"/>
  <c r="Y576" i="6"/>
  <c r="AC576" i="6"/>
  <c r="Y584" i="6"/>
  <c r="AC584" i="6"/>
  <c r="Y592" i="6"/>
  <c r="AC592" i="6"/>
  <c r="Y601" i="6"/>
  <c r="AC601" i="6"/>
  <c r="Y609" i="6"/>
  <c r="AC609" i="6"/>
  <c r="Y617" i="6"/>
  <c r="AC617" i="6"/>
  <c r="Z20" i="6"/>
  <c r="AD20" i="6"/>
  <c r="Z28" i="6"/>
  <c r="AD28" i="6"/>
  <c r="Z36" i="6"/>
  <c r="AD36" i="6"/>
  <c r="Z44" i="6"/>
  <c r="AD44" i="6"/>
  <c r="Z52" i="6"/>
  <c r="AD52" i="6"/>
  <c r="Z61" i="6"/>
  <c r="AD61" i="6"/>
  <c r="Z69" i="6"/>
  <c r="AD69" i="6"/>
  <c r="Z77" i="6"/>
  <c r="AD77" i="6"/>
  <c r="Z85" i="6"/>
  <c r="AD85" i="6"/>
  <c r="Z93" i="6"/>
  <c r="AD93" i="6"/>
  <c r="Z101" i="6"/>
  <c r="AD101" i="6"/>
  <c r="Z109" i="6"/>
  <c r="AD109" i="6"/>
  <c r="Z117" i="6"/>
  <c r="AD117" i="6"/>
  <c r="Z125" i="6"/>
  <c r="AD125" i="6"/>
  <c r="Z133" i="6"/>
  <c r="AD133" i="6"/>
  <c r="Z141" i="6"/>
  <c r="AD141" i="6"/>
  <c r="Z151" i="6"/>
  <c r="AD151" i="6"/>
  <c r="Z159" i="6"/>
  <c r="AD159" i="6"/>
  <c r="Z167" i="6"/>
  <c r="AD167" i="6"/>
  <c r="Z175" i="6"/>
  <c r="AD175" i="6"/>
  <c r="Z183" i="6"/>
  <c r="AD183" i="6"/>
  <c r="Z191" i="6"/>
  <c r="AD191" i="6"/>
  <c r="Z199" i="6"/>
  <c r="AD199" i="6"/>
  <c r="Z207" i="6"/>
  <c r="AD207" i="6"/>
  <c r="Z215" i="6"/>
  <c r="AD215" i="6"/>
  <c r="Z223" i="6"/>
  <c r="AD223" i="6"/>
  <c r="Z232" i="6"/>
  <c r="AD232" i="6"/>
  <c r="Z242" i="6"/>
  <c r="AD242" i="6"/>
  <c r="Z250" i="6"/>
  <c r="AD250" i="6"/>
  <c r="Z258" i="6"/>
  <c r="AD258" i="6"/>
  <c r="Z266" i="6"/>
  <c r="AD266" i="6"/>
  <c r="Z274" i="6"/>
  <c r="AD274" i="6"/>
  <c r="Z282" i="6"/>
  <c r="AD282" i="6"/>
  <c r="Z290" i="6"/>
  <c r="AD290" i="6"/>
  <c r="Z298" i="6"/>
  <c r="AD298" i="6"/>
  <c r="Z306" i="6"/>
  <c r="AD306" i="6"/>
  <c r="Z314" i="6"/>
  <c r="AD314" i="6"/>
  <c r="Z322" i="6"/>
  <c r="AD322" i="6"/>
  <c r="Z331" i="6"/>
  <c r="AD331" i="6"/>
  <c r="Z339" i="6"/>
  <c r="AD339" i="6"/>
  <c r="Z347" i="6"/>
  <c r="AD347" i="6"/>
  <c r="Z356" i="6"/>
  <c r="AD356" i="6"/>
  <c r="Z365" i="6"/>
  <c r="AD365" i="6"/>
  <c r="Z373" i="6"/>
  <c r="AD373" i="6"/>
  <c r="Z381" i="6"/>
  <c r="AD381" i="6"/>
  <c r="Z389" i="6"/>
  <c r="AD389" i="6"/>
  <c r="Z397" i="6"/>
  <c r="AD397" i="6"/>
  <c r="Z406" i="6"/>
  <c r="AD406" i="6"/>
  <c r="Z414" i="6"/>
  <c r="AD414" i="6"/>
  <c r="X26" i="6"/>
  <c r="AB26" i="6"/>
  <c r="X295" i="6"/>
  <c r="AB295" i="6"/>
  <c r="X380" i="6"/>
  <c r="AB380" i="6"/>
  <c r="X452" i="6"/>
  <c r="AB452" i="6"/>
  <c r="X519" i="6"/>
  <c r="AB519" i="6"/>
  <c r="X575" i="6"/>
  <c r="AB575" i="6"/>
  <c r="Y24" i="6"/>
  <c r="AC24" i="6"/>
  <c r="Y75" i="6"/>
  <c r="AC75" i="6"/>
  <c r="Y119" i="6"/>
  <c r="AC119" i="6"/>
  <c r="Y153" i="6"/>
  <c r="AC153" i="6"/>
  <c r="Y185" i="6"/>
  <c r="AC185" i="6"/>
  <c r="Y217" i="6"/>
  <c r="AC217" i="6"/>
  <c r="Y252" i="6"/>
  <c r="AC252" i="6"/>
  <c r="Y284" i="6"/>
  <c r="AC284" i="6"/>
  <c r="Y316" i="6"/>
  <c r="AC316" i="6"/>
  <c r="Y350" i="6"/>
  <c r="AC350" i="6"/>
  <c r="Y383" i="6"/>
  <c r="AC383" i="6"/>
  <c r="Y416" i="6"/>
  <c r="AC416" i="6"/>
  <c r="Y446" i="6"/>
  <c r="AC446" i="6"/>
  <c r="Y462" i="6"/>
  <c r="AC462" i="6"/>
  <c r="Y480" i="6"/>
  <c r="AC480" i="6"/>
  <c r="Y497" i="6"/>
  <c r="AC497" i="6"/>
  <c r="Y512" i="6"/>
  <c r="AC512" i="6"/>
  <c r="Y521" i="6"/>
  <c r="AC521" i="6"/>
  <c r="Y529" i="6"/>
  <c r="AC529" i="6"/>
  <c r="Y537" i="6"/>
  <c r="AC537" i="6"/>
  <c r="Y545" i="6"/>
  <c r="AC545" i="6"/>
  <c r="Y553" i="6"/>
  <c r="AC553" i="6"/>
  <c r="Y561" i="6"/>
  <c r="AC561" i="6"/>
  <c r="Y569" i="6"/>
  <c r="AC569" i="6"/>
  <c r="Y577" i="6"/>
  <c r="AC577" i="6"/>
  <c r="Y585" i="6"/>
  <c r="AC585" i="6"/>
  <c r="Y593" i="6"/>
  <c r="AC593" i="6"/>
  <c r="Y602" i="6"/>
  <c r="AC602" i="6"/>
  <c r="Y610" i="6"/>
  <c r="AC610" i="6"/>
  <c r="Y618" i="6"/>
  <c r="AC618" i="6"/>
  <c r="Z21" i="6"/>
  <c r="AD21" i="6"/>
  <c r="Z29" i="6"/>
  <c r="AD29" i="6"/>
  <c r="Z37" i="6"/>
  <c r="AD37" i="6"/>
  <c r="Z45" i="6"/>
  <c r="AD45" i="6"/>
  <c r="Z53" i="6"/>
  <c r="AD53" i="6"/>
  <c r="Z62" i="6"/>
  <c r="AD62" i="6"/>
  <c r="Z70" i="6"/>
  <c r="AD70" i="6"/>
  <c r="Z78" i="6"/>
  <c r="AD78" i="6"/>
  <c r="Z86" i="6"/>
  <c r="AD86" i="6"/>
  <c r="Z94" i="6"/>
  <c r="AD94" i="6"/>
  <c r="Z102" i="6"/>
  <c r="AD102" i="6"/>
  <c r="Z110" i="6"/>
  <c r="AD110" i="6"/>
  <c r="Z118" i="6"/>
  <c r="AD118" i="6"/>
  <c r="Z126" i="6"/>
  <c r="AD126" i="6"/>
  <c r="Z134" i="6"/>
  <c r="AD134" i="6"/>
  <c r="Z144" i="6"/>
  <c r="AD144" i="6"/>
  <c r="Z152" i="6"/>
  <c r="AD152" i="6"/>
  <c r="Z160" i="6"/>
  <c r="AD160" i="6"/>
  <c r="Z168" i="6"/>
  <c r="AD168" i="6"/>
  <c r="Z176" i="6"/>
  <c r="AD176" i="6"/>
  <c r="Z184" i="6"/>
  <c r="AD184" i="6"/>
  <c r="Z192" i="6"/>
  <c r="AD192" i="6"/>
  <c r="Z200" i="6"/>
  <c r="AD200" i="6"/>
  <c r="Z208" i="6"/>
  <c r="AD208" i="6"/>
  <c r="Z216" i="6"/>
  <c r="AD216" i="6"/>
  <c r="Z225" i="6"/>
  <c r="AD225" i="6"/>
  <c r="Z233" i="6"/>
  <c r="AD233" i="6"/>
  <c r="Z243" i="6"/>
  <c r="AD243" i="6"/>
  <c r="Z251" i="6"/>
  <c r="AD251" i="6"/>
  <c r="Z259" i="6"/>
  <c r="AD259" i="6"/>
  <c r="Z267" i="6"/>
  <c r="AD267" i="6"/>
  <c r="Z275" i="6"/>
  <c r="AD275" i="6"/>
  <c r="Z283" i="6"/>
  <c r="AD283" i="6"/>
  <c r="Z291" i="6"/>
  <c r="AD291" i="6"/>
  <c r="Z299" i="6"/>
  <c r="AD299" i="6"/>
  <c r="Z307" i="6"/>
  <c r="AD307" i="6"/>
  <c r="Z315" i="6"/>
  <c r="AD315" i="6"/>
  <c r="Z323" i="6"/>
  <c r="AD323" i="6"/>
  <c r="Z332" i="6"/>
  <c r="AD332" i="6"/>
  <c r="Z340" i="6"/>
  <c r="AD340" i="6"/>
  <c r="Z348" i="6"/>
  <c r="AD348" i="6"/>
  <c r="Z357" i="6"/>
  <c r="AD357" i="6"/>
  <c r="Z366" i="6"/>
  <c r="AD366" i="6"/>
  <c r="Z374" i="6"/>
  <c r="AD374" i="6"/>
  <c r="Z382" i="6"/>
  <c r="AD382" i="6"/>
  <c r="Z390" i="6"/>
  <c r="AD390" i="6"/>
  <c r="Z398" i="6"/>
  <c r="AD398" i="6"/>
  <c r="Z407" i="6"/>
  <c r="AD407" i="6"/>
  <c r="Z415" i="6"/>
  <c r="AD415" i="6"/>
  <c r="X403" i="6"/>
  <c r="AB403" i="6"/>
  <c r="Y192" i="6"/>
  <c r="AC192" i="6"/>
  <c r="Y447" i="6"/>
  <c r="AC447" i="6"/>
  <c r="Y546" i="6"/>
  <c r="AC546" i="6"/>
  <c r="Y611" i="6"/>
  <c r="AC611" i="6"/>
  <c r="Z71" i="6"/>
  <c r="AD71" i="6"/>
  <c r="Z135" i="6"/>
  <c r="AD135" i="6"/>
  <c r="Z201" i="6"/>
  <c r="AD201" i="6"/>
  <c r="Z268" i="6"/>
  <c r="AD268" i="6"/>
  <c r="Z333" i="6"/>
  <c r="AD333" i="6"/>
  <c r="Z399" i="6"/>
  <c r="AD399" i="6"/>
  <c r="Z427" i="6"/>
  <c r="AD427" i="6"/>
  <c r="Z435" i="6"/>
  <c r="AD435" i="6"/>
  <c r="Z443" i="6"/>
  <c r="AD443" i="6"/>
  <c r="Z451" i="6"/>
  <c r="AD451" i="6"/>
  <c r="Z459" i="6"/>
  <c r="AD459" i="6"/>
  <c r="Z467" i="6"/>
  <c r="AD467" i="6"/>
  <c r="Z475" i="6"/>
  <c r="AD475" i="6"/>
  <c r="Z485" i="6"/>
  <c r="AD485" i="6"/>
  <c r="Z494" i="6"/>
  <c r="AD494" i="6"/>
  <c r="Z502" i="6"/>
  <c r="AD502" i="6"/>
  <c r="Z510" i="6"/>
  <c r="AD510" i="6"/>
  <c r="Z518" i="6"/>
  <c r="AD518" i="6"/>
  <c r="Z526" i="6"/>
  <c r="AD526" i="6"/>
  <c r="Z534" i="6"/>
  <c r="AD534" i="6"/>
  <c r="Z542" i="6"/>
  <c r="AD542" i="6"/>
  <c r="Z550" i="6"/>
  <c r="AD550" i="6"/>
  <c r="Z558" i="6"/>
  <c r="AD558" i="6"/>
  <c r="Z566" i="6"/>
  <c r="AD566" i="6"/>
  <c r="Z574" i="6"/>
  <c r="AD574" i="6"/>
  <c r="Z582" i="6"/>
  <c r="AD582" i="6"/>
  <c r="Z590" i="6"/>
  <c r="AD590" i="6"/>
  <c r="Z598" i="6"/>
  <c r="AD598" i="6"/>
  <c r="Z607" i="6"/>
  <c r="AD607" i="6"/>
  <c r="Z615" i="6"/>
  <c r="AD615" i="6"/>
  <c r="AA18" i="6"/>
  <c r="AE18" i="6"/>
  <c r="AA26" i="6"/>
  <c r="AE26" i="6"/>
  <c r="AA34" i="6"/>
  <c r="AE34" i="6"/>
  <c r="AA42" i="6"/>
  <c r="AE42" i="6"/>
  <c r="AA50" i="6"/>
  <c r="AE50" i="6"/>
  <c r="AA59" i="6"/>
  <c r="AE59" i="6"/>
  <c r="AA67" i="6"/>
  <c r="AE67" i="6"/>
  <c r="AA75" i="6"/>
  <c r="AE75" i="6"/>
  <c r="AA83" i="6"/>
  <c r="AE83" i="6"/>
  <c r="AA91" i="6"/>
  <c r="AE91" i="6"/>
  <c r="AA99" i="6"/>
  <c r="AE99" i="6"/>
  <c r="AA107" i="6"/>
  <c r="AE107" i="6"/>
  <c r="AA115" i="6"/>
  <c r="AE115" i="6"/>
  <c r="AA123" i="6"/>
  <c r="AE123" i="6"/>
  <c r="AA131" i="6"/>
  <c r="AE131" i="6"/>
  <c r="AA139" i="6"/>
  <c r="AE139" i="6"/>
  <c r="AA149" i="6"/>
  <c r="AE149" i="6"/>
  <c r="AA157" i="6"/>
  <c r="AE157" i="6"/>
  <c r="AA165" i="6"/>
  <c r="AE165" i="6"/>
  <c r="AA173" i="6"/>
  <c r="AE173" i="6"/>
  <c r="AA181" i="6"/>
  <c r="AE181" i="6"/>
  <c r="AA189" i="6"/>
  <c r="AE189" i="6"/>
  <c r="AA197" i="6"/>
  <c r="AE197" i="6"/>
  <c r="AA205" i="6"/>
  <c r="AE205" i="6"/>
  <c r="AA213" i="6"/>
  <c r="AE213" i="6"/>
  <c r="AA221" i="6"/>
  <c r="AE221" i="6"/>
  <c r="AA230" i="6"/>
  <c r="AE230" i="6"/>
  <c r="AA238" i="6"/>
  <c r="AE238" i="6"/>
  <c r="AA248" i="6"/>
  <c r="AE248" i="6"/>
  <c r="AA256" i="6"/>
  <c r="AE256" i="6"/>
  <c r="AA264" i="6"/>
  <c r="AE264" i="6"/>
  <c r="AA272" i="6"/>
  <c r="AE272" i="6"/>
  <c r="AA280" i="6"/>
  <c r="AE280" i="6"/>
  <c r="AA288" i="6"/>
  <c r="AE288" i="6"/>
  <c r="AA296" i="6"/>
  <c r="AE296" i="6"/>
  <c r="AA304" i="6"/>
  <c r="AE304" i="6"/>
  <c r="AA312" i="6"/>
  <c r="AE312" i="6"/>
  <c r="AA320" i="6"/>
  <c r="AE320" i="6"/>
  <c r="AA328" i="6"/>
  <c r="AE328" i="6"/>
  <c r="AA337" i="6"/>
  <c r="AE337" i="6"/>
  <c r="AA345" i="6"/>
  <c r="AE345" i="6"/>
  <c r="AA354" i="6"/>
  <c r="AE354" i="6"/>
  <c r="AA363" i="6"/>
  <c r="AE363" i="6"/>
  <c r="AA371" i="6"/>
  <c r="AE371" i="6"/>
  <c r="AA379" i="6"/>
  <c r="AE379" i="6"/>
  <c r="AA387" i="6"/>
  <c r="AE387" i="6"/>
  <c r="AA395" i="6"/>
  <c r="AE395" i="6"/>
  <c r="AA404" i="6"/>
  <c r="AE404" i="6"/>
  <c r="AA412" i="6"/>
  <c r="AE412" i="6"/>
  <c r="AA420" i="6"/>
  <c r="AE420" i="6"/>
  <c r="X467" i="6"/>
  <c r="AB467" i="6"/>
  <c r="Y225" i="6"/>
  <c r="AC225" i="6"/>
  <c r="Y463" i="6"/>
  <c r="AC463" i="6"/>
  <c r="Y554" i="6"/>
  <c r="AC554" i="6"/>
  <c r="Y619" i="6"/>
  <c r="AC619" i="6"/>
  <c r="Z79" i="6"/>
  <c r="AD79" i="6"/>
  <c r="Z145" i="6"/>
  <c r="AD145" i="6"/>
  <c r="Z209" i="6"/>
  <c r="AD209" i="6"/>
  <c r="Z276" i="6"/>
  <c r="AD276" i="6"/>
  <c r="Z341" i="6"/>
  <c r="AD341" i="6"/>
  <c r="Z408" i="6"/>
  <c r="AD408" i="6"/>
  <c r="Z428" i="6"/>
  <c r="AD428" i="6"/>
  <c r="Z436" i="6"/>
  <c r="AD436" i="6"/>
  <c r="Z444" i="6"/>
  <c r="AD444" i="6"/>
  <c r="Z452" i="6"/>
  <c r="AD452" i="6"/>
  <c r="Z460" i="6"/>
  <c r="AD460" i="6"/>
  <c r="Z468" i="6"/>
  <c r="AD468" i="6"/>
  <c r="Z478" i="6"/>
  <c r="AD478" i="6"/>
  <c r="Z486" i="6"/>
  <c r="AD486" i="6"/>
  <c r="Z495" i="6"/>
  <c r="AD495" i="6"/>
  <c r="Z503" i="6"/>
  <c r="AD503" i="6"/>
  <c r="Z511" i="6"/>
  <c r="AD511" i="6"/>
  <c r="Z519" i="6"/>
  <c r="AD519" i="6"/>
  <c r="Z527" i="6"/>
  <c r="AD527" i="6"/>
  <c r="Z535" i="6"/>
  <c r="AD535" i="6"/>
  <c r="Z543" i="6"/>
  <c r="AD543" i="6"/>
  <c r="Z551" i="6"/>
  <c r="AD551" i="6"/>
  <c r="Z559" i="6"/>
  <c r="AD559" i="6"/>
  <c r="Z567" i="6"/>
  <c r="AD567" i="6"/>
  <c r="Z575" i="6"/>
  <c r="AD575" i="6"/>
  <c r="Z583" i="6"/>
  <c r="AD583" i="6"/>
  <c r="Z591" i="6"/>
  <c r="AD591" i="6"/>
  <c r="Z599" i="6"/>
  <c r="AD599" i="6"/>
  <c r="Z608" i="6"/>
  <c r="AD608" i="6"/>
  <c r="Z616" i="6"/>
  <c r="AD616" i="6"/>
  <c r="AA19" i="6"/>
  <c r="AE19" i="6"/>
  <c r="AA27" i="6"/>
  <c r="AE27" i="6"/>
  <c r="AA35" i="6"/>
  <c r="AE35" i="6"/>
  <c r="AA43" i="6"/>
  <c r="AE43" i="6"/>
  <c r="AA51" i="6"/>
  <c r="AE51" i="6"/>
  <c r="AA60" i="6"/>
  <c r="AE60" i="6"/>
  <c r="AA68" i="6"/>
  <c r="AE68" i="6"/>
  <c r="AA76" i="6"/>
  <c r="AE76" i="6"/>
  <c r="AA84" i="6"/>
  <c r="AE84" i="6"/>
  <c r="AA92" i="6"/>
  <c r="AE92" i="6"/>
  <c r="AA100" i="6"/>
  <c r="AE100" i="6"/>
  <c r="AA108" i="6"/>
  <c r="AE108" i="6"/>
  <c r="AA116" i="6"/>
  <c r="AE116" i="6"/>
  <c r="AA124" i="6"/>
  <c r="AE124" i="6"/>
  <c r="AA132" i="6"/>
  <c r="AE132" i="6"/>
  <c r="AA140" i="6"/>
  <c r="AE140" i="6"/>
  <c r="AA150" i="6"/>
  <c r="AE150" i="6"/>
  <c r="AA158" i="6"/>
  <c r="AE158" i="6"/>
  <c r="AA166" i="6"/>
  <c r="AE166" i="6"/>
  <c r="AA174" i="6"/>
  <c r="AE174" i="6"/>
  <c r="AA182" i="6"/>
  <c r="AE182" i="6"/>
  <c r="AA190" i="6"/>
  <c r="AE190" i="6"/>
  <c r="AA198" i="6"/>
  <c r="AE198" i="6"/>
  <c r="AA206" i="6"/>
  <c r="AE206" i="6"/>
  <c r="AA214" i="6"/>
  <c r="AE214" i="6"/>
  <c r="AA222" i="6"/>
  <c r="AE222" i="6"/>
  <c r="AA231" i="6"/>
  <c r="AE231" i="6"/>
  <c r="AA239" i="6"/>
  <c r="AE239" i="6"/>
  <c r="AA249" i="6"/>
  <c r="AE249" i="6"/>
  <c r="AA257" i="6"/>
  <c r="AE257" i="6"/>
  <c r="AA265" i="6"/>
  <c r="AE265" i="6"/>
  <c r="AA273" i="6"/>
  <c r="AE273" i="6"/>
  <c r="AA281" i="6"/>
  <c r="AE281" i="6"/>
  <c r="AA289" i="6"/>
  <c r="AE289" i="6"/>
  <c r="AA297" i="6"/>
  <c r="AE297" i="6"/>
  <c r="AA305" i="6"/>
  <c r="AE305" i="6"/>
  <c r="AA313" i="6"/>
  <c r="AE313" i="6"/>
  <c r="AA321" i="6"/>
  <c r="AE321" i="6"/>
  <c r="AA330" i="6"/>
  <c r="AE330" i="6"/>
  <c r="AA338" i="6"/>
  <c r="AE338" i="6"/>
  <c r="AA346" i="6"/>
  <c r="AE346" i="6"/>
  <c r="AA355" i="6"/>
  <c r="AE355" i="6"/>
  <c r="AA364" i="6"/>
  <c r="AE364" i="6"/>
  <c r="AA372" i="6"/>
  <c r="AE372" i="6"/>
  <c r="AA380" i="6"/>
  <c r="AE380" i="6"/>
  <c r="AA388" i="6"/>
  <c r="AE388" i="6"/>
  <c r="AA396" i="6"/>
  <c r="AE396" i="6"/>
  <c r="AA405" i="6"/>
  <c r="AE405" i="6"/>
  <c r="AA413" i="6"/>
  <c r="AE413" i="6"/>
  <c r="AA421" i="6"/>
  <c r="AE421" i="6"/>
  <c r="AA429" i="6"/>
  <c r="AE429" i="6"/>
  <c r="AA437" i="6"/>
  <c r="AE437" i="6"/>
  <c r="X534" i="6"/>
  <c r="AB534" i="6"/>
  <c r="Y259" i="6"/>
  <c r="AC259" i="6"/>
  <c r="Y481" i="6"/>
  <c r="AC481" i="6"/>
  <c r="Y562" i="6"/>
  <c r="AC562" i="6"/>
  <c r="Z22" i="6"/>
  <c r="AD22" i="6"/>
  <c r="Z87" i="6"/>
  <c r="AD87" i="6"/>
  <c r="Z153" i="6"/>
  <c r="AD153" i="6"/>
  <c r="Z217" i="6"/>
  <c r="AD217" i="6"/>
  <c r="Z284" i="6"/>
  <c r="AD284" i="6"/>
  <c r="Z350" i="6"/>
  <c r="AD350" i="6"/>
  <c r="Z416" i="6"/>
  <c r="AD416" i="6"/>
  <c r="Z429" i="6"/>
  <c r="AD429" i="6"/>
  <c r="Z437" i="6"/>
  <c r="AD437" i="6"/>
  <c r="Z445" i="6"/>
  <c r="AD445" i="6"/>
  <c r="Z453" i="6"/>
  <c r="AD453" i="6"/>
  <c r="Z461" i="6"/>
  <c r="AD461" i="6"/>
  <c r="Z469" i="6"/>
  <c r="AD469" i="6"/>
  <c r="Z479" i="6"/>
  <c r="AD479" i="6"/>
  <c r="Z487" i="6"/>
  <c r="AD487" i="6"/>
  <c r="Z496" i="6"/>
  <c r="AD496" i="6"/>
  <c r="Z504" i="6"/>
  <c r="AD504" i="6"/>
  <c r="Z512" i="6"/>
  <c r="AD512" i="6"/>
  <c r="Z520" i="6"/>
  <c r="AD520" i="6"/>
  <c r="Z528" i="6"/>
  <c r="AD528" i="6"/>
  <c r="Z536" i="6"/>
  <c r="AD536" i="6"/>
  <c r="Z544" i="6"/>
  <c r="AD544" i="6"/>
  <c r="Z552" i="6"/>
  <c r="AD552" i="6"/>
  <c r="Z560" i="6"/>
  <c r="AD560" i="6"/>
  <c r="Z568" i="6"/>
  <c r="AD568" i="6"/>
  <c r="Z576" i="6"/>
  <c r="AD576" i="6"/>
  <c r="Z584" i="6"/>
  <c r="AD584" i="6"/>
  <c r="Z592" i="6"/>
  <c r="AD592" i="6"/>
  <c r="Z601" i="6"/>
  <c r="AD601" i="6"/>
  <c r="Z609" i="6"/>
  <c r="AD609" i="6"/>
  <c r="Z617" i="6"/>
  <c r="AD617" i="6"/>
  <c r="AA20" i="6"/>
  <c r="AE20" i="6"/>
  <c r="AA28" i="6"/>
  <c r="AE28" i="6"/>
  <c r="AA36" i="6"/>
  <c r="AE36" i="6"/>
  <c r="AA44" i="6"/>
  <c r="AE44" i="6"/>
  <c r="AA52" i="6"/>
  <c r="AE52" i="6"/>
  <c r="AA61" i="6"/>
  <c r="AE61" i="6"/>
  <c r="AA69" i="6"/>
  <c r="AE69" i="6"/>
  <c r="AA77" i="6"/>
  <c r="AE77" i="6"/>
  <c r="AA85" i="6"/>
  <c r="AE85" i="6"/>
  <c r="AA93" i="6"/>
  <c r="AE93" i="6"/>
  <c r="AA101" i="6"/>
  <c r="AE101" i="6"/>
  <c r="AA109" i="6"/>
  <c r="AE109" i="6"/>
  <c r="AA117" i="6"/>
  <c r="AE117" i="6"/>
  <c r="AA125" i="6"/>
  <c r="AE125" i="6"/>
  <c r="AA133" i="6"/>
  <c r="AE133" i="6"/>
  <c r="AA141" i="6"/>
  <c r="AE141" i="6"/>
  <c r="AA151" i="6"/>
  <c r="AE151" i="6"/>
  <c r="AA159" i="6"/>
  <c r="AE159" i="6"/>
  <c r="AA167" i="6"/>
  <c r="AE167" i="6"/>
  <c r="AA175" i="6"/>
  <c r="AE175" i="6"/>
  <c r="AA183" i="6"/>
  <c r="AE183" i="6"/>
  <c r="AA191" i="6"/>
  <c r="AE191" i="6"/>
  <c r="AA199" i="6"/>
  <c r="AE199" i="6"/>
  <c r="AA207" i="6"/>
  <c r="AE207" i="6"/>
  <c r="AA215" i="6"/>
  <c r="AE215" i="6"/>
  <c r="AA223" i="6"/>
  <c r="AE223" i="6"/>
  <c r="AA232" i="6"/>
  <c r="AE232" i="6"/>
  <c r="AA242" i="6"/>
  <c r="AE242" i="6"/>
  <c r="AA250" i="6"/>
  <c r="AE250" i="6"/>
  <c r="AA258" i="6"/>
  <c r="AE258" i="6"/>
  <c r="AA266" i="6"/>
  <c r="AE266" i="6"/>
  <c r="AA274" i="6"/>
  <c r="AE274" i="6"/>
  <c r="AA282" i="6"/>
  <c r="AE282" i="6"/>
  <c r="AA290" i="6"/>
  <c r="AE290" i="6"/>
  <c r="AA298" i="6"/>
  <c r="AE298" i="6"/>
  <c r="AA306" i="6"/>
  <c r="AE306" i="6"/>
  <c r="AA314" i="6"/>
  <c r="AE314" i="6"/>
  <c r="AA322" i="6"/>
  <c r="AE322" i="6"/>
  <c r="AA331" i="6"/>
  <c r="AE331" i="6"/>
  <c r="AA339" i="6"/>
  <c r="AE339" i="6"/>
  <c r="AA347" i="6"/>
  <c r="AE347" i="6"/>
  <c r="AA356" i="6"/>
  <c r="AE356" i="6"/>
  <c r="AA365" i="6"/>
  <c r="AE365" i="6"/>
  <c r="AA373" i="6"/>
  <c r="AE373" i="6"/>
  <c r="AA381" i="6"/>
  <c r="AE381" i="6"/>
  <c r="AA389" i="6"/>
  <c r="AE389" i="6"/>
  <c r="AA397" i="6"/>
  <c r="AE397" i="6"/>
  <c r="AA406" i="6"/>
  <c r="AE406" i="6"/>
  <c r="AA414" i="6"/>
  <c r="AE414" i="6"/>
  <c r="AA422" i="6"/>
  <c r="AE422" i="6"/>
  <c r="X588" i="6"/>
  <c r="AB588" i="6"/>
  <c r="Y291" i="6"/>
  <c r="AC291" i="6"/>
  <c r="Y498" i="6"/>
  <c r="AC498" i="6"/>
  <c r="Y570" i="6"/>
  <c r="AC570" i="6"/>
  <c r="Z30" i="6"/>
  <c r="AD30" i="6"/>
  <c r="Z95" i="6"/>
  <c r="AD95" i="6"/>
  <c r="Z161" i="6"/>
  <c r="AD161" i="6"/>
  <c r="Z226" i="6"/>
  <c r="AD226" i="6"/>
  <c r="Z292" i="6"/>
  <c r="AD292" i="6"/>
  <c r="Z358" i="6"/>
  <c r="AD358" i="6"/>
  <c r="Z422" i="6"/>
  <c r="AD422" i="6"/>
  <c r="Z430" i="6"/>
  <c r="AD430" i="6"/>
  <c r="Z438" i="6"/>
  <c r="AD438" i="6"/>
  <c r="Z446" i="6"/>
  <c r="AD446" i="6"/>
  <c r="Z454" i="6"/>
  <c r="AD454" i="6"/>
  <c r="Z462" i="6"/>
  <c r="AD462" i="6"/>
  <c r="Z470" i="6"/>
  <c r="AD470" i="6"/>
  <c r="Z480" i="6"/>
  <c r="AD480" i="6"/>
  <c r="Z489" i="6"/>
  <c r="AD489" i="6"/>
  <c r="Z497" i="6"/>
  <c r="AD497" i="6"/>
  <c r="Z505" i="6"/>
  <c r="AD505" i="6"/>
  <c r="Z513" i="6"/>
  <c r="AD513" i="6"/>
  <c r="Z521" i="6"/>
  <c r="AD521" i="6"/>
  <c r="Z529" i="6"/>
  <c r="AD529" i="6"/>
  <c r="Z537" i="6"/>
  <c r="AD537" i="6"/>
  <c r="Z545" i="6"/>
  <c r="AD545" i="6"/>
  <c r="Z553" i="6"/>
  <c r="AD553" i="6"/>
  <c r="Z561" i="6"/>
  <c r="AD561" i="6"/>
  <c r="Z569" i="6"/>
  <c r="AD569" i="6"/>
  <c r="Z577" i="6"/>
  <c r="AD577" i="6"/>
  <c r="Z585" i="6"/>
  <c r="AD585" i="6"/>
  <c r="Z593" i="6"/>
  <c r="AD593" i="6"/>
  <c r="Z602" i="6"/>
  <c r="AD602" i="6"/>
  <c r="Z610" i="6"/>
  <c r="AD610" i="6"/>
  <c r="Z618" i="6"/>
  <c r="AD618" i="6"/>
  <c r="AA21" i="6"/>
  <c r="AE21" i="6"/>
  <c r="AA29" i="6"/>
  <c r="AE29" i="6"/>
  <c r="AA37" i="6"/>
  <c r="AE37" i="6"/>
  <c r="AA45" i="6"/>
  <c r="AE45" i="6"/>
  <c r="AA53" i="6"/>
  <c r="AE53" i="6"/>
  <c r="AA62" i="6"/>
  <c r="AE62" i="6"/>
  <c r="AA70" i="6"/>
  <c r="AE70" i="6"/>
  <c r="AA78" i="6"/>
  <c r="AE78" i="6"/>
  <c r="AA86" i="6"/>
  <c r="AE86" i="6"/>
  <c r="AA94" i="6"/>
  <c r="AE94" i="6"/>
  <c r="AA102" i="6"/>
  <c r="AE102" i="6"/>
  <c r="AA110" i="6"/>
  <c r="AE110" i="6"/>
  <c r="AA118" i="6"/>
  <c r="AE118" i="6"/>
  <c r="AA126" i="6"/>
  <c r="AE126" i="6"/>
  <c r="AA134" i="6"/>
  <c r="AE134" i="6"/>
  <c r="AA144" i="6"/>
  <c r="AE144" i="6"/>
  <c r="AA152" i="6"/>
  <c r="AE152" i="6"/>
  <c r="AA160" i="6"/>
  <c r="AE160" i="6"/>
  <c r="AA168" i="6"/>
  <c r="AE168" i="6"/>
  <c r="AA176" i="6"/>
  <c r="AE176" i="6"/>
  <c r="AA184" i="6"/>
  <c r="AE184" i="6"/>
  <c r="AA192" i="6"/>
  <c r="AE192" i="6"/>
  <c r="AA200" i="6"/>
  <c r="AE200" i="6"/>
  <c r="AA208" i="6"/>
  <c r="AE208" i="6"/>
  <c r="AA216" i="6"/>
  <c r="AE216" i="6"/>
  <c r="AA225" i="6"/>
  <c r="AE225" i="6"/>
  <c r="AA233" i="6"/>
  <c r="AE233" i="6"/>
  <c r="AA243" i="6"/>
  <c r="AE243" i="6"/>
  <c r="AA251" i="6"/>
  <c r="AE251" i="6"/>
  <c r="AA259" i="6"/>
  <c r="AE259" i="6"/>
  <c r="AA267" i="6"/>
  <c r="AE267" i="6"/>
  <c r="AA275" i="6"/>
  <c r="AE275" i="6"/>
  <c r="AA283" i="6"/>
  <c r="AE283" i="6"/>
  <c r="AA291" i="6"/>
  <c r="AE291" i="6"/>
  <c r="AA299" i="6"/>
  <c r="AE299" i="6"/>
  <c r="AA307" i="6"/>
  <c r="AE307" i="6"/>
  <c r="AA315" i="6"/>
  <c r="AE315" i="6"/>
  <c r="AA323" i="6"/>
  <c r="AE323" i="6"/>
  <c r="AA332" i="6"/>
  <c r="AE332" i="6"/>
  <c r="AA340" i="6"/>
  <c r="AE340" i="6"/>
  <c r="AA348" i="6"/>
  <c r="AE348" i="6"/>
  <c r="AA357" i="6"/>
  <c r="AE357" i="6"/>
  <c r="AA366" i="6"/>
  <c r="AE366" i="6"/>
  <c r="AA374" i="6"/>
  <c r="AE374" i="6"/>
  <c r="Y34" i="6"/>
  <c r="AC34" i="6"/>
  <c r="Y323" i="6"/>
  <c r="AC323" i="6"/>
  <c r="Y513" i="6"/>
  <c r="AC513" i="6"/>
  <c r="Y578" i="6"/>
  <c r="AC578" i="6"/>
  <c r="Z38" i="6"/>
  <c r="AD38" i="6"/>
  <c r="Z103" i="6"/>
  <c r="AD103" i="6"/>
  <c r="Z169" i="6"/>
  <c r="AD169" i="6"/>
  <c r="Z234" i="6"/>
  <c r="AD234" i="6"/>
  <c r="Z300" i="6"/>
  <c r="AD300" i="6"/>
  <c r="Z367" i="6"/>
  <c r="AD367" i="6"/>
  <c r="Z423" i="6"/>
  <c r="AD423" i="6"/>
  <c r="Z431" i="6"/>
  <c r="AD431" i="6"/>
  <c r="Z439" i="6"/>
  <c r="AD439" i="6"/>
  <c r="Z447" i="6"/>
  <c r="AD447" i="6"/>
  <c r="Z455" i="6"/>
  <c r="AD455" i="6"/>
  <c r="Z463" i="6"/>
  <c r="AD463" i="6"/>
  <c r="Z471" i="6"/>
  <c r="AD471" i="6"/>
  <c r="Z481" i="6"/>
  <c r="AD481" i="6"/>
  <c r="Z490" i="6"/>
  <c r="AD490" i="6"/>
  <c r="Z498" i="6"/>
  <c r="AD498" i="6"/>
  <c r="Z506" i="6"/>
  <c r="AD506" i="6"/>
  <c r="Z514" i="6"/>
  <c r="AD514" i="6"/>
  <c r="Z522" i="6"/>
  <c r="AD522" i="6"/>
  <c r="Z530" i="6"/>
  <c r="AD530" i="6"/>
  <c r="Z538" i="6"/>
  <c r="AD538" i="6"/>
  <c r="Z546" i="6"/>
  <c r="AD546" i="6"/>
  <c r="Z554" i="6"/>
  <c r="AD554" i="6"/>
  <c r="Z562" i="6"/>
  <c r="AD562" i="6"/>
  <c r="Z570" i="6"/>
  <c r="AD570" i="6"/>
  <c r="Z578" i="6"/>
  <c r="AD578" i="6"/>
  <c r="Z586" i="6"/>
  <c r="AD586" i="6"/>
  <c r="Z594" i="6"/>
  <c r="AD594" i="6"/>
  <c r="Z603" i="6"/>
  <c r="AD603" i="6"/>
  <c r="Z611" i="6"/>
  <c r="AD611" i="6"/>
  <c r="Z619" i="6"/>
  <c r="AD619" i="6"/>
  <c r="AA22" i="6"/>
  <c r="AE22" i="6"/>
  <c r="AA30" i="6"/>
  <c r="AE30" i="6"/>
  <c r="AA38" i="6"/>
  <c r="AE38" i="6"/>
  <c r="AA46" i="6"/>
  <c r="AE46" i="6"/>
  <c r="AA54" i="6"/>
  <c r="AE54" i="6"/>
  <c r="AA63" i="6"/>
  <c r="AE63" i="6"/>
  <c r="AA71" i="6"/>
  <c r="AE71" i="6"/>
  <c r="AA79" i="6"/>
  <c r="AE79" i="6"/>
  <c r="AA87" i="6"/>
  <c r="AE87" i="6"/>
  <c r="AA95" i="6"/>
  <c r="AE95" i="6"/>
  <c r="AA103" i="6"/>
  <c r="AE103" i="6"/>
  <c r="AA111" i="6"/>
  <c r="AE111" i="6"/>
  <c r="AA119" i="6"/>
  <c r="AE119" i="6"/>
  <c r="AA127" i="6"/>
  <c r="AE127" i="6"/>
  <c r="AA135" i="6"/>
  <c r="AE135" i="6"/>
  <c r="AA145" i="6"/>
  <c r="AE145" i="6"/>
  <c r="AA153" i="6"/>
  <c r="AE153" i="6"/>
  <c r="AA161" i="6"/>
  <c r="AE161" i="6"/>
  <c r="AA169" i="6"/>
  <c r="AE169" i="6"/>
  <c r="AA177" i="6"/>
  <c r="AE177" i="6"/>
  <c r="AA185" i="6"/>
  <c r="AE185" i="6"/>
  <c r="AA193" i="6"/>
  <c r="AE193" i="6"/>
  <c r="AA201" i="6"/>
  <c r="AE201" i="6"/>
  <c r="AA209" i="6"/>
  <c r="AE209" i="6"/>
  <c r="AA217" i="6"/>
  <c r="AE217" i="6"/>
  <c r="AA226" i="6"/>
  <c r="AE226" i="6"/>
  <c r="AA234" i="6"/>
  <c r="AE234" i="6"/>
  <c r="AA244" i="6"/>
  <c r="AE244" i="6"/>
  <c r="AA252" i="6"/>
  <c r="AE252" i="6"/>
  <c r="AA260" i="6"/>
  <c r="AE260" i="6"/>
  <c r="AA268" i="6"/>
  <c r="AE268" i="6"/>
  <c r="AA276" i="6"/>
  <c r="AE276" i="6"/>
  <c r="AA284" i="6"/>
  <c r="AE284" i="6"/>
  <c r="AA292" i="6"/>
  <c r="AE292" i="6"/>
  <c r="AA300" i="6"/>
  <c r="AE300" i="6"/>
  <c r="AA308" i="6"/>
  <c r="AE308" i="6"/>
  <c r="AA316" i="6"/>
  <c r="AE316" i="6"/>
  <c r="AA324" i="6"/>
  <c r="AE324" i="6"/>
  <c r="AA333" i="6"/>
  <c r="AE333" i="6"/>
  <c r="AA341" i="6"/>
  <c r="AE341" i="6"/>
  <c r="AA350" i="6"/>
  <c r="AE350" i="6"/>
  <c r="AA358" i="6"/>
  <c r="AE358" i="6"/>
  <c r="AA367" i="6"/>
  <c r="AE367" i="6"/>
  <c r="AA375" i="6"/>
  <c r="AE375" i="6"/>
  <c r="Y85" i="6"/>
  <c r="AC85" i="6"/>
  <c r="Y357" i="6"/>
  <c r="AC357" i="6"/>
  <c r="Y522" i="6"/>
  <c r="AC522" i="6"/>
  <c r="Y586" i="6"/>
  <c r="AC586" i="6"/>
  <c r="Z46" i="6"/>
  <c r="AD46" i="6"/>
  <c r="Z111" i="6"/>
  <c r="AD111" i="6"/>
  <c r="Z177" i="6"/>
  <c r="AD177" i="6"/>
  <c r="Z244" i="6"/>
  <c r="AD244" i="6"/>
  <c r="Z308" i="6"/>
  <c r="AD308" i="6"/>
  <c r="Z375" i="6"/>
  <c r="AD375" i="6"/>
  <c r="Z424" i="6"/>
  <c r="AD424" i="6"/>
  <c r="Z432" i="6"/>
  <c r="AD432" i="6"/>
  <c r="Z440" i="6"/>
  <c r="AD440" i="6"/>
  <c r="Z448" i="6"/>
  <c r="AD448" i="6"/>
  <c r="Z456" i="6"/>
  <c r="AD456" i="6"/>
  <c r="Z464" i="6"/>
  <c r="AD464" i="6"/>
  <c r="Z472" i="6"/>
  <c r="AD472" i="6"/>
  <c r="Z482" i="6"/>
  <c r="AD482" i="6"/>
  <c r="Z491" i="6"/>
  <c r="AD491" i="6"/>
  <c r="Z499" i="6"/>
  <c r="AD499" i="6"/>
  <c r="Z507" i="6"/>
  <c r="AD507" i="6"/>
  <c r="Z515" i="6"/>
  <c r="AD515" i="6"/>
  <c r="Z523" i="6"/>
  <c r="AD523" i="6"/>
  <c r="Z531" i="6"/>
  <c r="AD531" i="6"/>
  <c r="Z539" i="6"/>
  <c r="AD539" i="6"/>
  <c r="Z547" i="6"/>
  <c r="AD547" i="6"/>
  <c r="Z555" i="6"/>
  <c r="AD555" i="6"/>
  <c r="Z563" i="6"/>
  <c r="AD563" i="6"/>
  <c r="Z571" i="6"/>
  <c r="AD571" i="6"/>
  <c r="Z579" i="6"/>
  <c r="AD579" i="6"/>
  <c r="Z587" i="6"/>
  <c r="AD587" i="6"/>
  <c r="Z595" i="6"/>
  <c r="AD595" i="6"/>
  <c r="Z604" i="6"/>
  <c r="AD604" i="6"/>
  <c r="Z612" i="6"/>
  <c r="AD612" i="6"/>
  <c r="Z620" i="6"/>
  <c r="AD620" i="6"/>
  <c r="AA23" i="6"/>
  <c r="AE23" i="6"/>
  <c r="AA31" i="6"/>
  <c r="AE31" i="6"/>
  <c r="AA39" i="6"/>
  <c r="AE39" i="6"/>
  <c r="AA47" i="6"/>
  <c r="AE47" i="6"/>
  <c r="AA56" i="6"/>
  <c r="AE56" i="6"/>
  <c r="AA64" i="6"/>
  <c r="AE64" i="6"/>
  <c r="AA72" i="6"/>
  <c r="AE72" i="6"/>
  <c r="AA80" i="6"/>
  <c r="AE80" i="6"/>
  <c r="AA88" i="6"/>
  <c r="AE88" i="6"/>
  <c r="AA96" i="6"/>
  <c r="AE96" i="6"/>
  <c r="AA104" i="6"/>
  <c r="AE104" i="6"/>
  <c r="AA112" i="6"/>
  <c r="AE112" i="6"/>
  <c r="AA120" i="6"/>
  <c r="AE120" i="6"/>
  <c r="AA128" i="6"/>
  <c r="AE128" i="6"/>
  <c r="AA136" i="6"/>
  <c r="AE136" i="6"/>
  <c r="AA146" i="6"/>
  <c r="AE146" i="6"/>
  <c r="AA154" i="6"/>
  <c r="AE154" i="6"/>
  <c r="AA162" i="6"/>
  <c r="AE162" i="6"/>
  <c r="AA170" i="6"/>
  <c r="AE170" i="6"/>
  <c r="AA178" i="6"/>
  <c r="AE178" i="6"/>
  <c r="AA186" i="6"/>
  <c r="AE186" i="6"/>
  <c r="AA194" i="6"/>
  <c r="AE194" i="6"/>
  <c r="AA202" i="6"/>
  <c r="AE202" i="6"/>
  <c r="AA210" i="6"/>
  <c r="AE210" i="6"/>
  <c r="AA218" i="6"/>
  <c r="AE218" i="6"/>
  <c r="AA227" i="6"/>
  <c r="AE227" i="6"/>
  <c r="AA235" i="6"/>
  <c r="AE235" i="6"/>
  <c r="AA245" i="6"/>
  <c r="AE245" i="6"/>
  <c r="AA253" i="6"/>
  <c r="AE253" i="6"/>
  <c r="AA261" i="6"/>
  <c r="AE261" i="6"/>
  <c r="AA269" i="6"/>
  <c r="AE269" i="6"/>
  <c r="AA277" i="6"/>
  <c r="AE277" i="6"/>
  <c r="AA285" i="6"/>
  <c r="AE285" i="6"/>
  <c r="AA293" i="6"/>
  <c r="AE293" i="6"/>
  <c r="AA301" i="6"/>
  <c r="AE301" i="6"/>
  <c r="AA309" i="6"/>
  <c r="AE309" i="6"/>
  <c r="AA317" i="6"/>
  <c r="AE317" i="6"/>
  <c r="AA325" i="6"/>
  <c r="AE325" i="6"/>
  <c r="AA334" i="6"/>
  <c r="AE334" i="6"/>
  <c r="AA342" i="6"/>
  <c r="AE342" i="6"/>
  <c r="AA351" i="6"/>
  <c r="AE351" i="6"/>
  <c r="AA360" i="6"/>
  <c r="AE360" i="6"/>
  <c r="AA368" i="6"/>
  <c r="AE368" i="6"/>
  <c r="AA376" i="6"/>
  <c r="AE376" i="6"/>
  <c r="AA384" i="6"/>
  <c r="AE384" i="6"/>
  <c r="X67" i="6"/>
  <c r="AB67" i="6"/>
  <c r="Y126" i="6"/>
  <c r="AC126" i="6"/>
  <c r="Y390" i="6"/>
  <c r="AC390" i="6"/>
  <c r="Y530" i="6"/>
  <c r="AC530" i="6"/>
  <c r="Y594" i="6"/>
  <c r="AC594" i="6"/>
  <c r="Z54" i="6"/>
  <c r="AD54" i="6"/>
  <c r="Z119" i="6"/>
  <c r="AD119" i="6"/>
  <c r="Z185" i="6"/>
  <c r="AD185" i="6"/>
  <c r="Z252" i="6"/>
  <c r="AD252" i="6"/>
  <c r="Z316" i="6"/>
  <c r="AD316" i="6"/>
  <c r="Z383" i="6"/>
  <c r="AD383" i="6"/>
  <c r="Z425" i="6"/>
  <c r="AD425" i="6"/>
  <c r="Z433" i="6"/>
  <c r="AD433" i="6"/>
  <c r="Z441" i="6"/>
  <c r="AD441" i="6"/>
  <c r="Z449" i="6"/>
  <c r="AD449" i="6"/>
  <c r="Z457" i="6"/>
  <c r="AD457" i="6"/>
  <c r="Z465" i="6"/>
  <c r="AD465" i="6"/>
  <c r="Z473" i="6"/>
  <c r="AD473" i="6"/>
  <c r="Z483" i="6"/>
  <c r="AD483" i="6"/>
  <c r="Z492" i="6"/>
  <c r="AD492" i="6"/>
  <c r="Z500" i="6"/>
  <c r="AD500" i="6"/>
  <c r="Z508" i="6"/>
  <c r="AD508" i="6"/>
  <c r="Z516" i="6"/>
  <c r="AD516" i="6"/>
  <c r="Z524" i="6"/>
  <c r="AD524" i="6"/>
  <c r="Z532" i="6"/>
  <c r="AD532" i="6"/>
  <c r="Z540" i="6"/>
  <c r="AD540" i="6"/>
  <c r="Z548" i="6"/>
  <c r="AD548" i="6"/>
  <c r="Z556" i="6"/>
  <c r="AD556" i="6"/>
  <c r="Z564" i="6"/>
  <c r="AD564" i="6"/>
  <c r="Z572" i="6"/>
  <c r="AD572" i="6"/>
  <c r="Z580" i="6"/>
  <c r="AD580" i="6"/>
  <c r="Z588" i="6"/>
  <c r="AD588" i="6"/>
  <c r="Z596" i="6"/>
  <c r="AD596" i="6"/>
  <c r="Z605" i="6"/>
  <c r="AD605" i="6"/>
  <c r="Z613" i="6"/>
  <c r="AD613" i="6"/>
  <c r="Z621" i="6"/>
  <c r="AD621" i="6"/>
  <c r="AA24" i="6"/>
  <c r="AE24" i="6"/>
  <c r="AA32" i="6"/>
  <c r="AE32" i="6"/>
  <c r="AA40" i="6"/>
  <c r="AE40" i="6"/>
  <c r="AA48" i="6"/>
  <c r="AE48" i="6"/>
  <c r="AA57" i="6"/>
  <c r="AE57" i="6"/>
  <c r="AA65" i="6"/>
  <c r="AE65" i="6"/>
  <c r="AA73" i="6"/>
  <c r="AE73" i="6"/>
  <c r="AA81" i="6"/>
  <c r="AE81" i="6"/>
  <c r="AA89" i="6"/>
  <c r="AE89" i="6"/>
  <c r="AA97" i="6"/>
  <c r="AE97" i="6"/>
  <c r="AA105" i="6"/>
  <c r="AE105" i="6"/>
  <c r="AA113" i="6"/>
  <c r="AE113" i="6"/>
  <c r="AA121" i="6"/>
  <c r="AE121" i="6"/>
  <c r="AA129" i="6"/>
  <c r="AE129" i="6"/>
  <c r="AA137" i="6"/>
  <c r="AE137" i="6"/>
  <c r="AA147" i="6"/>
  <c r="AE147" i="6"/>
  <c r="AA155" i="6"/>
  <c r="AE155" i="6"/>
  <c r="AA163" i="6"/>
  <c r="AE163" i="6"/>
  <c r="AA171" i="6"/>
  <c r="AE171" i="6"/>
  <c r="AA179" i="6"/>
  <c r="AE179" i="6"/>
  <c r="AA187" i="6"/>
  <c r="AE187" i="6"/>
  <c r="AA195" i="6"/>
  <c r="AE195" i="6"/>
  <c r="AA203" i="6"/>
  <c r="AE203" i="6"/>
  <c r="AA211" i="6"/>
  <c r="AE211" i="6"/>
  <c r="AA219" i="6"/>
  <c r="AE219" i="6"/>
  <c r="AA228" i="6"/>
  <c r="AE228" i="6"/>
  <c r="AA236" i="6"/>
  <c r="AE236" i="6"/>
  <c r="AA246" i="6"/>
  <c r="AE246" i="6"/>
  <c r="AA254" i="6"/>
  <c r="AE254" i="6"/>
  <c r="AA262" i="6"/>
  <c r="AE262" i="6"/>
  <c r="AA270" i="6"/>
  <c r="AE270" i="6"/>
  <c r="AA278" i="6"/>
  <c r="AE278" i="6"/>
  <c r="AA286" i="6"/>
  <c r="AE286" i="6"/>
  <c r="AA294" i="6"/>
  <c r="AE294" i="6"/>
  <c r="AA302" i="6"/>
  <c r="AE302" i="6"/>
  <c r="AA310" i="6"/>
  <c r="AE310" i="6"/>
  <c r="AA318" i="6"/>
  <c r="AE318" i="6"/>
  <c r="AA326" i="6"/>
  <c r="AE326" i="6"/>
  <c r="AA335" i="6"/>
  <c r="AE335" i="6"/>
  <c r="AA343" i="6"/>
  <c r="AE343" i="6"/>
  <c r="AA352" i="6"/>
  <c r="AE352" i="6"/>
  <c r="AA361" i="6"/>
  <c r="AE361" i="6"/>
  <c r="AA369" i="6"/>
  <c r="AE369" i="6"/>
  <c r="AA377" i="6"/>
  <c r="AE377" i="6"/>
  <c r="AA385" i="6"/>
  <c r="AE385" i="6"/>
  <c r="Y423" i="6"/>
  <c r="AC423" i="6"/>
  <c r="Z391" i="6"/>
  <c r="AD391" i="6"/>
  <c r="Z484" i="6"/>
  <c r="AD484" i="6"/>
  <c r="Z549" i="6"/>
  <c r="AD549" i="6"/>
  <c r="Z614" i="6"/>
  <c r="AD614" i="6"/>
  <c r="AA74" i="6"/>
  <c r="AE74" i="6"/>
  <c r="AA138" i="6"/>
  <c r="AE138" i="6"/>
  <c r="AA204" i="6"/>
  <c r="AE204" i="6"/>
  <c r="AA271" i="6"/>
  <c r="AE271" i="6"/>
  <c r="AA336" i="6"/>
  <c r="AE336" i="6"/>
  <c r="AA386" i="6"/>
  <c r="AE386" i="6"/>
  <c r="AA401" i="6"/>
  <c r="AE401" i="6"/>
  <c r="AA415" i="6"/>
  <c r="AE415" i="6"/>
  <c r="AA426" i="6"/>
  <c r="AE426" i="6"/>
  <c r="AA435" i="6"/>
  <c r="AE435" i="6"/>
  <c r="AA444" i="6"/>
  <c r="AE444" i="6"/>
  <c r="AA452" i="6"/>
  <c r="AE452" i="6"/>
  <c r="AA460" i="6"/>
  <c r="AE460" i="6"/>
  <c r="AA468" i="6"/>
  <c r="AE468" i="6"/>
  <c r="AA478" i="6"/>
  <c r="AE478" i="6"/>
  <c r="AA486" i="6"/>
  <c r="AE486" i="6"/>
  <c r="AA495" i="6"/>
  <c r="AE495" i="6"/>
  <c r="AA503" i="6"/>
  <c r="AE503" i="6"/>
  <c r="AA511" i="6"/>
  <c r="AE511" i="6"/>
  <c r="AA519" i="6"/>
  <c r="AE519" i="6"/>
  <c r="AA527" i="6"/>
  <c r="AE527" i="6"/>
  <c r="AA535" i="6"/>
  <c r="AE535" i="6"/>
  <c r="AA543" i="6"/>
  <c r="AE543" i="6"/>
  <c r="AA551" i="6"/>
  <c r="AE551" i="6"/>
  <c r="AA559" i="6"/>
  <c r="AE559" i="6"/>
  <c r="AA567" i="6"/>
  <c r="AE567" i="6"/>
  <c r="AA575" i="6"/>
  <c r="AE575" i="6"/>
  <c r="AA583" i="6"/>
  <c r="AE583" i="6"/>
  <c r="AA591" i="6"/>
  <c r="AE591" i="6"/>
  <c r="AA599" i="6"/>
  <c r="AE599" i="6"/>
  <c r="AA608" i="6"/>
  <c r="AE608" i="6"/>
  <c r="AA616" i="6"/>
  <c r="AE616" i="6"/>
  <c r="Y538" i="6"/>
  <c r="AC538" i="6"/>
  <c r="Z426" i="6"/>
  <c r="AD426" i="6"/>
  <c r="Z493" i="6"/>
  <c r="AD493" i="6"/>
  <c r="Z557" i="6"/>
  <c r="AD557" i="6"/>
  <c r="AA17" i="6"/>
  <c r="AE17" i="6"/>
  <c r="AA82" i="6"/>
  <c r="AE82" i="6"/>
  <c r="AA148" i="6"/>
  <c r="AE148" i="6"/>
  <c r="AA212" i="6"/>
  <c r="AE212" i="6"/>
  <c r="AA279" i="6"/>
  <c r="AE279" i="6"/>
  <c r="AA344" i="6"/>
  <c r="AE344" i="6"/>
  <c r="AA390" i="6"/>
  <c r="AE390" i="6"/>
  <c r="AA402" i="6"/>
  <c r="AE402" i="6"/>
  <c r="AA416" i="6"/>
  <c r="AE416" i="6"/>
  <c r="AA427" i="6"/>
  <c r="AE427" i="6"/>
  <c r="AA436" i="6"/>
  <c r="AE436" i="6"/>
  <c r="AA445" i="6"/>
  <c r="AE445" i="6"/>
  <c r="AA453" i="6"/>
  <c r="AE453" i="6"/>
  <c r="AA461" i="6"/>
  <c r="AE461" i="6"/>
  <c r="AA469" i="6"/>
  <c r="AE469" i="6"/>
  <c r="AA479" i="6"/>
  <c r="AE479" i="6"/>
  <c r="AA487" i="6"/>
  <c r="AE487" i="6"/>
  <c r="AA496" i="6"/>
  <c r="AE496" i="6"/>
  <c r="AA504" i="6"/>
  <c r="AE504" i="6"/>
  <c r="AA512" i="6"/>
  <c r="AE512" i="6"/>
  <c r="AA520" i="6"/>
  <c r="AE520" i="6"/>
  <c r="AA528" i="6"/>
  <c r="AE528" i="6"/>
  <c r="AA536" i="6"/>
  <c r="AE536" i="6"/>
  <c r="AA544" i="6"/>
  <c r="AE544" i="6"/>
  <c r="AA552" i="6"/>
  <c r="AE552" i="6"/>
  <c r="AA560" i="6"/>
  <c r="AE560" i="6"/>
  <c r="AA568" i="6"/>
  <c r="AE568" i="6"/>
  <c r="AA576" i="6"/>
  <c r="AE576" i="6"/>
  <c r="AA584" i="6"/>
  <c r="AE584" i="6"/>
  <c r="AA592" i="6"/>
  <c r="AE592" i="6"/>
  <c r="AA601" i="6"/>
  <c r="AE601" i="6"/>
  <c r="AA609" i="6"/>
  <c r="AE609" i="6"/>
  <c r="AA617" i="6"/>
  <c r="AE617" i="6"/>
  <c r="Y603" i="6"/>
  <c r="AC603" i="6"/>
  <c r="Z434" i="6"/>
  <c r="AD434" i="6"/>
  <c r="Z501" i="6"/>
  <c r="AD501" i="6"/>
  <c r="Z565" i="6"/>
  <c r="AD565" i="6"/>
  <c r="AA25" i="6"/>
  <c r="AE25" i="6"/>
  <c r="AA90" i="6"/>
  <c r="AE90" i="6"/>
  <c r="AA156" i="6"/>
  <c r="AE156" i="6"/>
  <c r="AA220" i="6"/>
  <c r="AE220" i="6"/>
  <c r="AA287" i="6"/>
  <c r="AE287" i="6"/>
  <c r="AA353" i="6"/>
  <c r="AE353" i="6"/>
  <c r="AA391" i="6"/>
  <c r="AE391" i="6"/>
  <c r="AA403" i="6"/>
  <c r="AE403" i="6"/>
  <c r="AA417" i="6"/>
  <c r="AE417" i="6"/>
  <c r="AA428" i="6"/>
  <c r="AE428" i="6"/>
  <c r="AA438" i="6"/>
  <c r="AE438" i="6"/>
  <c r="AA446" i="6"/>
  <c r="AE446" i="6"/>
  <c r="AA454" i="6"/>
  <c r="AE454" i="6"/>
  <c r="AA462" i="6"/>
  <c r="AE462" i="6"/>
  <c r="AA470" i="6"/>
  <c r="AE470" i="6"/>
  <c r="AA480" i="6"/>
  <c r="AE480" i="6"/>
  <c r="AA489" i="6"/>
  <c r="AE489" i="6"/>
  <c r="AA497" i="6"/>
  <c r="AE497" i="6"/>
  <c r="AA505" i="6"/>
  <c r="AE505" i="6"/>
  <c r="AA513" i="6"/>
  <c r="AE513" i="6"/>
  <c r="AA521" i="6"/>
  <c r="AE521" i="6"/>
  <c r="AA529" i="6"/>
  <c r="AE529" i="6"/>
  <c r="AA537" i="6"/>
  <c r="AE537" i="6"/>
  <c r="AA545" i="6"/>
  <c r="AE545" i="6"/>
  <c r="AA553" i="6"/>
  <c r="AE553" i="6"/>
  <c r="AA561" i="6"/>
  <c r="AE561" i="6"/>
  <c r="AA569" i="6"/>
  <c r="AE569" i="6"/>
  <c r="AA577" i="6"/>
  <c r="AE577" i="6"/>
  <c r="AA585" i="6"/>
  <c r="AE585" i="6"/>
  <c r="AA593" i="6"/>
  <c r="AE593" i="6"/>
  <c r="AA602" i="6"/>
  <c r="AE602" i="6"/>
  <c r="AA610" i="6"/>
  <c r="AE610" i="6"/>
  <c r="AA618" i="6"/>
  <c r="AE618" i="6"/>
  <c r="Z63" i="6"/>
  <c r="AD63" i="6"/>
  <c r="Z442" i="6"/>
  <c r="AD442" i="6"/>
  <c r="Z509" i="6"/>
  <c r="AD509" i="6"/>
  <c r="Z573" i="6"/>
  <c r="AD573" i="6"/>
  <c r="AA33" i="6"/>
  <c r="AE33" i="6"/>
  <c r="AA98" i="6"/>
  <c r="AE98" i="6"/>
  <c r="AA164" i="6"/>
  <c r="AE164" i="6"/>
  <c r="AA229" i="6"/>
  <c r="AE229" i="6"/>
  <c r="AA295" i="6"/>
  <c r="AE295" i="6"/>
  <c r="AA362" i="6"/>
  <c r="AE362" i="6"/>
  <c r="AA392" i="6"/>
  <c r="AE392" i="6"/>
  <c r="AA407" i="6"/>
  <c r="AE407" i="6"/>
  <c r="AA418" i="6"/>
  <c r="AE418" i="6"/>
  <c r="AA430" i="6"/>
  <c r="AE430" i="6"/>
  <c r="AA439" i="6"/>
  <c r="AE439" i="6"/>
  <c r="AA447" i="6"/>
  <c r="AE447" i="6"/>
  <c r="AA455" i="6"/>
  <c r="AE455" i="6"/>
  <c r="AA463" i="6"/>
  <c r="AE463" i="6"/>
  <c r="AA471" i="6"/>
  <c r="AE471" i="6"/>
  <c r="AA481" i="6"/>
  <c r="AE481" i="6"/>
  <c r="AA490" i="6"/>
  <c r="AE490" i="6"/>
  <c r="AA498" i="6"/>
  <c r="AE498" i="6"/>
  <c r="AA506" i="6"/>
  <c r="AE506" i="6"/>
  <c r="AA514" i="6"/>
  <c r="AE514" i="6"/>
  <c r="AA522" i="6"/>
  <c r="AE522" i="6"/>
  <c r="AA530" i="6"/>
  <c r="AE530" i="6"/>
  <c r="AA538" i="6"/>
  <c r="AE538" i="6"/>
  <c r="AA546" i="6"/>
  <c r="AE546" i="6"/>
  <c r="AA554" i="6"/>
  <c r="AE554" i="6"/>
  <c r="AA562" i="6"/>
  <c r="AE562" i="6"/>
  <c r="AA570" i="6"/>
  <c r="AE570" i="6"/>
  <c r="AA578" i="6"/>
  <c r="AE578" i="6"/>
  <c r="AA586" i="6"/>
  <c r="AE586" i="6"/>
  <c r="AA594" i="6"/>
  <c r="AE594" i="6"/>
  <c r="AA603" i="6"/>
  <c r="AE603" i="6"/>
  <c r="AA611" i="6"/>
  <c r="AE611" i="6"/>
  <c r="AA619" i="6"/>
  <c r="AE619" i="6"/>
  <c r="Z127" i="6"/>
  <c r="AD127" i="6"/>
  <c r="Z450" i="6"/>
  <c r="AD450" i="6"/>
  <c r="Z517" i="6"/>
  <c r="AD517" i="6"/>
  <c r="Z581" i="6"/>
  <c r="AD581" i="6"/>
  <c r="AA41" i="6"/>
  <c r="AE41" i="6"/>
  <c r="AA106" i="6"/>
  <c r="AE106" i="6"/>
  <c r="AA172" i="6"/>
  <c r="AE172" i="6"/>
  <c r="AA237" i="6"/>
  <c r="AE237" i="6"/>
  <c r="AA303" i="6"/>
  <c r="AE303" i="6"/>
  <c r="AA370" i="6"/>
  <c r="AE370" i="6"/>
  <c r="AA393" i="6"/>
  <c r="AE393" i="6"/>
  <c r="AA408" i="6"/>
  <c r="AE408" i="6"/>
  <c r="AA419" i="6"/>
  <c r="AE419" i="6"/>
  <c r="AA431" i="6"/>
  <c r="AE431" i="6"/>
  <c r="AA440" i="6"/>
  <c r="AE440" i="6"/>
  <c r="AA448" i="6"/>
  <c r="AE448" i="6"/>
  <c r="AA456" i="6"/>
  <c r="AE456" i="6"/>
  <c r="AA464" i="6"/>
  <c r="AE464" i="6"/>
  <c r="AA472" i="6"/>
  <c r="AE472" i="6"/>
  <c r="AA482" i="6"/>
  <c r="AE482" i="6"/>
  <c r="AA491" i="6"/>
  <c r="AE491" i="6"/>
  <c r="AA499" i="6"/>
  <c r="AE499" i="6"/>
  <c r="AA507" i="6"/>
  <c r="AE507" i="6"/>
  <c r="AA515" i="6"/>
  <c r="AE515" i="6"/>
  <c r="AA523" i="6"/>
  <c r="AE523" i="6"/>
  <c r="AA531" i="6"/>
  <c r="AE531" i="6"/>
  <c r="AA539" i="6"/>
  <c r="AE539" i="6"/>
  <c r="AA547" i="6"/>
  <c r="AE547" i="6"/>
  <c r="AA555" i="6"/>
  <c r="AE555" i="6"/>
  <c r="AA563" i="6"/>
  <c r="AE563" i="6"/>
  <c r="AA571" i="6"/>
  <c r="AE571" i="6"/>
  <c r="AA579" i="6"/>
  <c r="AE579" i="6"/>
  <c r="AA587" i="6"/>
  <c r="AE587" i="6"/>
  <c r="AA595" i="6"/>
  <c r="AE595" i="6"/>
  <c r="AA604" i="6"/>
  <c r="AE604" i="6"/>
  <c r="AA612" i="6"/>
  <c r="AE612" i="6"/>
  <c r="AA620" i="6"/>
  <c r="AE620" i="6"/>
  <c r="Z193" i="6"/>
  <c r="AD193" i="6"/>
  <c r="Z458" i="6"/>
  <c r="AD458" i="6"/>
  <c r="Z525" i="6"/>
  <c r="AD525" i="6"/>
  <c r="Z589" i="6"/>
  <c r="AD589" i="6"/>
  <c r="AA49" i="6"/>
  <c r="AE49" i="6"/>
  <c r="AA114" i="6"/>
  <c r="AE114" i="6"/>
  <c r="AA180" i="6"/>
  <c r="AE180" i="6"/>
  <c r="AA247" i="6"/>
  <c r="AE247" i="6"/>
  <c r="AA311" i="6"/>
  <c r="AE311" i="6"/>
  <c r="AA378" i="6"/>
  <c r="AE378" i="6"/>
  <c r="AA394" i="6"/>
  <c r="AE394" i="6"/>
  <c r="AA409" i="6"/>
  <c r="AE409" i="6"/>
  <c r="AA423" i="6"/>
  <c r="AE423" i="6"/>
  <c r="AA432" i="6"/>
  <c r="AE432" i="6"/>
  <c r="AA441" i="6"/>
  <c r="AE441" i="6"/>
  <c r="AA449" i="6"/>
  <c r="AE449" i="6"/>
  <c r="AA457" i="6"/>
  <c r="AE457" i="6"/>
  <c r="AA465" i="6"/>
  <c r="AE465" i="6"/>
  <c r="AA473" i="6"/>
  <c r="AE473" i="6"/>
  <c r="AA483" i="6"/>
  <c r="AE483" i="6"/>
  <c r="AA492" i="6"/>
  <c r="AE492" i="6"/>
  <c r="AA500" i="6"/>
  <c r="AE500" i="6"/>
  <c r="AA508" i="6"/>
  <c r="AE508" i="6"/>
  <c r="AA516" i="6"/>
  <c r="AE516" i="6"/>
  <c r="AA524" i="6"/>
  <c r="AE524" i="6"/>
  <c r="AA532" i="6"/>
  <c r="AE532" i="6"/>
  <c r="AA540" i="6"/>
  <c r="AE540" i="6"/>
  <c r="AA548" i="6"/>
  <c r="AE548" i="6"/>
  <c r="AA556" i="6"/>
  <c r="AE556" i="6"/>
  <c r="AA564" i="6"/>
  <c r="AE564" i="6"/>
  <c r="AA572" i="6"/>
  <c r="AE572" i="6"/>
  <c r="AA580" i="6"/>
  <c r="AE580" i="6"/>
  <c r="AA588" i="6"/>
  <c r="AE588" i="6"/>
  <c r="AA596" i="6"/>
  <c r="AE596" i="6"/>
  <c r="AA605" i="6"/>
  <c r="AE605" i="6"/>
  <c r="AA613" i="6"/>
  <c r="AE613" i="6"/>
  <c r="AA621" i="6"/>
  <c r="AE621" i="6"/>
  <c r="X312" i="6"/>
  <c r="AB312" i="6"/>
  <c r="Z260" i="6"/>
  <c r="AD260" i="6"/>
  <c r="Z466" i="6"/>
  <c r="AD466" i="6"/>
  <c r="Z533" i="6"/>
  <c r="AD533" i="6"/>
  <c r="Z597" i="6"/>
  <c r="AD597" i="6"/>
  <c r="AA58" i="6"/>
  <c r="AE58" i="6"/>
  <c r="AA122" i="6"/>
  <c r="AE122" i="6"/>
  <c r="AA188" i="6"/>
  <c r="AE188" i="6"/>
  <c r="AA255" i="6"/>
  <c r="AE255" i="6"/>
  <c r="AA319" i="6"/>
  <c r="AE319" i="6"/>
  <c r="AA382" i="6"/>
  <c r="AE382" i="6"/>
  <c r="AA398" i="6"/>
  <c r="AE398" i="6"/>
  <c r="AA410" i="6"/>
  <c r="AE410" i="6"/>
  <c r="AA424" i="6"/>
  <c r="AE424" i="6"/>
  <c r="AA433" i="6"/>
  <c r="AE433" i="6"/>
  <c r="AA442" i="6"/>
  <c r="AE442" i="6"/>
  <c r="AA450" i="6"/>
  <c r="AE450" i="6"/>
  <c r="AA458" i="6"/>
  <c r="AE458" i="6"/>
  <c r="AA466" i="6"/>
  <c r="AE466" i="6"/>
  <c r="AA474" i="6"/>
  <c r="AE474" i="6"/>
  <c r="AA484" i="6"/>
  <c r="AE484" i="6"/>
  <c r="AA493" i="6"/>
  <c r="AE493" i="6"/>
  <c r="AA501" i="6"/>
  <c r="AE501" i="6"/>
  <c r="AA509" i="6"/>
  <c r="AE509" i="6"/>
  <c r="AA517" i="6"/>
  <c r="AE517" i="6"/>
  <c r="AA525" i="6"/>
  <c r="AE525" i="6"/>
  <c r="AA533" i="6"/>
  <c r="AE533" i="6"/>
  <c r="AA541" i="6"/>
  <c r="AE541" i="6"/>
  <c r="AA549" i="6"/>
  <c r="AE549" i="6"/>
  <c r="AA557" i="6"/>
  <c r="AE557" i="6"/>
  <c r="AA565" i="6"/>
  <c r="AE565" i="6"/>
  <c r="AA573" i="6"/>
  <c r="AE573" i="6"/>
  <c r="AA581" i="6"/>
  <c r="AE581" i="6"/>
  <c r="AA589" i="6"/>
  <c r="AE589" i="6"/>
  <c r="AA597" i="6"/>
  <c r="AE597" i="6"/>
  <c r="AA606" i="6"/>
  <c r="AE606" i="6"/>
  <c r="AA614" i="6"/>
  <c r="AE614" i="6"/>
  <c r="Z474" i="6"/>
  <c r="AD474" i="6"/>
  <c r="AA383" i="6"/>
  <c r="AE383" i="6"/>
  <c r="AA467" i="6"/>
  <c r="AE467" i="6"/>
  <c r="AA534" i="6"/>
  <c r="AE534" i="6"/>
  <c r="AA598" i="6"/>
  <c r="AE598" i="6"/>
  <c r="AA590" i="6"/>
  <c r="AE590" i="6"/>
  <c r="Z541" i="6"/>
  <c r="AD541" i="6"/>
  <c r="AA399" i="6"/>
  <c r="AE399" i="6"/>
  <c r="AA475" i="6"/>
  <c r="AE475" i="6"/>
  <c r="AA542" i="6"/>
  <c r="AE542" i="6"/>
  <c r="AA607" i="6"/>
  <c r="AE607" i="6"/>
  <c r="Z606" i="6"/>
  <c r="AD606" i="6"/>
  <c r="AA411" i="6"/>
  <c r="AE411" i="6"/>
  <c r="AA485" i="6"/>
  <c r="AE485" i="6"/>
  <c r="AA550" i="6"/>
  <c r="AE550" i="6"/>
  <c r="AA615" i="6"/>
  <c r="AE615" i="6"/>
  <c r="Z324" i="6"/>
  <c r="AD324" i="6"/>
  <c r="AA66" i="6"/>
  <c r="AE66" i="6"/>
  <c r="AA425" i="6"/>
  <c r="AE425" i="6"/>
  <c r="AA494" i="6"/>
  <c r="AE494" i="6"/>
  <c r="AA558" i="6"/>
  <c r="AE558" i="6"/>
  <c r="AA130" i="6"/>
  <c r="AE130" i="6"/>
  <c r="AA434" i="6"/>
  <c r="AE434" i="6"/>
  <c r="AA502" i="6"/>
  <c r="AE502" i="6"/>
  <c r="AA566" i="6"/>
  <c r="AE566" i="6"/>
  <c r="AA459" i="6"/>
  <c r="AE459" i="6"/>
  <c r="AA196" i="6"/>
  <c r="AE196" i="6"/>
  <c r="AA443" i="6"/>
  <c r="AE443" i="6"/>
  <c r="AA510" i="6"/>
  <c r="AE510" i="6"/>
  <c r="AA574" i="6"/>
  <c r="AE574" i="6"/>
  <c r="AA526" i="6"/>
  <c r="AE526" i="6"/>
  <c r="Y160" i="6"/>
  <c r="AC160" i="6"/>
  <c r="AA263" i="6"/>
  <c r="AE263" i="6"/>
  <c r="AA451" i="6"/>
  <c r="AE451" i="6"/>
  <c r="AA518" i="6"/>
  <c r="AE518" i="6"/>
  <c r="AA582" i="6"/>
  <c r="AE582" i="6"/>
  <c r="AA327" i="6"/>
  <c r="AE327" i="6"/>
  <c r="D31" i="23"/>
  <c r="D37" i="23"/>
  <c r="D43" i="23"/>
  <c r="D42" i="23"/>
  <c r="D25" i="23"/>
  <c r="D36" i="23"/>
  <c r="F42" i="23"/>
  <c r="F43" i="23"/>
  <c r="E43" i="23"/>
  <c r="E36" i="23"/>
  <c r="F36" i="23"/>
  <c r="E42" i="23"/>
  <c r="AJ535" i="6"/>
  <c r="AK535" i="6"/>
  <c r="AL535" i="6"/>
  <c r="D13" i="6"/>
  <c r="D7" i="22"/>
  <c r="G237" i="22"/>
  <c r="X16" i="6"/>
  <c r="AB16" i="6"/>
  <c r="L20" i="24"/>
  <c r="AJ169" i="6"/>
  <c r="AK169" i="6"/>
  <c r="AL169" i="6"/>
  <c r="AJ170" i="6"/>
  <c r="AK170" i="6"/>
  <c r="AL170" i="6"/>
  <c r="AJ228" i="6"/>
  <c r="AK228" i="6"/>
  <c r="AL228" i="6"/>
  <c r="AJ74" i="6"/>
  <c r="AK74" i="6"/>
  <c r="AL74" i="6"/>
  <c r="AJ148" i="6"/>
  <c r="AK148" i="6"/>
  <c r="AL148" i="6"/>
  <c r="AJ229" i="6"/>
  <c r="AK229" i="6"/>
  <c r="AL229" i="6"/>
  <c r="AJ75" i="6"/>
  <c r="AK75" i="6"/>
  <c r="AL75" i="6"/>
  <c r="AJ165" i="6"/>
  <c r="AK165" i="6"/>
  <c r="AL165" i="6"/>
  <c r="AJ230" i="6"/>
  <c r="AK230" i="6"/>
  <c r="AL230" i="6"/>
  <c r="AJ76" i="6"/>
  <c r="AK76" i="6"/>
  <c r="AL76" i="6"/>
  <c r="AJ166" i="6"/>
  <c r="AK166" i="6"/>
  <c r="AL166" i="6"/>
  <c r="AJ167" i="6"/>
  <c r="AK167" i="6"/>
  <c r="AL167" i="6"/>
  <c r="AJ324" i="6"/>
  <c r="AK324" i="6"/>
  <c r="AL324" i="6"/>
  <c r="AJ594" i="6"/>
  <c r="AK594" i="6"/>
  <c r="AL594" i="6"/>
  <c r="AJ277" i="6"/>
  <c r="AK277" i="6"/>
  <c r="AL277" i="6"/>
  <c r="AJ325" i="6"/>
  <c r="AK325" i="6"/>
  <c r="AL325" i="6"/>
  <c r="AJ334" i="6"/>
  <c r="AK334" i="6"/>
  <c r="AL334" i="6"/>
  <c r="AJ302" i="6"/>
  <c r="AK302" i="6"/>
  <c r="AL302" i="6"/>
  <c r="AJ326" i="6"/>
  <c r="AK326" i="6"/>
  <c r="AL326" i="6"/>
  <c r="AJ614" i="6"/>
  <c r="AK614" i="6"/>
  <c r="AL614" i="6"/>
  <c r="AJ303" i="6"/>
  <c r="AK303" i="6"/>
  <c r="AL303" i="6"/>
  <c r="AJ327" i="6"/>
  <c r="AK327" i="6"/>
  <c r="AL327" i="6"/>
  <c r="AJ615" i="6"/>
  <c r="AK615" i="6"/>
  <c r="AL615" i="6"/>
  <c r="AJ328" i="6"/>
  <c r="AK328" i="6"/>
  <c r="AL328" i="6"/>
  <c r="AJ323" i="6"/>
  <c r="AK323" i="6"/>
  <c r="AL323" i="6"/>
  <c r="AJ168" i="6"/>
  <c r="AK168" i="6"/>
  <c r="AL168" i="6"/>
  <c r="AJ227" i="6"/>
  <c r="AK227" i="6"/>
  <c r="AL227" i="6"/>
  <c r="AJ601" i="6"/>
  <c r="AK601" i="6"/>
  <c r="AL601" i="6"/>
  <c r="AJ611" i="6"/>
  <c r="AK611" i="6"/>
  <c r="AL611" i="6"/>
  <c r="AJ322" i="6"/>
  <c r="AK322" i="6"/>
  <c r="AL322" i="6"/>
  <c r="AJ593" i="6"/>
  <c r="AK593" i="6"/>
  <c r="AL593" i="6"/>
  <c r="Z16" i="6"/>
  <c r="AD16" i="6"/>
  <c r="AJ240" i="6"/>
  <c r="AK240" i="6"/>
  <c r="AL240" i="6"/>
  <c r="AJ488" i="6"/>
  <c r="AK488" i="6"/>
  <c r="AL488" i="6"/>
  <c r="AJ476" i="6"/>
  <c r="AK476" i="6"/>
  <c r="AL476" i="6"/>
  <c r="AJ224" i="6"/>
  <c r="AK224" i="6"/>
  <c r="AL224" i="6"/>
  <c r="AJ400" i="6"/>
  <c r="AK400" i="6"/>
  <c r="AL400" i="6"/>
  <c r="AJ477" i="6"/>
  <c r="AK477" i="6"/>
  <c r="AL477" i="6"/>
  <c r="AJ359" i="6"/>
  <c r="AK359" i="6"/>
  <c r="AL359" i="6"/>
  <c r="AJ624" i="6"/>
  <c r="AK624" i="6"/>
  <c r="AL624" i="6"/>
  <c r="AJ628" i="6"/>
  <c r="AK628" i="6"/>
  <c r="AL628" i="6"/>
  <c r="M49" i="3"/>
  <c r="AJ627" i="6"/>
  <c r="AK627" i="6"/>
  <c r="AL627" i="6"/>
  <c r="M48" i="3"/>
  <c r="AJ626" i="6"/>
  <c r="AK626" i="6"/>
  <c r="AL626" i="6"/>
  <c r="M47" i="3"/>
  <c r="AJ625" i="6"/>
  <c r="AK625" i="6"/>
  <c r="AL625" i="6"/>
  <c r="M46" i="3"/>
  <c r="N46" i="3"/>
  <c r="AJ623" i="6"/>
  <c r="AK623" i="6"/>
  <c r="AL623" i="6"/>
  <c r="AJ622" i="6"/>
  <c r="AK622" i="6"/>
  <c r="AL622" i="6"/>
  <c r="AJ629" i="6"/>
  <c r="AK629" i="6"/>
  <c r="AL629" i="6"/>
  <c r="M50" i="3"/>
  <c r="I47" i="3"/>
  <c r="K47" i="3"/>
  <c r="I45" i="3"/>
  <c r="K45" i="3"/>
  <c r="I46" i="3"/>
  <c r="I43" i="3"/>
  <c r="K43" i="3"/>
  <c r="I44" i="3"/>
  <c r="K44" i="3"/>
  <c r="I50" i="3"/>
  <c r="K50" i="3"/>
  <c r="I49" i="3"/>
  <c r="K49" i="3"/>
  <c r="I48" i="3"/>
  <c r="K48" i="3"/>
  <c r="AJ142" i="6"/>
  <c r="AK142" i="6"/>
  <c r="AL142" i="6"/>
  <c r="AJ143" i="6"/>
  <c r="AK143" i="6"/>
  <c r="AL143" i="6"/>
  <c r="AJ349" i="6"/>
  <c r="AK349" i="6"/>
  <c r="AL349" i="6"/>
  <c r="AJ55" i="6"/>
  <c r="AK55" i="6"/>
  <c r="AL55" i="6"/>
  <c r="AJ22" i="6"/>
  <c r="AK22" i="6"/>
  <c r="AL22" i="6"/>
  <c r="AJ30" i="6"/>
  <c r="AK30" i="6"/>
  <c r="AL30" i="6"/>
  <c r="AJ38" i="6"/>
  <c r="AK38" i="6"/>
  <c r="AL38" i="6"/>
  <c r="AJ46" i="6"/>
  <c r="AK46" i="6"/>
  <c r="AL46" i="6"/>
  <c r="AJ54" i="6"/>
  <c r="AK54" i="6"/>
  <c r="AL54" i="6"/>
  <c r="AJ71" i="6"/>
  <c r="AK71" i="6"/>
  <c r="AL71" i="6"/>
  <c r="AJ87" i="6"/>
  <c r="AK87" i="6"/>
  <c r="AL87" i="6"/>
  <c r="AJ111" i="6"/>
  <c r="AK111" i="6"/>
  <c r="AL111" i="6"/>
  <c r="AJ119" i="6"/>
  <c r="AK119" i="6"/>
  <c r="AL119" i="6"/>
  <c r="AJ127" i="6"/>
  <c r="AK127" i="6"/>
  <c r="AL127" i="6"/>
  <c r="AJ135" i="6"/>
  <c r="AK135" i="6"/>
  <c r="AL135" i="6"/>
  <c r="AJ145" i="6"/>
  <c r="AK145" i="6"/>
  <c r="AL145" i="6"/>
  <c r="AJ153" i="6"/>
  <c r="AK153" i="6"/>
  <c r="AL153" i="6"/>
  <c r="AJ161" i="6"/>
  <c r="AK161" i="6"/>
  <c r="AL161" i="6"/>
  <c r="AJ177" i="6"/>
  <c r="AK177" i="6"/>
  <c r="AL177" i="6"/>
  <c r="AJ185" i="6"/>
  <c r="AK185" i="6"/>
  <c r="AL185" i="6"/>
  <c r="AJ193" i="6"/>
  <c r="AK193" i="6"/>
  <c r="AL193" i="6"/>
  <c r="AJ201" i="6"/>
  <c r="AK201" i="6"/>
  <c r="AL201" i="6"/>
  <c r="AJ209" i="6"/>
  <c r="AK209" i="6"/>
  <c r="AL209" i="6"/>
  <c r="AJ217" i="6"/>
  <c r="AK217" i="6"/>
  <c r="AL217" i="6"/>
  <c r="AJ226" i="6"/>
  <c r="AK226" i="6"/>
  <c r="AL226" i="6"/>
  <c r="AJ234" i="6"/>
  <c r="AK234" i="6"/>
  <c r="AL234" i="6"/>
  <c r="AJ244" i="6"/>
  <c r="AK244" i="6"/>
  <c r="AL244" i="6"/>
  <c r="AJ252" i="6"/>
  <c r="AK252" i="6"/>
  <c r="AL252" i="6"/>
  <c r="AJ23" i="6"/>
  <c r="AK23" i="6"/>
  <c r="AL23" i="6"/>
  <c r="AJ31" i="6"/>
  <c r="AK31" i="6"/>
  <c r="AL31" i="6"/>
  <c r="AJ39" i="6"/>
  <c r="AK39" i="6"/>
  <c r="AL39" i="6"/>
  <c r="AJ47" i="6"/>
  <c r="AK47" i="6"/>
  <c r="AL47" i="6"/>
  <c r="AJ72" i="6"/>
  <c r="AK72" i="6"/>
  <c r="AL72" i="6"/>
  <c r="AJ88" i="6"/>
  <c r="AK88" i="6"/>
  <c r="AL88" i="6"/>
  <c r="AJ112" i="6"/>
  <c r="AK112" i="6"/>
  <c r="AL112" i="6"/>
  <c r="AJ120" i="6"/>
  <c r="AK120" i="6"/>
  <c r="AL120" i="6"/>
  <c r="AJ128" i="6"/>
  <c r="AK128" i="6"/>
  <c r="AL128" i="6"/>
  <c r="AJ146" i="6"/>
  <c r="AK146" i="6"/>
  <c r="AL146" i="6"/>
  <c r="AJ162" i="6"/>
  <c r="AK162" i="6"/>
  <c r="AL162" i="6"/>
  <c r="AJ178" i="6"/>
  <c r="AK178" i="6"/>
  <c r="AL178" i="6"/>
  <c r="AJ186" i="6"/>
  <c r="AK186" i="6"/>
  <c r="AL186" i="6"/>
  <c r="AJ194" i="6"/>
  <c r="AK194" i="6"/>
  <c r="AL194" i="6"/>
  <c r="AJ210" i="6"/>
  <c r="AK210" i="6"/>
  <c r="AL210" i="6"/>
  <c r="AJ218" i="6"/>
  <c r="AK218" i="6"/>
  <c r="AL218" i="6"/>
  <c r="AJ24" i="6"/>
  <c r="AK24" i="6"/>
  <c r="AL24" i="6"/>
  <c r="AJ32" i="6"/>
  <c r="AK32" i="6"/>
  <c r="AL32" i="6"/>
  <c r="AJ40" i="6"/>
  <c r="AK40" i="6"/>
  <c r="AL40" i="6"/>
  <c r="AJ48" i="6"/>
  <c r="AK48" i="6"/>
  <c r="AL48" i="6"/>
  <c r="AJ73" i="6"/>
  <c r="AK73" i="6"/>
  <c r="AL73" i="6"/>
  <c r="AJ89" i="6"/>
  <c r="AK89" i="6"/>
  <c r="AL89" i="6"/>
  <c r="AJ121" i="6"/>
  <c r="AK121" i="6"/>
  <c r="AL121" i="6"/>
  <c r="AJ129" i="6"/>
  <c r="AK129" i="6"/>
  <c r="AL129" i="6"/>
  <c r="AJ147" i="6"/>
  <c r="AK147" i="6"/>
  <c r="AL147" i="6"/>
  <c r="AJ163" i="6"/>
  <c r="AK163" i="6"/>
  <c r="AL163" i="6"/>
  <c r="AJ171" i="6"/>
  <c r="AK171" i="6"/>
  <c r="AL171" i="6"/>
  <c r="AJ179" i="6"/>
  <c r="AK179" i="6"/>
  <c r="AL179" i="6"/>
  <c r="AJ187" i="6"/>
  <c r="AK187" i="6"/>
  <c r="AL187" i="6"/>
  <c r="AJ203" i="6"/>
  <c r="AK203" i="6"/>
  <c r="AL203" i="6"/>
  <c r="AJ211" i="6"/>
  <c r="AK211" i="6"/>
  <c r="AL211" i="6"/>
  <c r="AJ219" i="6"/>
  <c r="AK219" i="6"/>
  <c r="AL219" i="6"/>
  <c r="AJ236" i="6"/>
  <c r="AK236" i="6"/>
  <c r="AL236" i="6"/>
  <c r="AJ246" i="6"/>
  <c r="AK246" i="6"/>
  <c r="AL246" i="6"/>
  <c r="AJ17" i="6"/>
  <c r="AK17" i="6"/>
  <c r="AL17" i="6"/>
  <c r="AJ25" i="6"/>
  <c r="AK25" i="6"/>
  <c r="AL25" i="6"/>
  <c r="AJ33" i="6"/>
  <c r="AK33" i="6"/>
  <c r="AL33" i="6"/>
  <c r="AJ41" i="6"/>
  <c r="AK41" i="6"/>
  <c r="AL41" i="6"/>
  <c r="AJ49" i="6"/>
  <c r="AK49" i="6"/>
  <c r="AL49" i="6"/>
  <c r="AJ90" i="6"/>
  <c r="AK90" i="6"/>
  <c r="AL90" i="6"/>
  <c r="AJ98" i="6"/>
  <c r="AK98" i="6"/>
  <c r="AL98" i="6"/>
  <c r="AJ114" i="6"/>
  <c r="AK114" i="6"/>
  <c r="AL114" i="6"/>
  <c r="AJ122" i="6"/>
  <c r="AK122" i="6"/>
  <c r="AL122" i="6"/>
  <c r="AJ138" i="6"/>
  <c r="AK138" i="6"/>
  <c r="AL138" i="6"/>
  <c r="AJ164" i="6"/>
  <c r="AK164" i="6"/>
  <c r="AL164" i="6"/>
  <c r="AJ188" i="6"/>
  <c r="AK188" i="6"/>
  <c r="AL188" i="6"/>
  <c r="AJ196" i="6"/>
  <c r="AK196" i="6"/>
  <c r="AL196" i="6"/>
  <c r="AJ204" i="6"/>
  <c r="AK204" i="6"/>
  <c r="AL204" i="6"/>
  <c r="AJ212" i="6"/>
  <c r="AK212" i="6"/>
  <c r="AL212" i="6"/>
  <c r="AJ220" i="6"/>
  <c r="AK220" i="6"/>
  <c r="AL220" i="6"/>
  <c r="AJ237" i="6"/>
  <c r="AK237" i="6"/>
  <c r="AL237" i="6"/>
  <c r="AJ247" i="6"/>
  <c r="AK247" i="6"/>
  <c r="AL247" i="6"/>
  <c r="AJ18" i="6"/>
  <c r="AK18" i="6"/>
  <c r="AL18" i="6"/>
  <c r="AJ26" i="6"/>
  <c r="AK26" i="6"/>
  <c r="AL26" i="6"/>
  <c r="AJ34" i="6"/>
  <c r="AK34" i="6"/>
  <c r="AL34" i="6"/>
  <c r="AJ42" i="6"/>
  <c r="AK42" i="6"/>
  <c r="AL42" i="6"/>
  <c r="AJ50" i="6"/>
  <c r="AK50" i="6"/>
  <c r="AL50" i="6"/>
  <c r="AJ59" i="6"/>
  <c r="AK59" i="6"/>
  <c r="AL59" i="6"/>
  <c r="AJ91" i="6"/>
  <c r="AK91" i="6"/>
  <c r="AL91" i="6"/>
  <c r="AJ99" i="6"/>
  <c r="AK99" i="6"/>
  <c r="AL99" i="6"/>
  <c r="AJ115" i="6"/>
  <c r="AK115" i="6"/>
  <c r="AL115" i="6"/>
  <c r="AJ131" i="6"/>
  <c r="AK131" i="6"/>
  <c r="AL131" i="6"/>
  <c r="AJ139" i="6"/>
  <c r="AK139" i="6"/>
  <c r="AL139" i="6"/>
  <c r="AJ149" i="6"/>
  <c r="AK149" i="6"/>
  <c r="AL149" i="6"/>
  <c r="AJ173" i="6"/>
  <c r="AK173" i="6"/>
  <c r="AL173" i="6"/>
  <c r="AJ181" i="6"/>
  <c r="AK181" i="6"/>
  <c r="AL181" i="6"/>
  <c r="AJ189" i="6"/>
  <c r="AK189" i="6"/>
  <c r="AL189" i="6"/>
  <c r="AJ197" i="6"/>
  <c r="AK197" i="6"/>
  <c r="AL197" i="6"/>
  <c r="AJ205" i="6"/>
  <c r="AK205" i="6"/>
  <c r="AL205" i="6"/>
  <c r="AJ213" i="6"/>
  <c r="AK213" i="6"/>
  <c r="AL213" i="6"/>
  <c r="AJ221" i="6"/>
  <c r="AK221" i="6"/>
  <c r="AL221" i="6"/>
  <c r="AJ248" i="6"/>
  <c r="AK248" i="6"/>
  <c r="AL248" i="6"/>
  <c r="AJ19" i="6"/>
  <c r="AK19" i="6"/>
  <c r="AL19" i="6"/>
  <c r="AJ27" i="6"/>
  <c r="AK27" i="6"/>
  <c r="AL27" i="6"/>
  <c r="AJ35" i="6"/>
  <c r="AK35" i="6"/>
  <c r="AL35" i="6"/>
  <c r="AJ43" i="6"/>
  <c r="AK43" i="6"/>
  <c r="AL43" i="6"/>
  <c r="AJ92" i="6"/>
  <c r="AK92" i="6"/>
  <c r="AL92" i="6"/>
  <c r="AJ108" i="6"/>
  <c r="AK108" i="6"/>
  <c r="AL108" i="6"/>
  <c r="AJ116" i="6"/>
  <c r="AK116" i="6"/>
  <c r="AL116" i="6"/>
  <c r="AJ132" i="6"/>
  <c r="AK132" i="6"/>
  <c r="AL132" i="6"/>
  <c r="AJ140" i="6"/>
  <c r="AK140" i="6"/>
  <c r="AL140" i="6"/>
  <c r="AJ150" i="6"/>
  <c r="AK150" i="6"/>
  <c r="AL150" i="6"/>
  <c r="AJ158" i="6"/>
  <c r="AK158" i="6"/>
  <c r="AL158" i="6"/>
  <c r="AJ174" i="6"/>
  <c r="AK174" i="6"/>
  <c r="AL174" i="6"/>
  <c r="AJ182" i="6"/>
  <c r="AK182" i="6"/>
  <c r="AL182" i="6"/>
  <c r="AJ198" i="6"/>
  <c r="AK198" i="6"/>
  <c r="AL198" i="6"/>
  <c r="AJ206" i="6"/>
  <c r="AK206" i="6"/>
  <c r="AL206" i="6"/>
  <c r="AJ214" i="6"/>
  <c r="AK214" i="6"/>
  <c r="AL214" i="6"/>
  <c r="AJ222" i="6"/>
  <c r="AK222" i="6"/>
  <c r="AL222" i="6"/>
  <c r="AJ249" i="6"/>
  <c r="AK249" i="6"/>
  <c r="AL249" i="6"/>
  <c r="AJ20" i="6"/>
  <c r="AK20" i="6"/>
  <c r="AL20" i="6"/>
  <c r="AJ28" i="6"/>
  <c r="AK28" i="6"/>
  <c r="AL28" i="6"/>
  <c r="AJ36" i="6"/>
  <c r="AK36" i="6"/>
  <c r="AL36" i="6"/>
  <c r="AJ44" i="6"/>
  <c r="AK44" i="6"/>
  <c r="AL44" i="6"/>
  <c r="AJ52" i="6"/>
  <c r="AK52" i="6"/>
  <c r="AL52" i="6"/>
  <c r="AJ77" i="6"/>
  <c r="AK77" i="6"/>
  <c r="AL77" i="6"/>
  <c r="AJ85" i="6"/>
  <c r="AK85" i="6"/>
  <c r="AL85" i="6"/>
  <c r="AJ101" i="6"/>
  <c r="AK101" i="6"/>
  <c r="AL101" i="6"/>
  <c r="AJ117" i="6"/>
  <c r="AK117" i="6"/>
  <c r="AL117" i="6"/>
  <c r="AJ133" i="6"/>
  <c r="AK133" i="6"/>
  <c r="AL133" i="6"/>
  <c r="AJ151" i="6"/>
  <c r="AK151" i="6"/>
  <c r="AL151" i="6"/>
  <c r="AJ159" i="6"/>
  <c r="AK159" i="6"/>
  <c r="AL159" i="6"/>
  <c r="AJ175" i="6"/>
  <c r="AK175" i="6"/>
  <c r="AL175" i="6"/>
  <c r="AJ183" i="6"/>
  <c r="AK183" i="6"/>
  <c r="AL183" i="6"/>
  <c r="AJ191" i="6"/>
  <c r="AK191" i="6"/>
  <c r="AL191" i="6"/>
  <c r="AJ199" i="6"/>
  <c r="AK199" i="6"/>
  <c r="AL199" i="6"/>
  <c r="AJ207" i="6"/>
  <c r="AK207" i="6"/>
  <c r="AL207" i="6"/>
  <c r="AJ215" i="6"/>
  <c r="AK215" i="6"/>
  <c r="AL215" i="6"/>
  <c r="AJ223" i="6"/>
  <c r="AK223" i="6"/>
  <c r="AL223" i="6"/>
  <c r="AJ242" i="6"/>
  <c r="AK242" i="6"/>
  <c r="AL242" i="6"/>
  <c r="AJ250" i="6"/>
  <c r="AK250" i="6"/>
  <c r="AL250" i="6"/>
  <c r="AJ126" i="6"/>
  <c r="AK126" i="6"/>
  <c r="AL126" i="6"/>
  <c r="AJ192" i="6"/>
  <c r="AK192" i="6"/>
  <c r="AL192" i="6"/>
  <c r="AJ243" i="6"/>
  <c r="AK243" i="6"/>
  <c r="AL243" i="6"/>
  <c r="AJ260" i="6"/>
  <c r="AK260" i="6"/>
  <c r="AL260" i="6"/>
  <c r="AJ268" i="6"/>
  <c r="AK268" i="6"/>
  <c r="AL268" i="6"/>
  <c r="AJ292" i="6"/>
  <c r="AK292" i="6"/>
  <c r="AL292" i="6"/>
  <c r="AJ300" i="6"/>
  <c r="AK300" i="6"/>
  <c r="AL300" i="6"/>
  <c r="AJ316" i="6"/>
  <c r="AK316" i="6"/>
  <c r="AL316" i="6"/>
  <c r="AJ333" i="6"/>
  <c r="AK333" i="6"/>
  <c r="AL333" i="6"/>
  <c r="AJ341" i="6"/>
  <c r="AK341" i="6"/>
  <c r="AL341" i="6"/>
  <c r="AJ358" i="6"/>
  <c r="AK358" i="6"/>
  <c r="AL358" i="6"/>
  <c r="AJ367" i="6"/>
  <c r="AK367" i="6"/>
  <c r="AL367" i="6"/>
  <c r="AJ375" i="6"/>
  <c r="AK375" i="6"/>
  <c r="AL375" i="6"/>
  <c r="AJ383" i="6"/>
  <c r="AK383" i="6"/>
  <c r="AL383" i="6"/>
  <c r="AJ399" i="6"/>
  <c r="AK399" i="6"/>
  <c r="AL399" i="6"/>
  <c r="AJ408" i="6"/>
  <c r="AK408" i="6"/>
  <c r="AL408" i="6"/>
  <c r="AJ416" i="6"/>
  <c r="AK416" i="6"/>
  <c r="AL416" i="6"/>
  <c r="AJ424" i="6"/>
  <c r="AK424" i="6"/>
  <c r="AL424" i="6"/>
  <c r="AJ432" i="6"/>
  <c r="AK432" i="6"/>
  <c r="AL432" i="6"/>
  <c r="AJ440" i="6"/>
  <c r="AK440" i="6"/>
  <c r="AL440" i="6"/>
  <c r="AJ448" i="6"/>
  <c r="AK448" i="6"/>
  <c r="AL448" i="6"/>
  <c r="AJ464" i="6"/>
  <c r="AK464" i="6"/>
  <c r="AL464" i="6"/>
  <c r="AJ472" i="6"/>
  <c r="AK472" i="6"/>
  <c r="AL472" i="6"/>
  <c r="AJ482" i="6"/>
  <c r="AK482" i="6"/>
  <c r="AL482" i="6"/>
  <c r="AJ499" i="6"/>
  <c r="AK499" i="6"/>
  <c r="AL499" i="6"/>
  <c r="AJ515" i="6"/>
  <c r="AK515" i="6"/>
  <c r="AL515" i="6"/>
  <c r="AJ523" i="6"/>
  <c r="AK523" i="6"/>
  <c r="AL523" i="6"/>
  <c r="AJ531" i="6"/>
  <c r="AK531" i="6"/>
  <c r="AL531" i="6"/>
  <c r="AJ539" i="6"/>
  <c r="AK539" i="6"/>
  <c r="AL539" i="6"/>
  <c r="AJ555" i="6"/>
  <c r="AK555" i="6"/>
  <c r="AL555" i="6"/>
  <c r="AJ563" i="6"/>
  <c r="AK563" i="6"/>
  <c r="AL563" i="6"/>
  <c r="AJ579" i="6"/>
  <c r="AK579" i="6"/>
  <c r="AL579" i="6"/>
  <c r="AJ587" i="6"/>
  <c r="AK587" i="6"/>
  <c r="AL587" i="6"/>
  <c r="AJ595" i="6"/>
  <c r="AK595" i="6"/>
  <c r="AL595" i="6"/>
  <c r="AJ612" i="6"/>
  <c r="AK612" i="6"/>
  <c r="AL612" i="6"/>
  <c r="AJ613" i="6"/>
  <c r="AK613" i="6"/>
  <c r="AL613" i="6"/>
  <c r="AJ610" i="6"/>
  <c r="AK610" i="6"/>
  <c r="AL610" i="6"/>
  <c r="AJ315" i="6"/>
  <c r="AK315" i="6"/>
  <c r="AL315" i="6"/>
  <c r="AJ374" i="6"/>
  <c r="AK374" i="6"/>
  <c r="AL374" i="6"/>
  <c r="AJ423" i="6"/>
  <c r="AK423" i="6"/>
  <c r="AL423" i="6"/>
  <c r="AJ481" i="6"/>
  <c r="AK481" i="6"/>
  <c r="AL481" i="6"/>
  <c r="AJ538" i="6"/>
  <c r="AK538" i="6"/>
  <c r="AL538" i="6"/>
  <c r="AJ70" i="6"/>
  <c r="AK70" i="6"/>
  <c r="AL70" i="6"/>
  <c r="AJ134" i="6"/>
  <c r="AK134" i="6"/>
  <c r="AL134" i="6"/>
  <c r="AJ245" i="6"/>
  <c r="AK245" i="6"/>
  <c r="AL245" i="6"/>
  <c r="AJ261" i="6"/>
  <c r="AK261" i="6"/>
  <c r="AL261" i="6"/>
  <c r="AJ285" i="6"/>
  <c r="AK285" i="6"/>
  <c r="AL285" i="6"/>
  <c r="AJ293" i="6"/>
  <c r="AK293" i="6"/>
  <c r="AL293" i="6"/>
  <c r="AJ309" i="6"/>
  <c r="AK309" i="6"/>
  <c r="AL309" i="6"/>
  <c r="AJ317" i="6"/>
  <c r="AK317" i="6"/>
  <c r="AL317" i="6"/>
  <c r="AJ342" i="6"/>
  <c r="AK342" i="6"/>
  <c r="AL342" i="6"/>
  <c r="AJ351" i="6"/>
  <c r="AK351" i="6"/>
  <c r="AL351" i="6"/>
  <c r="AJ360" i="6"/>
  <c r="AK360" i="6"/>
  <c r="AL360" i="6"/>
  <c r="AJ368" i="6"/>
  <c r="AK368" i="6"/>
  <c r="AL368" i="6"/>
  <c r="AJ376" i="6"/>
  <c r="AK376" i="6"/>
  <c r="AL376" i="6"/>
  <c r="AJ384" i="6"/>
  <c r="AK384" i="6"/>
  <c r="AL384" i="6"/>
  <c r="AJ392" i="6"/>
  <c r="AK392" i="6"/>
  <c r="AL392" i="6"/>
  <c r="AJ401" i="6"/>
  <c r="AK401" i="6"/>
  <c r="AL401" i="6"/>
  <c r="AJ409" i="6"/>
  <c r="AK409" i="6"/>
  <c r="AL409" i="6"/>
  <c r="AJ417" i="6"/>
  <c r="AK417" i="6"/>
  <c r="AL417" i="6"/>
  <c r="AJ425" i="6"/>
  <c r="AK425" i="6"/>
  <c r="AL425" i="6"/>
  <c r="AJ433" i="6"/>
  <c r="AK433" i="6"/>
  <c r="AL433" i="6"/>
  <c r="AJ441" i="6"/>
  <c r="AK441" i="6"/>
  <c r="AL441" i="6"/>
  <c r="AJ449" i="6"/>
  <c r="AK449" i="6"/>
  <c r="AL449" i="6"/>
  <c r="AJ457" i="6"/>
  <c r="AK457" i="6"/>
  <c r="AL457" i="6"/>
  <c r="AJ465" i="6"/>
  <c r="AK465" i="6"/>
  <c r="AL465" i="6"/>
  <c r="AJ473" i="6"/>
  <c r="AK473" i="6"/>
  <c r="AL473" i="6"/>
  <c r="AJ492" i="6"/>
  <c r="AK492" i="6"/>
  <c r="AL492" i="6"/>
  <c r="AJ500" i="6"/>
  <c r="AK500" i="6"/>
  <c r="AL500" i="6"/>
  <c r="AJ508" i="6"/>
  <c r="AK508" i="6"/>
  <c r="AL508" i="6"/>
  <c r="AJ524" i="6"/>
  <c r="AK524" i="6"/>
  <c r="AL524" i="6"/>
  <c r="AJ540" i="6"/>
  <c r="AK540" i="6"/>
  <c r="AL540" i="6"/>
  <c r="AJ556" i="6"/>
  <c r="AK556" i="6"/>
  <c r="AL556" i="6"/>
  <c r="AJ564" i="6"/>
  <c r="AK564" i="6"/>
  <c r="AL564" i="6"/>
  <c r="AJ588" i="6"/>
  <c r="AK588" i="6"/>
  <c r="AL588" i="6"/>
  <c r="AJ596" i="6"/>
  <c r="AK596" i="6"/>
  <c r="AL596" i="6"/>
  <c r="AJ605" i="6"/>
  <c r="AK605" i="6"/>
  <c r="AL605" i="6"/>
  <c r="AJ267" i="6"/>
  <c r="AK267" i="6"/>
  <c r="AL267" i="6"/>
  <c r="AJ447" i="6"/>
  <c r="AK447" i="6"/>
  <c r="AL447" i="6"/>
  <c r="AJ514" i="6"/>
  <c r="AK514" i="6"/>
  <c r="AL514" i="6"/>
  <c r="AJ586" i="6"/>
  <c r="AK586" i="6"/>
  <c r="AL586" i="6"/>
  <c r="AJ78" i="6"/>
  <c r="AK78" i="6"/>
  <c r="AL78" i="6"/>
  <c r="AJ144" i="6"/>
  <c r="AK144" i="6"/>
  <c r="AL144" i="6"/>
  <c r="AJ208" i="6"/>
  <c r="AK208" i="6"/>
  <c r="AL208" i="6"/>
  <c r="AJ251" i="6"/>
  <c r="AK251" i="6"/>
  <c r="AL251" i="6"/>
  <c r="AJ262" i="6"/>
  <c r="AK262" i="6"/>
  <c r="AL262" i="6"/>
  <c r="AJ278" i="6"/>
  <c r="AK278" i="6"/>
  <c r="AL278" i="6"/>
  <c r="AJ286" i="6"/>
  <c r="AK286" i="6"/>
  <c r="AL286" i="6"/>
  <c r="AJ294" i="6"/>
  <c r="AK294" i="6"/>
  <c r="AL294" i="6"/>
  <c r="AJ310" i="6"/>
  <c r="AK310" i="6"/>
  <c r="AL310" i="6"/>
  <c r="AJ318" i="6"/>
  <c r="AK318" i="6"/>
  <c r="AL318" i="6"/>
  <c r="AJ335" i="6"/>
  <c r="AK335" i="6"/>
  <c r="AL335" i="6"/>
  <c r="AJ343" i="6"/>
  <c r="AK343" i="6"/>
  <c r="AL343" i="6"/>
  <c r="AJ352" i="6"/>
  <c r="AK352" i="6"/>
  <c r="AL352" i="6"/>
  <c r="AJ361" i="6"/>
  <c r="AK361" i="6"/>
  <c r="AL361" i="6"/>
  <c r="AJ369" i="6"/>
  <c r="AK369" i="6"/>
  <c r="AL369" i="6"/>
  <c r="AJ377" i="6"/>
  <c r="AK377" i="6"/>
  <c r="AL377" i="6"/>
  <c r="AJ385" i="6"/>
  <c r="AK385" i="6"/>
  <c r="AL385" i="6"/>
  <c r="AJ393" i="6"/>
  <c r="AK393" i="6"/>
  <c r="AL393" i="6"/>
  <c r="AJ402" i="6"/>
  <c r="AK402" i="6"/>
  <c r="AL402" i="6"/>
  <c r="AJ410" i="6"/>
  <c r="AK410" i="6"/>
  <c r="AL410" i="6"/>
  <c r="AJ418" i="6"/>
  <c r="AK418" i="6"/>
  <c r="AL418" i="6"/>
  <c r="AJ426" i="6"/>
  <c r="AK426" i="6"/>
  <c r="AL426" i="6"/>
  <c r="AJ434" i="6"/>
  <c r="AK434" i="6"/>
  <c r="AL434" i="6"/>
  <c r="AJ442" i="6"/>
  <c r="AK442" i="6"/>
  <c r="AL442" i="6"/>
  <c r="AJ450" i="6"/>
  <c r="AK450" i="6"/>
  <c r="AL450" i="6"/>
  <c r="AJ458" i="6"/>
  <c r="AK458" i="6"/>
  <c r="AL458" i="6"/>
  <c r="AJ466" i="6"/>
  <c r="AK466" i="6"/>
  <c r="AL466" i="6"/>
  <c r="AJ474" i="6"/>
  <c r="AK474" i="6"/>
  <c r="AL474" i="6"/>
  <c r="AJ493" i="6"/>
  <c r="AK493" i="6"/>
  <c r="AL493" i="6"/>
  <c r="AJ501" i="6"/>
  <c r="AK501" i="6"/>
  <c r="AL501" i="6"/>
  <c r="AJ509" i="6"/>
  <c r="AK509" i="6"/>
  <c r="AL509" i="6"/>
  <c r="AJ525" i="6"/>
  <c r="AK525" i="6"/>
  <c r="AL525" i="6"/>
  <c r="AJ533" i="6"/>
  <c r="AK533" i="6"/>
  <c r="AL533" i="6"/>
  <c r="AJ541" i="6"/>
  <c r="AK541" i="6"/>
  <c r="AL541" i="6"/>
  <c r="AJ557" i="6"/>
  <c r="AK557" i="6"/>
  <c r="AL557" i="6"/>
  <c r="AJ581" i="6"/>
  <c r="AK581" i="6"/>
  <c r="AL581" i="6"/>
  <c r="AJ589" i="6"/>
  <c r="AK589" i="6"/>
  <c r="AL589" i="6"/>
  <c r="AJ597" i="6"/>
  <c r="AK597" i="6"/>
  <c r="AL597" i="6"/>
  <c r="AJ357" i="6"/>
  <c r="AK357" i="6"/>
  <c r="AL357" i="6"/>
  <c r="AJ407" i="6"/>
  <c r="AK407" i="6"/>
  <c r="AL407" i="6"/>
  <c r="AJ463" i="6"/>
  <c r="AK463" i="6"/>
  <c r="AL463" i="6"/>
  <c r="AJ522" i="6"/>
  <c r="AK522" i="6"/>
  <c r="AL522" i="6"/>
  <c r="AJ21" i="6"/>
  <c r="AK21" i="6"/>
  <c r="AL21" i="6"/>
  <c r="AJ86" i="6"/>
  <c r="AK86" i="6"/>
  <c r="AL86" i="6"/>
  <c r="AJ152" i="6"/>
  <c r="AK152" i="6"/>
  <c r="AL152" i="6"/>
  <c r="AJ263" i="6"/>
  <c r="AK263" i="6"/>
  <c r="AL263" i="6"/>
  <c r="AJ279" i="6"/>
  <c r="AK279" i="6"/>
  <c r="AL279" i="6"/>
  <c r="AJ287" i="6"/>
  <c r="AK287" i="6"/>
  <c r="AL287" i="6"/>
  <c r="AJ295" i="6"/>
  <c r="AK295" i="6"/>
  <c r="AL295" i="6"/>
  <c r="AJ311" i="6"/>
  <c r="AK311" i="6"/>
  <c r="AL311" i="6"/>
  <c r="AJ319" i="6"/>
  <c r="AK319" i="6"/>
  <c r="AL319" i="6"/>
  <c r="AJ336" i="6"/>
  <c r="AK336" i="6"/>
  <c r="AL336" i="6"/>
  <c r="AJ344" i="6"/>
  <c r="AK344" i="6"/>
  <c r="AL344" i="6"/>
  <c r="AJ353" i="6"/>
  <c r="AK353" i="6"/>
  <c r="AL353" i="6"/>
  <c r="AJ362" i="6"/>
  <c r="AK362" i="6"/>
  <c r="AL362" i="6"/>
  <c r="AJ370" i="6"/>
  <c r="AK370" i="6"/>
  <c r="AL370" i="6"/>
  <c r="AJ378" i="6"/>
  <c r="AK378" i="6"/>
  <c r="AL378" i="6"/>
  <c r="AJ386" i="6"/>
  <c r="AK386" i="6"/>
  <c r="AL386" i="6"/>
  <c r="AJ394" i="6"/>
  <c r="AK394" i="6"/>
  <c r="AL394" i="6"/>
  <c r="AJ403" i="6"/>
  <c r="AK403" i="6"/>
  <c r="AL403" i="6"/>
  <c r="AJ411" i="6"/>
  <c r="AK411" i="6"/>
  <c r="AL411" i="6"/>
  <c r="AJ419" i="6"/>
  <c r="AK419" i="6"/>
  <c r="AL419" i="6"/>
  <c r="AJ427" i="6"/>
  <c r="AK427" i="6"/>
  <c r="AL427" i="6"/>
  <c r="AJ435" i="6"/>
  <c r="AK435" i="6"/>
  <c r="AL435" i="6"/>
  <c r="AJ459" i="6"/>
  <c r="AK459" i="6"/>
  <c r="AL459" i="6"/>
  <c r="AJ467" i="6"/>
  <c r="AK467" i="6"/>
  <c r="AL467" i="6"/>
  <c r="AJ475" i="6"/>
  <c r="AK475" i="6"/>
  <c r="AL475" i="6"/>
  <c r="AJ485" i="6"/>
  <c r="AK485" i="6"/>
  <c r="AL485" i="6"/>
  <c r="AJ494" i="6"/>
  <c r="AK494" i="6"/>
  <c r="AL494" i="6"/>
  <c r="AJ502" i="6"/>
  <c r="AK502" i="6"/>
  <c r="AL502" i="6"/>
  <c r="AJ510" i="6"/>
  <c r="AK510" i="6"/>
  <c r="AL510" i="6"/>
  <c r="AJ518" i="6"/>
  <c r="AK518" i="6"/>
  <c r="AL518" i="6"/>
  <c r="AJ526" i="6"/>
  <c r="AK526" i="6"/>
  <c r="AL526" i="6"/>
  <c r="AJ534" i="6"/>
  <c r="AK534" i="6"/>
  <c r="AL534" i="6"/>
  <c r="AJ542" i="6"/>
  <c r="AK542" i="6"/>
  <c r="AL542" i="6"/>
  <c r="AJ558" i="6"/>
  <c r="AK558" i="6"/>
  <c r="AL558" i="6"/>
  <c r="AJ582" i="6"/>
  <c r="AK582" i="6"/>
  <c r="AL582" i="6"/>
  <c r="AJ590" i="6"/>
  <c r="AK590" i="6"/>
  <c r="AL590" i="6"/>
  <c r="AJ598" i="6"/>
  <c r="AK598" i="6"/>
  <c r="AL598" i="6"/>
  <c r="AJ617" i="6"/>
  <c r="AK617" i="6"/>
  <c r="AL617" i="6"/>
  <c r="AJ118" i="6"/>
  <c r="AK118" i="6"/>
  <c r="AL118" i="6"/>
  <c r="AJ307" i="6"/>
  <c r="AK307" i="6"/>
  <c r="AL307" i="6"/>
  <c r="AJ415" i="6"/>
  <c r="AK415" i="6"/>
  <c r="AL415" i="6"/>
  <c r="AJ471" i="6"/>
  <c r="AK471" i="6"/>
  <c r="AL471" i="6"/>
  <c r="AJ530" i="6"/>
  <c r="AK530" i="6"/>
  <c r="AL530" i="6"/>
  <c r="AJ578" i="6"/>
  <c r="AK578" i="6"/>
  <c r="AL578" i="6"/>
  <c r="AJ29" i="6"/>
  <c r="AK29" i="6"/>
  <c r="AL29" i="6"/>
  <c r="AJ160" i="6"/>
  <c r="AK160" i="6"/>
  <c r="AL160" i="6"/>
  <c r="AJ225" i="6"/>
  <c r="AK225" i="6"/>
  <c r="AL225" i="6"/>
  <c r="AJ256" i="6"/>
  <c r="AK256" i="6"/>
  <c r="AL256" i="6"/>
  <c r="AJ264" i="6"/>
  <c r="AK264" i="6"/>
  <c r="AL264" i="6"/>
  <c r="AJ272" i="6"/>
  <c r="AK272" i="6"/>
  <c r="AL272" i="6"/>
  <c r="AJ280" i="6"/>
  <c r="AK280" i="6"/>
  <c r="AL280" i="6"/>
  <c r="AJ288" i="6"/>
  <c r="AK288" i="6"/>
  <c r="AL288" i="6"/>
  <c r="AJ304" i="6"/>
  <c r="AK304" i="6"/>
  <c r="AL304" i="6"/>
  <c r="AJ320" i="6"/>
  <c r="AK320" i="6"/>
  <c r="AL320" i="6"/>
  <c r="AJ337" i="6"/>
  <c r="AK337" i="6"/>
  <c r="AL337" i="6"/>
  <c r="AJ345" i="6"/>
  <c r="AK345" i="6"/>
  <c r="AL345" i="6"/>
  <c r="AJ354" i="6"/>
  <c r="AK354" i="6"/>
  <c r="AL354" i="6"/>
  <c r="AJ363" i="6"/>
  <c r="AK363" i="6"/>
  <c r="AL363" i="6"/>
  <c r="AJ371" i="6"/>
  <c r="AK371" i="6"/>
  <c r="AL371" i="6"/>
  <c r="AJ379" i="6"/>
  <c r="AK379" i="6"/>
  <c r="AL379" i="6"/>
  <c r="AJ387" i="6"/>
  <c r="AK387" i="6"/>
  <c r="AL387" i="6"/>
  <c r="AJ395" i="6"/>
  <c r="AK395" i="6"/>
  <c r="AL395" i="6"/>
  <c r="AJ404" i="6"/>
  <c r="AK404" i="6"/>
  <c r="AL404" i="6"/>
  <c r="AJ412" i="6"/>
  <c r="AK412" i="6"/>
  <c r="AL412" i="6"/>
  <c r="AJ420" i="6"/>
  <c r="AK420" i="6"/>
  <c r="AL420" i="6"/>
  <c r="AJ428" i="6"/>
  <c r="AK428" i="6"/>
  <c r="AL428" i="6"/>
  <c r="AJ436" i="6"/>
  <c r="AK436" i="6"/>
  <c r="AL436" i="6"/>
  <c r="AJ444" i="6"/>
  <c r="AK444" i="6"/>
  <c r="AL444" i="6"/>
  <c r="AJ452" i="6"/>
  <c r="AK452" i="6"/>
  <c r="AL452" i="6"/>
  <c r="AJ468" i="6"/>
  <c r="AK468" i="6"/>
  <c r="AL468" i="6"/>
  <c r="AJ478" i="6"/>
  <c r="AK478" i="6"/>
  <c r="AL478" i="6"/>
  <c r="AJ486" i="6"/>
  <c r="AK486" i="6"/>
  <c r="AL486" i="6"/>
  <c r="AJ495" i="6"/>
  <c r="AK495" i="6"/>
  <c r="AL495" i="6"/>
  <c r="AJ503" i="6"/>
  <c r="AK503" i="6"/>
  <c r="AL503" i="6"/>
  <c r="AJ511" i="6"/>
  <c r="AK511" i="6"/>
  <c r="AL511" i="6"/>
  <c r="AJ519" i="6"/>
  <c r="AK519" i="6"/>
  <c r="AL519" i="6"/>
  <c r="AJ527" i="6"/>
  <c r="AK527" i="6"/>
  <c r="AL527" i="6"/>
  <c r="AJ543" i="6"/>
  <c r="AK543" i="6"/>
  <c r="AL543" i="6"/>
  <c r="AJ551" i="6"/>
  <c r="AK551" i="6"/>
  <c r="AL551" i="6"/>
  <c r="AJ559" i="6"/>
  <c r="AK559" i="6"/>
  <c r="AL559" i="6"/>
  <c r="AJ583" i="6"/>
  <c r="AK583" i="6"/>
  <c r="AL583" i="6"/>
  <c r="AJ591" i="6"/>
  <c r="AK591" i="6"/>
  <c r="AL591" i="6"/>
  <c r="AJ599" i="6"/>
  <c r="AK599" i="6"/>
  <c r="AL599" i="6"/>
  <c r="AJ608" i="6"/>
  <c r="AK608" i="6"/>
  <c r="AL608" i="6"/>
  <c r="AJ616" i="6"/>
  <c r="AK616" i="6"/>
  <c r="AL616" i="6"/>
  <c r="AJ592" i="6"/>
  <c r="AK592" i="6"/>
  <c r="AL592" i="6"/>
  <c r="AJ609" i="6"/>
  <c r="AK609" i="6"/>
  <c r="AL609" i="6"/>
  <c r="AJ382" i="6"/>
  <c r="AK382" i="6"/>
  <c r="AL382" i="6"/>
  <c r="AJ431" i="6"/>
  <c r="AK431" i="6"/>
  <c r="AL431" i="6"/>
  <c r="AJ490" i="6"/>
  <c r="AK490" i="6"/>
  <c r="AL490" i="6"/>
  <c r="AJ546" i="6"/>
  <c r="AK546" i="6"/>
  <c r="AL546" i="6"/>
  <c r="AJ37" i="6"/>
  <c r="AK37" i="6"/>
  <c r="AL37" i="6"/>
  <c r="AJ265" i="6"/>
  <c r="AK265" i="6"/>
  <c r="AL265" i="6"/>
  <c r="AJ273" i="6"/>
  <c r="AK273" i="6"/>
  <c r="AL273" i="6"/>
  <c r="AJ281" i="6"/>
  <c r="AK281" i="6"/>
  <c r="AL281" i="6"/>
  <c r="AJ289" i="6"/>
  <c r="AK289" i="6"/>
  <c r="AL289" i="6"/>
  <c r="AJ297" i="6"/>
  <c r="AK297" i="6"/>
  <c r="AL297" i="6"/>
  <c r="AJ305" i="6"/>
  <c r="AK305" i="6"/>
  <c r="AL305" i="6"/>
  <c r="AJ313" i="6"/>
  <c r="AK313" i="6"/>
  <c r="AL313" i="6"/>
  <c r="AJ321" i="6"/>
  <c r="AK321" i="6"/>
  <c r="AL321" i="6"/>
  <c r="AJ330" i="6"/>
  <c r="AK330" i="6"/>
  <c r="AL330" i="6"/>
  <c r="AJ338" i="6"/>
  <c r="AK338" i="6"/>
  <c r="AL338" i="6"/>
  <c r="AJ355" i="6"/>
  <c r="AK355" i="6"/>
  <c r="AL355" i="6"/>
  <c r="AJ364" i="6"/>
  <c r="AK364" i="6"/>
  <c r="AL364" i="6"/>
  <c r="AJ372" i="6"/>
  <c r="AK372" i="6"/>
  <c r="AL372" i="6"/>
  <c r="AJ380" i="6"/>
  <c r="AK380" i="6"/>
  <c r="AL380" i="6"/>
  <c r="AJ388" i="6"/>
  <c r="AK388" i="6"/>
  <c r="AL388" i="6"/>
  <c r="AJ396" i="6"/>
  <c r="AK396" i="6"/>
  <c r="AL396" i="6"/>
  <c r="AJ405" i="6"/>
  <c r="AK405" i="6"/>
  <c r="AL405" i="6"/>
  <c r="AJ413" i="6"/>
  <c r="AK413" i="6"/>
  <c r="AL413" i="6"/>
  <c r="AJ421" i="6"/>
  <c r="AK421" i="6"/>
  <c r="AL421" i="6"/>
  <c r="AJ429" i="6"/>
  <c r="AK429" i="6"/>
  <c r="AL429" i="6"/>
  <c r="AJ437" i="6"/>
  <c r="AK437" i="6"/>
  <c r="AL437" i="6"/>
  <c r="AJ445" i="6"/>
  <c r="AK445" i="6"/>
  <c r="AL445" i="6"/>
  <c r="AJ453" i="6"/>
  <c r="AK453" i="6"/>
  <c r="AL453" i="6"/>
  <c r="AJ469" i="6"/>
  <c r="AK469" i="6"/>
  <c r="AL469" i="6"/>
  <c r="AJ479" i="6"/>
  <c r="AK479" i="6"/>
  <c r="AL479" i="6"/>
  <c r="AJ487" i="6"/>
  <c r="AK487" i="6"/>
  <c r="AL487" i="6"/>
  <c r="AJ496" i="6"/>
  <c r="AK496" i="6"/>
  <c r="AL496" i="6"/>
  <c r="AJ504" i="6"/>
  <c r="AK504" i="6"/>
  <c r="AL504" i="6"/>
  <c r="AJ512" i="6"/>
  <c r="AK512" i="6"/>
  <c r="AL512" i="6"/>
  <c r="AJ520" i="6"/>
  <c r="AK520" i="6"/>
  <c r="AL520" i="6"/>
  <c r="AJ536" i="6"/>
  <c r="AK536" i="6"/>
  <c r="AL536" i="6"/>
  <c r="AJ544" i="6"/>
  <c r="AK544" i="6"/>
  <c r="AL544" i="6"/>
  <c r="AJ552" i="6"/>
  <c r="AK552" i="6"/>
  <c r="AL552" i="6"/>
  <c r="AJ560" i="6"/>
  <c r="AK560" i="6"/>
  <c r="AL560" i="6"/>
  <c r="AJ584" i="6"/>
  <c r="AK584" i="6"/>
  <c r="AL584" i="6"/>
  <c r="AJ184" i="6"/>
  <c r="AK184" i="6"/>
  <c r="AL184" i="6"/>
  <c r="AJ340" i="6"/>
  <c r="AK340" i="6"/>
  <c r="AL340" i="6"/>
  <c r="AJ398" i="6"/>
  <c r="AK398" i="6"/>
  <c r="AL398" i="6"/>
  <c r="AJ455" i="6"/>
  <c r="AK455" i="6"/>
  <c r="AL455" i="6"/>
  <c r="AJ562" i="6"/>
  <c r="AK562" i="6"/>
  <c r="AL562" i="6"/>
  <c r="AJ45" i="6"/>
  <c r="AK45" i="6"/>
  <c r="AL45" i="6"/>
  <c r="AJ110" i="6"/>
  <c r="AK110" i="6"/>
  <c r="AL110" i="6"/>
  <c r="AJ176" i="6"/>
  <c r="AK176" i="6"/>
  <c r="AL176" i="6"/>
  <c r="AJ233" i="6"/>
  <c r="AK233" i="6"/>
  <c r="AL233" i="6"/>
  <c r="AJ266" i="6"/>
  <c r="AK266" i="6"/>
  <c r="AL266" i="6"/>
  <c r="AJ274" i="6"/>
  <c r="AK274" i="6"/>
  <c r="AL274" i="6"/>
  <c r="AJ290" i="6"/>
  <c r="AK290" i="6"/>
  <c r="AL290" i="6"/>
  <c r="AJ298" i="6"/>
  <c r="AK298" i="6"/>
  <c r="AL298" i="6"/>
  <c r="AJ306" i="6"/>
  <c r="AK306" i="6"/>
  <c r="AL306" i="6"/>
  <c r="AJ314" i="6"/>
  <c r="AK314" i="6"/>
  <c r="AL314" i="6"/>
  <c r="AJ331" i="6"/>
  <c r="AK331" i="6"/>
  <c r="AL331" i="6"/>
  <c r="AJ339" i="6"/>
  <c r="AK339" i="6"/>
  <c r="AL339" i="6"/>
  <c r="AJ356" i="6"/>
  <c r="AK356" i="6"/>
  <c r="AL356" i="6"/>
  <c r="AJ365" i="6"/>
  <c r="AK365" i="6"/>
  <c r="AL365" i="6"/>
  <c r="AJ373" i="6"/>
  <c r="AK373" i="6"/>
  <c r="AL373" i="6"/>
  <c r="AJ381" i="6"/>
  <c r="AK381" i="6"/>
  <c r="AL381" i="6"/>
  <c r="AJ389" i="6"/>
  <c r="AK389" i="6"/>
  <c r="AL389" i="6"/>
  <c r="AJ397" i="6"/>
  <c r="AK397" i="6"/>
  <c r="AL397" i="6"/>
  <c r="AJ406" i="6"/>
  <c r="AK406" i="6"/>
  <c r="AL406" i="6"/>
  <c r="AJ414" i="6"/>
  <c r="AK414" i="6"/>
  <c r="AL414" i="6"/>
  <c r="AJ422" i="6"/>
  <c r="AK422" i="6"/>
  <c r="AL422" i="6"/>
  <c r="AJ430" i="6"/>
  <c r="AK430" i="6"/>
  <c r="AL430" i="6"/>
  <c r="AJ438" i="6"/>
  <c r="AK438" i="6"/>
  <c r="AL438" i="6"/>
  <c r="AJ446" i="6"/>
  <c r="AK446" i="6"/>
  <c r="AL446" i="6"/>
  <c r="AJ454" i="6"/>
  <c r="AK454" i="6"/>
  <c r="AL454" i="6"/>
  <c r="AJ462" i="6"/>
  <c r="AK462" i="6"/>
  <c r="AL462" i="6"/>
  <c r="AJ470" i="6"/>
  <c r="AK470" i="6"/>
  <c r="AL470" i="6"/>
  <c r="AJ480" i="6"/>
  <c r="AK480" i="6"/>
  <c r="AL480" i="6"/>
  <c r="AJ497" i="6"/>
  <c r="AK497" i="6"/>
  <c r="AL497" i="6"/>
  <c r="AJ513" i="6"/>
  <c r="AK513" i="6"/>
  <c r="AL513" i="6"/>
  <c r="AJ521" i="6"/>
  <c r="AK521" i="6"/>
  <c r="AL521" i="6"/>
  <c r="AJ529" i="6"/>
  <c r="AK529" i="6"/>
  <c r="AL529" i="6"/>
  <c r="AJ537" i="6"/>
  <c r="AK537" i="6"/>
  <c r="AL537" i="6"/>
  <c r="AJ545" i="6"/>
  <c r="AK545" i="6"/>
  <c r="AL545" i="6"/>
  <c r="AJ553" i="6"/>
  <c r="AK553" i="6"/>
  <c r="AL553" i="6"/>
  <c r="AJ561" i="6"/>
  <c r="AK561" i="6"/>
  <c r="AL561" i="6"/>
  <c r="AJ577" i="6"/>
  <c r="AK577" i="6"/>
  <c r="AL577" i="6"/>
  <c r="AJ585" i="6"/>
  <c r="AK585" i="6"/>
  <c r="AL585" i="6"/>
  <c r="AJ618" i="6"/>
  <c r="AK618" i="6"/>
  <c r="AL618" i="6"/>
  <c r="AJ235" i="6"/>
  <c r="AK235" i="6"/>
  <c r="AL235" i="6"/>
  <c r="AJ291" i="6"/>
  <c r="AK291" i="6"/>
  <c r="AL291" i="6"/>
  <c r="AJ332" i="6"/>
  <c r="AK332" i="6"/>
  <c r="AL332" i="6"/>
  <c r="AJ390" i="6"/>
  <c r="AK390" i="6"/>
  <c r="AL390" i="6"/>
  <c r="AJ439" i="6"/>
  <c r="AK439" i="6"/>
  <c r="AL439" i="6"/>
  <c r="AJ498" i="6"/>
  <c r="AK498" i="6"/>
  <c r="AL498" i="6"/>
  <c r="AJ554" i="6"/>
  <c r="AK554" i="6"/>
  <c r="AL554" i="6"/>
  <c r="AJ619" i="6"/>
  <c r="AK619" i="6"/>
  <c r="AL619" i="6"/>
  <c r="AJ16" i="6"/>
  <c r="I9" i="14"/>
  <c r="AJ329" i="6"/>
  <c r="AK329" i="6"/>
  <c r="AL329" i="6"/>
  <c r="AJ63" i="6"/>
  <c r="AK63" i="6"/>
  <c r="AL63" i="6"/>
  <c r="AJ79" i="6"/>
  <c r="AK79" i="6"/>
  <c r="AL79" i="6"/>
  <c r="AJ80" i="6"/>
  <c r="AK80" i="6"/>
  <c r="AL80" i="6"/>
  <c r="AJ66" i="6"/>
  <c r="AK66" i="6"/>
  <c r="AL66" i="6"/>
  <c r="AJ180" i="6"/>
  <c r="AK180" i="6"/>
  <c r="AL180" i="6"/>
  <c r="AJ83" i="6"/>
  <c r="AK83" i="6"/>
  <c r="AL83" i="6"/>
  <c r="AJ51" i="6"/>
  <c r="AK51" i="6"/>
  <c r="AL51" i="6"/>
  <c r="AJ231" i="6"/>
  <c r="AK231" i="6"/>
  <c r="AL231" i="6"/>
  <c r="AJ232" i="6"/>
  <c r="AK232" i="6"/>
  <c r="AL232" i="6"/>
  <c r="AJ62" i="6"/>
  <c r="AK62" i="6"/>
  <c r="AL62" i="6"/>
  <c r="AJ532" i="6"/>
  <c r="AK532" i="6"/>
  <c r="AL532" i="6"/>
  <c r="AJ566" i="6"/>
  <c r="AK566" i="6"/>
  <c r="AL566" i="6"/>
  <c r="AJ567" i="6"/>
  <c r="AK567" i="6"/>
  <c r="AL567" i="6"/>
  <c r="AJ506" i="6"/>
  <c r="AK506" i="6"/>
  <c r="AL506" i="6"/>
  <c r="AJ600" i="6"/>
  <c r="AK600" i="6"/>
  <c r="AL600" i="6"/>
  <c r="AJ136" i="6"/>
  <c r="AK136" i="6"/>
  <c r="AL136" i="6"/>
  <c r="AJ154" i="6"/>
  <c r="AK154" i="6"/>
  <c r="AL154" i="6"/>
  <c r="AJ137" i="6"/>
  <c r="AK137" i="6"/>
  <c r="AL137" i="6"/>
  <c r="AJ155" i="6"/>
  <c r="AK155" i="6"/>
  <c r="AL155" i="6"/>
  <c r="AJ156" i="6"/>
  <c r="AK156" i="6"/>
  <c r="AL156" i="6"/>
  <c r="AJ172" i="6"/>
  <c r="AK172" i="6"/>
  <c r="AL172" i="6"/>
  <c r="AJ107" i="6"/>
  <c r="AK107" i="6"/>
  <c r="AL107" i="6"/>
  <c r="AJ238" i="6"/>
  <c r="AK238" i="6"/>
  <c r="AL238" i="6"/>
  <c r="AJ190" i="6"/>
  <c r="AK190" i="6"/>
  <c r="AL190" i="6"/>
  <c r="AJ239" i="6"/>
  <c r="AK239" i="6"/>
  <c r="AL239" i="6"/>
  <c r="AJ61" i="6"/>
  <c r="AK61" i="6"/>
  <c r="AL61" i="6"/>
  <c r="AJ109" i="6"/>
  <c r="AK109" i="6"/>
  <c r="AL109" i="6"/>
  <c r="AJ141" i="6"/>
  <c r="AK141" i="6"/>
  <c r="AL141" i="6"/>
  <c r="AJ276" i="6"/>
  <c r="AK276" i="6"/>
  <c r="AL276" i="6"/>
  <c r="AJ308" i="6"/>
  <c r="AK308" i="6"/>
  <c r="AL308" i="6"/>
  <c r="AJ491" i="6"/>
  <c r="AK491" i="6"/>
  <c r="AL491" i="6"/>
  <c r="AJ547" i="6"/>
  <c r="AK547" i="6"/>
  <c r="AL547" i="6"/>
  <c r="AJ604" i="6"/>
  <c r="AK604" i="6"/>
  <c r="AL604" i="6"/>
  <c r="AJ301" i="6"/>
  <c r="AK301" i="6"/>
  <c r="AL301" i="6"/>
  <c r="AJ483" i="6"/>
  <c r="AK483" i="6"/>
  <c r="AL483" i="6"/>
  <c r="AJ548" i="6"/>
  <c r="AK548" i="6"/>
  <c r="AL548" i="6"/>
  <c r="AJ484" i="6"/>
  <c r="AK484" i="6"/>
  <c r="AL484" i="6"/>
  <c r="AJ549" i="6"/>
  <c r="AK549" i="6"/>
  <c r="AL549" i="6"/>
  <c r="AJ606" i="6"/>
  <c r="AK606" i="6"/>
  <c r="AL606" i="6"/>
  <c r="AJ299" i="6"/>
  <c r="AK299" i="6"/>
  <c r="AL299" i="6"/>
  <c r="AJ216" i="6"/>
  <c r="AK216" i="6"/>
  <c r="AL216" i="6"/>
  <c r="AJ451" i="6"/>
  <c r="AK451" i="6"/>
  <c r="AL451" i="6"/>
  <c r="AJ550" i="6"/>
  <c r="AK550" i="6"/>
  <c r="AL550" i="6"/>
  <c r="AJ607" i="6"/>
  <c r="AK607" i="6"/>
  <c r="AL607" i="6"/>
  <c r="AJ348" i="6"/>
  <c r="AK348" i="6"/>
  <c r="AL348" i="6"/>
  <c r="AJ312" i="6"/>
  <c r="AK312" i="6"/>
  <c r="AL312" i="6"/>
  <c r="AJ460" i="6"/>
  <c r="AK460" i="6"/>
  <c r="AL460" i="6"/>
  <c r="AJ259" i="6"/>
  <c r="AK259" i="6"/>
  <c r="AL259" i="6"/>
  <c r="AJ257" i="6"/>
  <c r="AK257" i="6"/>
  <c r="AL257" i="6"/>
  <c r="AJ346" i="6"/>
  <c r="AK346" i="6"/>
  <c r="AL346" i="6"/>
  <c r="AJ258" i="6"/>
  <c r="AK258" i="6"/>
  <c r="AL258" i="6"/>
  <c r="AJ347" i="6"/>
  <c r="AK347" i="6"/>
  <c r="AL347" i="6"/>
  <c r="L16" i="24"/>
  <c r="D12" i="6"/>
  <c r="F38" i="23"/>
  <c r="E38" i="23"/>
  <c r="G215" i="22"/>
  <c r="G216" i="22"/>
  <c r="G201" i="22"/>
  <c r="F189" i="22"/>
  <c r="G197" i="22"/>
  <c r="G208" i="22"/>
  <c r="G205" i="22"/>
  <c r="G213" i="22"/>
  <c r="G210" i="22"/>
  <c r="G200" i="22"/>
  <c r="G199" i="22"/>
  <c r="G202" i="22"/>
  <c r="G211" i="22"/>
  <c r="G212" i="22"/>
  <c r="G214" i="22"/>
  <c r="G203" i="22"/>
  <c r="G206" i="22"/>
  <c r="G198" i="22"/>
  <c r="G209" i="22"/>
  <c r="G204" i="22"/>
  <c r="G207" i="22"/>
  <c r="G231" i="22"/>
  <c r="G234" i="22"/>
  <c r="G239" i="22"/>
  <c r="G247" i="22"/>
  <c r="G244" i="22"/>
  <c r="G232" i="22"/>
  <c r="G243" i="22"/>
  <c r="G238" i="22"/>
  <c r="G240" i="22"/>
  <c r="G245" i="22"/>
  <c r="G246" i="22"/>
  <c r="G233" i="22"/>
  <c r="G235" i="22"/>
  <c r="F222" i="22"/>
  <c r="G230" i="22"/>
  <c r="G249" i="22"/>
  <c r="G236" i="22"/>
  <c r="G248" i="22"/>
  <c r="G242" i="22"/>
  <c r="G241" i="22"/>
  <c r="G350" i="22"/>
  <c r="G389" i="22"/>
  <c r="G45" i="22"/>
  <c r="G117" i="22"/>
  <c r="G115" i="22"/>
  <c r="G112" i="22"/>
  <c r="G46" i="22"/>
  <c r="G116" i="22"/>
  <c r="G41" i="22"/>
  <c r="G349" i="22"/>
  <c r="G36" i="22"/>
  <c r="G348" i="22"/>
  <c r="G82" i="22"/>
  <c r="G47" i="22"/>
  <c r="G84" i="22"/>
  <c r="G114" i="22"/>
  <c r="G48" i="22"/>
  <c r="G49" i="22"/>
  <c r="G42" i="22"/>
  <c r="G38" i="22"/>
  <c r="G43" i="22"/>
  <c r="G83" i="22"/>
  <c r="G388" i="22"/>
  <c r="G37" i="22"/>
  <c r="G387" i="22"/>
  <c r="G44" i="22"/>
  <c r="G39" i="22"/>
  <c r="G81" i="22"/>
  <c r="G347" i="22"/>
  <c r="G386" i="22"/>
  <c r="G113" i="22"/>
  <c r="G40" i="22"/>
  <c r="G99" i="22"/>
  <c r="G100" i="22"/>
  <c r="F90" i="22"/>
  <c r="G98" i="22"/>
  <c r="G101" i="22"/>
  <c r="G111" i="22"/>
  <c r="G106" i="22"/>
  <c r="G110" i="22"/>
  <c r="G104" i="22"/>
  <c r="G102" i="22"/>
  <c r="G109" i="22"/>
  <c r="G107" i="22"/>
  <c r="G103" i="22"/>
  <c r="G108" i="22"/>
  <c r="G105" i="22"/>
  <c r="G308" i="22"/>
  <c r="G306" i="22"/>
  <c r="G299" i="22"/>
  <c r="G385" i="22"/>
  <c r="G311" i="22"/>
  <c r="G302" i="22"/>
  <c r="G300" i="22"/>
  <c r="G301" i="22"/>
  <c r="G314" i="22"/>
  <c r="G303" i="22"/>
  <c r="G310" i="22"/>
  <c r="G312" i="22"/>
  <c r="G315" i="22"/>
  <c r="G313" i="22"/>
  <c r="G307" i="22"/>
  <c r="G298" i="22"/>
  <c r="G305" i="22"/>
  <c r="G304" i="22"/>
  <c r="G384" i="22"/>
  <c r="G309" i="22"/>
  <c r="F288" i="22"/>
  <c r="G296" i="22"/>
  <c r="G383" i="22"/>
  <c r="G297" i="22"/>
  <c r="G368" i="22"/>
  <c r="G378" i="22"/>
  <c r="G377" i="22"/>
  <c r="G365" i="22"/>
  <c r="G376" i="22"/>
  <c r="G382" i="22"/>
  <c r="G374" i="22"/>
  <c r="G370" i="22"/>
  <c r="F356" i="22"/>
  <c r="G364" i="22"/>
  <c r="G375" i="22"/>
  <c r="G371" i="22"/>
  <c r="G380" i="22"/>
  <c r="G367" i="22"/>
  <c r="G379" i="22"/>
  <c r="G369" i="22"/>
  <c r="G366" i="22"/>
  <c r="G381" i="22"/>
  <c r="G373" i="22"/>
  <c r="G372" i="22"/>
  <c r="G344" i="22"/>
  <c r="G336" i="22"/>
  <c r="G337" i="22"/>
  <c r="G334" i="22"/>
  <c r="G339" i="22"/>
  <c r="F321" i="22"/>
  <c r="G329" i="22"/>
  <c r="G341" i="22"/>
  <c r="G331" i="22"/>
  <c r="G335" i="22"/>
  <c r="G342" i="22"/>
  <c r="G330" i="22"/>
  <c r="G345" i="22"/>
  <c r="G332" i="22"/>
  <c r="G340" i="22"/>
  <c r="G333" i="22"/>
  <c r="G338" i="22"/>
  <c r="G346" i="22"/>
  <c r="G343" i="22"/>
  <c r="G419" i="22"/>
  <c r="F255" i="22"/>
  <c r="G263" i="22"/>
  <c r="G452" i="22"/>
  <c r="G174" i="22"/>
  <c r="G278" i="22"/>
  <c r="G448" i="22"/>
  <c r="G179" i="22"/>
  <c r="G441" i="22"/>
  <c r="G280" i="22"/>
  <c r="G410" i="22"/>
  <c r="G75" i="22"/>
  <c r="G450" i="22"/>
  <c r="G274" i="22"/>
  <c r="G172" i="22"/>
  <c r="G71" i="22"/>
  <c r="G78" i="22"/>
  <c r="G175" i="22"/>
  <c r="G276" i="22"/>
  <c r="G405" i="22"/>
  <c r="G64" i="22"/>
  <c r="G279" i="22"/>
  <c r="G270" i="22"/>
  <c r="G65" i="22"/>
  <c r="G273" i="22"/>
  <c r="G267" i="22"/>
  <c r="G420" i="22"/>
  <c r="G449" i="22"/>
  <c r="G67" i="22"/>
  <c r="G421" i="22"/>
  <c r="G447" i="22"/>
  <c r="G277" i="22"/>
  <c r="G440" i="22"/>
  <c r="G442" i="22"/>
  <c r="G178" i="22"/>
  <c r="G169" i="22"/>
  <c r="G407" i="22"/>
  <c r="G455" i="22"/>
  <c r="G165" i="22"/>
  <c r="G181" i="22"/>
  <c r="G168" i="22"/>
  <c r="G264" i="22"/>
  <c r="G281" i="22"/>
  <c r="G265" i="22"/>
  <c r="G282" i="22"/>
  <c r="G439" i="22"/>
  <c r="G167" i="22"/>
  <c r="G416" i="22"/>
  <c r="G412" i="22"/>
  <c r="G271" i="22"/>
  <c r="G73" i="22"/>
  <c r="G66" i="22"/>
  <c r="G79" i="22"/>
  <c r="G269" i="22"/>
  <c r="G182" i="22"/>
  <c r="G409" i="22"/>
  <c r="G69" i="22"/>
  <c r="G80" i="22"/>
  <c r="G414" i="22"/>
  <c r="G454" i="22"/>
  <c r="G451" i="22"/>
  <c r="G406" i="22"/>
  <c r="G70" i="22"/>
  <c r="G164" i="22"/>
  <c r="F156" i="22"/>
  <c r="G74" i="22"/>
  <c r="G180" i="22"/>
  <c r="G166" i="22"/>
  <c r="G422" i="22"/>
  <c r="G443" i="22"/>
  <c r="G76" i="22"/>
  <c r="G177" i="22"/>
  <c r="G437" i="22"/>
  <c r="G72" i="22"/>
  <c r="G183" i="22"/>
  <c r="G173" i="22"/>
  <c r="G408" i="22"/>
  <c r="G268" i="22"/>
  <c r="G272" i="22"/>
  <c r="G413" i="22"/>
  <c r="G68" i="22"/>
  <c r="G445" i="22"/>
  <c r="G171" i="22"/>
  <c r="G417" i="22"/>
  <c r="G266" i="22"/>
  <c r="G411" i="22"/>
  <c r="G418" i="22"/>
  <c r="G404" i="22"/>
  <c r="F395" i="22"/>
  <c r="G403" i="22"/>
  <c r="G77" i="22"/>
  <c r="G170" i="22"/>
  <c r="G453" i="22"/>
  <c r="G446" i="22"/>
  <c r="F55" i="22"/>
  <c r="G63" i="22"/>
  <c r="G444" i="22"/>
  <c r="G275" i="22"/>
  <c r="G436" i="22"/>
  <c r="F428" i="22"/>
  <c r="G438" i="22"/>
  <c r="G415" i="22"/>
  <c r="G176" i="22"/>
  <c r="G150" i="22"/>
  <c r="G136" i="22"/>
  <c r="G138" i="22"/>
  <c r="G140" i="22"/>
  <c r="G134" i="22"/>
  <c r="G133" i="22"/>
  <c r="G135" i="22"/>
  <c r="G149" i="22"/>
  <c r="G139" i="22"/>
  <c r="G145" i="22"/>
  <c r="G142" i="22"/>
  <c r="G141" i="22"/>
  <c r="G147" i="22"/>
  <c r="G132" i="22"/>
  <c r="G148" i="22"/>
  <c r="G131" i="22"/>
  <c r="G144" i="22"/>
  <c r="G146" i="22"/>
  <c r="G143" i="22"/>
  <c r="G137" i="22"/>
  <c r="F26" i="22"/>
  <c r="D16" i="22"/>
  <c r="Y16" i="6"/>
  <c r="AC16" i="6"/>
  <c r="M20" i="18"/>
  <c r="D110" i="9"/>
  <c r="K33" i="3"/>
  <c r="M43" i="3"/>
  <c r="I16" i="14"/>
  <c r="G32" i="22"/>
  <c r="L28" i="24"/>
  <c r="M28" i="24"/>
  <c r="G34" i="22"/>
  <c r="G35" i="22"/>
  <c r="N7" i="23"/>
  <c r="G33" i="22"/>
  <c r="I14" i="14"/>
  <c r="G31" i="22"/>
  <c r="G30" i="22"/>
  <c r="M16" i="24"/>
  <c r="M20" i="24"/>
  <c r="M32" i="3"/>
  <c r="N32" i="3"/>
  <c r="N69" i="13"/>
  <c r="N67" i="13"/>
  <c r="O34" i="3"/>
  <c r="O23" i="3"/>
  <c r="O24" i="3"/>
  <c r="N36" i="3"/>
  <c r="O25" i="3"/>
  <c r="N35" i="3"/>
  <c r="L51" i="3"/>
  <c r="Q51" i="3"/>
  <c r="L24" i="3"/>
  <c r="Q24" i="3"/>
  <c r="R24" i="3"/>
  <c r="L43" i="3"/>
  <c r="L36" i="3"/>
  <c r="Q36" i="3"/>
  <c r="R36" i="3"/>
  <c r="L48" i="3"/>
  <c r="Q48" i="3"/>
  <c r="L35" i="3"/>
  <c r="Q35" i="3"/>
  <c r="R35" i="3"/>
  <c r="L21" i="3"/>
  <c r="L23" i="3"/>
  <c r="Q23" i="3"/>
  <c r="R23" i="3"/>
  <c r="L34" i="3"/>
  <c r="Q34" i="3"/>
  <c r="R34" i="3"/>
  <c r="L25" i="3"/>
  <c r="Q25" i="3"/>
  <c r="R25" i="3"/>
  <c r="L52" i="3"/>
  <c r="Q52" i="3"/>
  <c r="O49" i="3"/>
  <c r="N49" i="3"/>
  <c r="L46" i="3"/>
  <c r="N54" i="3"/>
  <c r="O54" i="3"/>
  <c r="L49" i="3"/>
  <c r="Q49" i="3"/>
  <c r="R49" i="3"/>
  <c r="N47" i="3"/>
  <c r="O47" i="3"/>
  <c r="O50" i="3"/>
  <c r="N50" i="3"/>
  <c r="O52" i="3"/>
  <c r="N52" i="3"/>
  <c r="M33" i="3"/>
  <c r="M45" i="3"/>
  <c r="N53" i="3"/>
  <c r="O53" i="3"/>
  <c r="L53" i="3"/>
  <c r="Q53" i="3"/>
  <c r="K46" i="3"/>
  <c r="L54" i="3"/>
  <c r="Q54" i="3"/>
  <c r="K54" i="3"/>
  <c r="L55" i="3"/>
  <c r="O51" i="3"/>
  <c r="L47" i="3"/>
  <c r="Q47" i="3"/>
  <c r="L45" i="3"/>
  <c r="O48" i="3"/>
  <c r="N48" i="3"/>
  <c r="I20" i="14"/>
  <c r="G32" i="23"/>
  <c r="L24" i="24"/>
  <c r="M24" i="24"/>
  <c r="G37" i="23"/>
  <c r="I11" i="14"/>
  <c r="G10" i="11"/>
  <c r="Q13" i="3"/>
  <c r="L27" i="24"/>
  <c r="M27" i="24"/>
  <c r="G36" i="23"/>
  <c r="G33" i="23"/>
  <c r="L23" i="24"/>
  <c r="M23" i="24"/>
  <c r="L19" i="24"/>
  <c r="M19" i="24"/>
  <c r="H5" i="11"/>
  <c r="M11" i="18"/>
  <c r="L13" i="18"/>
  <c r="N11" i="18"/>
  <c r="L12" i="18"/>
  <c r="L26" i="24"/>
  <c r="L22" i="24"/>
  <c r="M22" i="24"/>
  <c r="L18" i="24"/>
  <c r="M18" i="24"/>
  <c r="G47" i="23"/>
  <c r="M19" i="18"/>
  <c r="Q31" i="3"/>
  <c r="L17" i="18"/>
  <c r="L29" i="24"/>
  <c r="M29" i="24"/>
  <c r="G35" i="23"/>
  <c r="N19" i="18"/>
  <c r="R31" i="3"/>
  <c r="L16" i="18"/>
  <c r="L25" i="24"/>
  <c r="M25" i="24"/>
  <c r="L21" i="24"/>
  <c r="M21" i="24"/>
  <c r="L17" i="24"/>
  <c r="M17" i="24"/>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P50" i="13"/>
  <c r="P46" i="13"/>
  <c r="P53" i="13"/>
  <c r="P38" i="13"/>
  <c r="P73" i="13"/>
  <c r="O69" i="13"/>
  <c r="P37" i="13"/>
  <c r="P57" i="13"/>
  <c r="P41" i="13"/>
  <c r="P58" i="13"/>
  <c r="P56" i="13"/>
  <c r="P63" i="13"/>
  <c r="P54" i="13"/>
  <c r="P39" i="13"/>
  <c r="P62" i="13"/>
  <c r="P49" i="13"/>
  <c r="P70" i="13"/>
  <c r="P51" i="13"/>
  <c r="P36" i="13"/>
  <c r="P42" i="13"/>
  <c r="P66" i="13"/>
  <c r="P67" i="13"/>
  <c r="P60" i="13"/>
  <c r="P71" i="13"/>
  <c r="P43" i="13"/>
  <c r="P40" i="13"/>
  <c r="O67" i="13"/>
  <c r="P65" i="13"/>
  <c r="P69" i="13"/>
  <c r="L50" i="3"/>
  <c r="Q50" i="3"/>
  <c r="D35" i="23"/>
  <c r="D39" i="23"/>
  <c r="F35" i="23"/>
  <c r="E35" i="23"/>
  <c r="L44" i="3"/>
  <c r="Q46" i="3"/>
  <c r="O46" i="3"/>
  <c r="D57" i="9"/>
  <c r="L33" i="3"/>
  <c r="Q33" i="3"/>
  <c r="G189" i="22"/>
  <c r="G222" i="22"/>
  <c r="G90" i="22"/>
  <c r="G288" i="22"/>
  <c r="G356" i="22"/>
  <c r="G321" i="22"/>
  <c r="G156" i="22"/>
  <c r="G428" i="22"/>
  <c r="G395" i="22"/>
  <c r="G255" i="22"/>
  <c r="G55" i="22"/>
  <c r="G123" i="22"/>
  <c r="G26" i="22"/>
  <c r="D17" i="22"/>
  <c r="N20" i="18"/>
  <c r="E110" i="9"/>
  <c r="O32" i="3"/>
  <c r="M44" i="3"/>
  <c r="O44" i="3"/>
  <c r="M26" i="24"/>
  <c r="D32" i="23"/>
  <c r="D33" i="23"/>
  <c r="O43" i="3"/>
  <c r="N43" i="3"/>
  <c r="Q43" i="3"/>
  <c r="R43" i="3"/>
  <c r="Q45" i="3"/>
  <c r="R47" i="3"/>
  <c r="R52" i="3"/>
  <c r="R50" i="3"/>
  <c r="R51" i="3"/>
  <c r="N45" i="3"/>
  <c r="O45" i="3"/>
  <c r="N33" i="3"/>
  <c r="O33" i="3"/>
  <c r="R53" i="3"/>
  <c r="K32" i="3"/>
  <c r="L32" i="3"/>
  <c r="Q32" i="3"/>
  <c r="R54" i="3"/>
  <c r="K22" i="3"/>
  <c r="L22" i="3"/>
  <c r="R46" i="3"/>
  <c r="R48" i="3"/>
  <c r="N47" i="13"/>
  <c r="N48" i="13"/>
  <c r="N59" i="13"/>
  <c r="N61" i="13"/>
  <c r="N64" i="13"/>
  <c r="N62" i="13"/>
  <c r="N46" i="13"/>
  <c r="N52" i="13"/>
  <c r="N53" i="13"/>
  <c r="N60" i="13"/>
  <c r="N54" i="13"/>
  <c r="N55" i="13"/>
  <c r="N45" i="13"/>
  <c r="N44" i="13"/>
  <c r="N43" i="13"/>
  <c r="N37" i="13"/>
  <c r="N39" i="13"/>
  <c r="N38" i="13"/>
  <c r="AI16" i="6"/>
  <c r="K263" i="13"/>
  <c r="L264" i="13"/>
  <c r="L263" i="13"/>
  <c r="K264" i="13"/>
  <c r="O58" i="13"/>
  <c r="K254" i="13"/>
  <c r="K205" i="13"/>
  <c r="L205" i="13"/>
  <c r="L111" i="13"/>
  <c r="L163" i="13"/>
  <c r="K261" i="13"/>
  <c r="K110" i="13"/>
  <c r="L117" i="13"/>
  <c r="K242" i="13"/>
  <c r="L241" i="13"/>
  <c r="O51" i="13"/>
  <c r="L151" i="13"/>
  <c r="L199" i="13"/>
  <c r="K260" i="13"/>
  <c r="L202" i="13"/>
  <c r="K202" i="13"/>
  <c r="L244" i="13"/>
  <c r="P47" i="13"/>
  <c r="L113" i="13"/>
  <c r="O71" i="13"/>
  <c r="P44" i="13"/>
  <c r="L164" i="13"/>
  <c r="K246" i="13"/>
  <c r="K112" i="13"/>
  <c r="L259" i="13"/>
  <c r="L256" i="13"/>
  <c r="L249" i="13"/>
  <c r="L157" i="13"/>
  <c r="K248" i="13"/>
  <c r="O41" i="13"/>
  <c r="L204" i="13"/>
  <c r="K152" i="13"/>
  <c r="K113" i="13"/>
  <c r="K150" i="13"/>
  <c r="K111" i="13"/>
  <c r="P48" i="13"/>
  <c r="P59" i="13"/>
  <c r="K262" i="13"/>
  <c r="L251" i="13"/>
  <c r="O65" i="13"/>
  <c r="K155" i="13"/>
  <c r="O40" i="13"/>
  <c r="O63" i="13"/>
  <c r="K244" i="13"/>
  <c r="K108" i="13"/>
  <c r="O42" i="13"/>
  <c r="K198" i="13"/>
  <c r="P52" i="13"/>
  <c r="K257" i="13"/>
  <c r="P55" i="13"/>
  <c r="L254" i="13"/>
  <c r="K151" i="13"/>
  <c r="L258" i="13"/>
  <c r="K153" i="13"/>
  <c r="K115" i="13"/>
  <c r="L203" i="13"/>
  <c r="L239" i="13"/>
  <c r="K241" i="13"/>
  <c r="L243" i="13"/>
  <c r="L160" i="13"/>
  <c r="L107" i="13"/>
  <c r="K158" i="13"/>
  <c r="L255" i="13"/>
  <c r="L245" i="13"/>
  <c r="L242" i="13"/>
  <c r="K154" i="13"/>
  <c r="K160" i="13"/>
  <c r="L154" i="13"/>
  <c r="K249" i="13"/>
  <c r="L206" i="13"/>
  <c r="L262" i="13"/>
  <c r="L104" i="13"/>
  <c r="L200" i="13"/>
  <c r="O66" i="13"/>
  <c r="K161" i="13"/>
  <c r="K252" i="13"/>
  <c r="K253" i="13"/>
  <c r="K247" i="13"/>
  <c r="L257" i="13"/>
  <c r="L197" i="13"/>
  <c r="K114" i="13"/>
  <c r="P61" i="13"/>
  <c r="K201" i="13"/>
  <c r="L103" i="13"/>
  <c r="O70" i="13"/>
  <c r="K117" i="13"/>
  <c r="L252" i="13"/>
  <c r="P64" i="13"/>
  <c r="K255" i="13"/>
  <c r="K109" i="13"/>
  <c r="L110" i="13"/>
  <c r="K156" i="13"/>
  <c r="K204" i="13"/>
  <c r="K258" i="13"/>
  <c r="K116" i="13"/>
  <c r="K243" i="13"/>
  <c r="L150" i="13"/>
  <c r="L115" i="13"/>
  <c r="K199" i="13"/>
  <c r="L105" i="13"/>
  <c r="L261" i="13"/>
  <c r="K104" i="13"/>
  <c r="K106" i="13"/>
  <c r="K105" i="13"/>
  <c r="O56" i="13"/>
  <c r="L161" i="13"/>
  <c r="K103" i="13"/>
  <c r="L198" i="13"/>
  <c r="L159" i="13"/>
  <c r="K256" i="13"/>
  <c r="L240" i="13"/>
  <c r="O50" i="13"/>
  <c r="K245" i="13"/>
  <c r="K200" i="13"/>
  <c r="L155" i="13"/>
  <c r="K251" i="13"/>
  <c r="L153" i="13"/>
  <c r="L253" i="13"/>
  <c r="P45" i="13"/>
  <c r="L250" i="13"/>
  <c r="K250" i="13"/>
  <c r="L246" i="13"/>
  <c r="K157" i="13"/>
  <c r="L116" i="13"/>
  <c r="K239" i="13"/>
  <c r="L156" i="13"/>
  <c r="L162" i="13"/>
  <c r="O57" i="13"/>
  <c r="L106" i="13"/>
  <c r="L247" i="13"/>
  <c r="K163" i="13"/>
  <c r="K164" i="13"/>
  <c r="L158" i="13"/>
  <c r="L152" i="13"/>
  <c r="K197" i="13"/>
  <c r="K162" i="13"/>
  <c r="O36" i="13"/>
  <c r="K240" i="13"/>
  <c r="O49" i="13"/>
  <c r="L248" i="13"/>
  <c r="L108" i="13"/>
  <c r="K206" i="13"/>
  <c r="L109" i="13"/>
  <c r="K259" i="13"/>
  <c r="K107" i="13"/>
  <c r="K159" i="13"/>
  <c r="L201" i="13"/>
  <c r="L112" i="13"/>
  <c r="L260" i="13"/>
  <c r="L114" i="13"/>
  <c r="K203" i="13"/>
  <c r="E57" i="9"/>
  <c r="D23" i="9"/>
  <c r="E23" i="9"/>
  <c r="D95" i="9"/>
  <c r="D47" i="23"/>
  <c r="D45" i="23"/>
  <c r="AK16" i="6"/>
  <c r="AL16" i="6"/>
  <c r="E79" i="13"/>
  <c r="E81" i="13"/>
  <c r="Q44" i="3"/>
  <c r="N44" i="3"/>
  <c r="M21" i="3"/>
  <c r="M22" i="3"/>
  <c r="N22" i="3"/>
  <c r="M55" i="3"/>
  <c r="Q55" i="3"/>
  <c r="R55" i="3"/>
  <c r="R45" i="3"/>
  <c r="R33" i="3"/>
  <c r="R32" i="3"/>
  <c r="N264" i="13"/>
  <c r="N263" i="13"/>
  <c r="P202" i="13"/>
  <c r="P201" i="13"/>
  <c r="P205" i="13"/>
  <c r="N205" i="13"/>
  <c r="P197" i="13"/>
  <c r="N103" i="13"/>
  <c r="N113" i="13"/>
  <c r="N243" i="13"/>
  <c r="N160" i="13"/>
  <c r="N246" i="13"/>
  <c r="P103" i="13"/>
  <c r="N203" i="13"/>
  <c r="O61" i="13"/>
  <c r="P247" i="13"/>
  <c r="N252" i="13"/>
  <c r="P199" i="13"/>
  <c r="N107" i="13"/>
  <c r="N200" i="13"/>
  <c r="N253" i="13"/>
  <c r="N155" i="13"/>
  <c r="P109" i="13"/>
  <c r="P113" i="13"/>
  <c r="P153" i="13"/>
  <c r="N241" i="13"/>
  <c r="N254" i="13"/>
  <c r="P250" i="13"/>
  <c r="P248" i="13"/>
  <c r="N159" i="13"/>
  <c r="N202" i="13"/>
  <c r="N114" i="13"/>
  <c r="P263" i="13"/>
  <c r="N104" i="13"/>
  <c r="O38" i="13"/>
  <c r="N158" i="13"/>
  <c r="P152" i="13"/>
  <c r="N150" i="13"/>
  <c r="P155" i="13"/>
  <c r="P107" i="13"/>
  <c r="O37" i="13"/>
  <c r="P104" i="13"/>
  <c r="P254" i="13"/>
  <c r="P110" i="13"/>
  <c r="N248" i="13"/>
  <c r="P253" i="13"/>
  <c r="P255" i="13"/>
  <c r="P245" i="13"/>
  <c r="P158" i="13"/>
  <c r="N258" i="13"/>
  <c r="N244" i="13"/>
  <c r="P258" i="13"/>
  <c r="P257" i="13"/>
  <c r="N255" i="13"/>
  <c r="P160" i="13"/>
  <c r="N115" i="13"/>
  <c r="P260" i="13"/>
  <c r="N153" i="13"/>
  <c r="N260" i="13"/>
  <c r="P262" i="13"/>
  <c r="O44" i="13"/>
  <c r="P243" i="13"/>
  <c r="P203" i="13"/>
  <c r="P256" i="13"/>
  <c r="O39" i="13"/>
  <c r="O43" i="13"/>
  <c r="P259" i="13"/>
  <c r="P161" i="13"/>
  <c r="N164" i="13"/>
  <c r="N206" i="13"/>
  <c r="P106" i="13"/>
  <c r="N239" i="13"/>
  <c r="N157" i="13"/>
  <c r="P111" i="13"/>
  <c r="N256" i="13"/>
  <c r="O45" i="13"/>
  <c r="N259" i="13"/>
  <c r="P240" i="13"/>
  <c r="P204" i="13"/>
  <c r="N261" i="13"/>
  <c r="O48" i="13"/>
  <c r="N262" i="13"/>
  <c r="N116" i="13"/>
  <c r="N111" i="13"/>
  <c r="P159" i="13"/>
  <c r="P241" i="13"/>
  <c r="P116" i="13"/>
  <c r="N112" i="13"/>
  <c r="P164" i="13"/>
  <c r="P157" i="13"/>
  <c r="P154" i="13"/>
  <c r="N108" i="13"/>
  <c r="N247" i="13"/>
  <c r="O64" i="13"/>
  <c r="P114" i="13"/>
  <c r="P117" i="13"/>
  <c r="N197" i="13"/>
  <c r="P246" i="13"/>
  <c r="N250" i="13"/>
  <c r="P244" i="13"/>
  <c r="N162" i="13"/>
  <c r="N105" i="13"/>
  <c r="P252" i="13"/>
  <c r="P108" i="13"/>
  <c r="O47" i="13"/>
  <c r="P249" i="13"/>
  <c r="P239" i="13"/>
  <c r="P112" i="13"/>
  <c r="N154" i="13"/>
  <c r="O46" i="13"/>
  <c r="O55" i="13"/>
  <c r="P156" i="13"/>
  <c r="N199" i="13"/>
  <c r="N198" i="13"/>
  <c r="N257" i="13"/>
  <c r="P115" i="13"/>
  <c r="N156" i="13"/>
  <c r="P151" i="13"/>
  <c r="N240" i="13"/>
  <c r="N106" i="13"/>
  <c r="P264" i="13"/>
  <c r="O60" i="13"/>
  <c r="O62" i="13"/>
  <c r="N161" i="13"/>
  <c r="N249" i="13"/>
  <c r="N242" i="13"/>
  <c r="N201" i="13"/>
  <c r="P162" i="13"/>
  <c r="O52" i="13"/>
  <c r="N109" i="13"/>
  <c r="O53" i="13"/>
  <c r="N110" i="13"/>
  <c r="P200" i="13"/>
  <c r="P251" i="13"/>
  <c r="N204" i="13"/>
  <c r="P242" i="13"/>
  <c r="P150" i="13"/>
  <c r="N251" i="13"/>
  <c r="P163" i="13"/>
  <c r="N163" i="13"/>
  <c r="P105" i="13"/>
  <c r="N245" i="13"/>
  <c r="O59" i="13"/>
  <c r="P261" i="13"/>
  <c r="P198" i="13"/>
  <c r="P206" i="13"/>
  <c r="N117" i="13"/>
  <c r="N152" i="13"/>
  <c r="N151" i="13"/>
  <c r="O54" i="13"/>
  <c r="E173" i="13"/>
  <c r="E175" i="13"/>
  <c r="E128" i="13"/>
  <c r="E126" i="13"/>
  <c r="E215" i="13"/>
  <c r="E282" i="13"/>
  <c r="E9" i="13"/>
  <c r="H16" i="12"/>
  <c r="E217" i="13"/>
  <c r="E284" i="13"/>
  <c r="E11" i="13"/>
  <c r="D8" i="11"/>
  <c r="F8" i="11"/>
  <c r="D97" i="9"/>
  <c r="E126" i="9"/>
  <c r="D73" i="9"/>
  <c r="D126" i="9"/>
  <c r="E73" i="9"/>
  <c r="E95" i="9"/>
  <c r="D36" i="9"/>
  <c r="E36" i="9"/>
  <c r="E80" i="13"/>
  <c r="R44" i="3"/>
  <c r="O21" i="3"/>
  <c r="N21" i="3"/>
  <c r="Q21" i="3"/>
  <c r="N55" i="3"/>
  <c r="O55" i="3"/>
  <c r="O22" i="3"/>
  <c r="Q22" i="3"/>
  <c r="O261" i="13"/>
  <c r="O103" i="13"/>
  <c r="O239" i="13"/>
  <c r="O256" i="13"/>
  <c r="O258" i="13"/>
  <c r="O199" i="13"/>
  <c r="O112" i="13"/>
  <c r="O260" i="13"/>
  <c r="O154" i="13"/>
  <c r="O264" i="13"/>
  <c r="O109" i="13"/>
  <c r="O263" i="13"/>
  <c r="O111" i="13"/>
  <c r="O245" i="13"/>
  <c r="O201" i="13"/>
  <c r="O115" i="13"/>
  <c r="O244" i="13"/>
  <c r="O108" i="13"/>
  <c r="O252" i="13"/>
  <c r="O202" i="13"/>
  <c r="O159" i="13"/>
  <c r="O160" i="13"/>
  <c r="O157" i="13"/>
  <c r="O110" i="13"/>
  <c r="O254" i="13"/>
  <c r="O161" i="13"/>
  <c r="O250" i="13"/>
  <c r="O259" i="13"/>
  <c r="O158" i="13"/>
  <c r="O204" i="13"/>
  <c r="O117" i="13"/>
  <c r="O240" i="13"/>
  <c r="O241" i="13"/>
  <c r="O255" i="13"/>
  <c r="O164" i="13"/>
  <c r="O262" i="13"/>
  <c r="O247" i="13"/>
  <c r="O242" i="13"/>
  <c r="O253" i="13"/>
  <c r="O113" i="13"/>
  <c r="O257" i="13"/>
  <c r="O114" i="13"/>
  <c r="O251" i="13"/>
  <c r="O116" i="13"/>
  <c r="O107" i="13"/>
  <c r="O248" i="13"/>
  <c r="O246" i="13"/>
  <c r="O249" i="13"/>
  <c r="O151" i="13"/>
  <c r="O205" i="13"/>
  <c r="O197" i="13"/>
  <c r="O163" i="13"/>
  <c r="O152" i="13"/>
  <c r="O153" i="13"/>
  <c r="O162" i="13"/>
  <c r="O150" i="13"/>
  <c r="O206" i="13"/>
  <c r="O105" i="13"/>
  <c r="O155" i="13"/>
  <c r="O156" i="13"/>
  <c r="O198" i="13"/>
  <c r="O200" i="13"/>
  <c r="O203" i="13"/>
  <c r="O104" i="13"/>
  <c r="O243" i="13"/>
  <c r="O106" i="13"/>
  <c r="N281" i="13"/>
  <c r="H23" i="12"/>
  <c r="E8" i="11"/>
  <c r="H29" i="12"/>
  <c r="D104" i="9"/>
  <c r="H21" i="12"/>
  <c r="H13" i="12"/>
  <c r="D9" i="11"/>
  <c r="H11" i="11"/>
  <c r="H14" i="11"/>
  <c r="H10" i="12"/>
  <c r="H26" i="12"/>
  <c r="H12" i="12"/>
  <c r="H15" i="12"/>
  <c r="H11" i="12"/>
  <c r="H25" i="12"/>
  <c r="H22" i="12"/>
  <c r="H14" i="12"/>
  <c r="H24" i="12"/>
  <c r="E127" i="13"/>
  <c r="E283" i="13"/>
  <c r="E10" i="13"/>
  <c r="D9" i="12"/>
  <c r="H9" i="12"/>
  <c r="E216" i="13"/>
  <c r="E174" i="13"/>
  <c r="H17" i="12"/>
  <c r="H23" i="11"/>
  <c r="H8" i="12"/>
  <c r="D98" i="9"/>
  <c r="E97" i="9"/>
  <c r="Q14" i="3"/>
  <c r="R21" i="3"/>
  <c r="R22" i="3"/>
  <c r="E104" i="9"/>
  <c r="D51" i="9"/>
  <c r="H15" i="11"/>
  <c r="E51" i="9"/>
  <c r="D99" i="9"/>
  <c r="E99" i="9"/>
  <c r="E98" i="9"/>
  <c r="D109" i="9"/>
  <c r="D56" i="9"/>
  <c r="D22" i="9"/>
  <c r="D21" i="9"/>
  <c r="R14" i="3"/>
  <c r="E56" i="9"/>
  <c r="E109" i="9"/>
  <c r="E21" i="9"/>
  <c r="D24" i="9"/>
  <c r="E22" i="9"/>
  <c r="D25" i="9"/>
  <c r="D29" i="9"/>
  <c r="D30" i="9"/>
  <c r="D31" i="9"/>
  <c r="E24" i="9"/>
  <c r="E25" i="9"/>
  <c r="E29" i="9"/>
  <c r="E30" i="9"/>
  <c r="E31" i="9"/>
  <c r="I23" i="11"/>
  <c r="D18" i="12"/>
  <c r="H18" i="12"/>
  <c r="D32" i="9"/>
  <c r="D34" i="9"/>
  <c r="E34" i="9"/>
  <c r="F9" i="12"/>
  <c r="E9" i="12"/>
  <c r="D28" i="12"/>
  <c r="H28" i="12"/>
  <c r="D103" i="9"/>
  <c r="D105" i="9"/>
  <c r="E103" i="9"/>
  <c r="E50" i="9"/>
  <c r="H22" i="11"/>
  <c r="D50" i="9"/>
  <c r="D37" i="9"/>
  <c r="E37" i="9"/>
  <c r="E32" i="9"/>
  <c r="H16" i="11"/>
  <c r="H17" i="11"/>
  <c r="H21" i="11"/>
  <c r="D30" i="12"/>
  <c r="H30" i="12"/>
  <c r="E105" i="9"/>
  <c r="D100" i="9"/>
  <c r="E100" i="9"/>
  <c r="E120" i="9"/>
  <c r="D120" i="9"/>
  <c r="D67" i="9"/>
  <c r="E67" i="9"/>
  <c r="D52" i="9"/>
  <c r="E52" i="9"/>
  <c r="I22" i="11"/>
  <c r="I21" i="11"/>
  <c r="I16" i="11"/>
  <c r="I17" i="11"/>
  <c r="I11" i="11"/>
  <c r="I15" i="11"/>
  <c r="I14" i="11"/>
  <c r="H18" i="11"/>
  <c r="E111" i="9"/>
  <c r="D111" i="9"/>
  <c r="E58" i="9"/>
  <c r="H28" i="11"/>
  <c r="D58" i="9"/>
  <c r="H24" i="11"/>
  <c r="I18" i="11"/>
  <c r="I24" i="11"/>
  <c r="H25" i="11"/>
  <c r="I28" i="11"/>
  <c r="E113" i="9"/>
  <c r="D113" i="9"/>
  <c r="E60" i="9"/>
  <c r="I25" i="11"/>
  <c r="D60" i="9"/>
  <c r="H30" i="11"/>
  <c r="I30" i="11"/>
  <c r="H29" i="11"/>
  <c r="I29" i="11"/>
  <c r="H31" i="11"/>
  <c r="E115" i="9"/>
  <c r="D115" i="9"/>
  <c r="E62" i="9"/>
  <c r="I31" i="11"/>
  <c r="D62" i="9"/>
  <c r="D116" i="9"/>
  <c r="D124" i="9"/>
  <c r="D127" i="9"/>
  <c r="D121" i="9"/>
  <c r="D122" i="9"/>
  <c r="E116" i="9"/>
  <c r="E121" i="9"/>
  <c r="E63" i="9"/>
  <c r="E68" i="9"/>
  <c r="D68" i="9"/>
  <c r="D63" i="9"/>
  <c r="E122" i="9"/>
  <c r="E124" i="9"/>
  <c r="E71" i="9"/>
  <c r="E74" i="9"/>
  <c r="E69" i="9"/>
  <c r="D69" i="9"/>
  <c r="D71" i="9"/>
  <c r="D74" i="9"/>
  <c r="E12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3" authorId="1" shapeId="0" xr:uid="{9BE1A9AB-CE54-414A-94AA-9E603AA5E126}">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4" authorId="1" shapeId="0" xr:uid="{FEC23882-F983-3940-8D1B-F2EC8AD85F95}">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5" authorId="1" shapeId="0" xr:uid="{DAA6B88E-9EA2-5F4D-BE94-4E67F8B28148}">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6" authorId="1" shapeId="0" xr:uid="{3DDF1C94-C53A-354F-BD2C-FF67A26928E8}">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Calibri"/>
            <family val="2"/>
            <scheme val="minor"/>
          </rPr>
          <t xml:space="preserve">*  Preliminary. All indexes are subject to revision four months after original publication.
</t>
        </r>
      </text>
    </comment>
    <comment ref="E51" authorId="0" shapeId="0" xr:uid="{BC2C7D38-A7EA-1949-9B99-3A56A384CADF}">
      <text>
        <r>
          <rPr>
            <sz val="11"/>
            <color indexed="8"/>
            <rFont val="Calibri"/>
            <family val="2"/>
            <scheme val="minor"/>
          </rPr>
          <t xml:space="preserve">*  Preliminary. All indexes are subject to revision four months after original publication.
</t>
        </r>
      </text>
    </comment>
    <comment ref="F51" authorId="0" shapeId="0" xr:uid="{786BAEBD-6C1E-F545-AFCA-A09E0549E4C6}">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<sst xmlns="http://schemas.openxmlformats.org/spreadsheetml/2006/main" count="7440" uniqueCount="1868">
  <si>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</si>
  <si>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</si>
  <si>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</si>
  <si>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</si>
  <si>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</si>
  <si>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</si>
  <si>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</si>
  <si>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</si>
  <si>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</si>
  <si>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</si>
  <si>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</si>
  <si>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</si>
  <si>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</si>
  <si>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</si>
  <si>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</si>
  <si>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</si>
  <si>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</si>
  <si>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</si>
  <si>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</si>
  <si>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</si>
  <si>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</si>
  <si>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</si>
  <si>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</si>
  <si>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</si>
  <si>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</si>
  <si>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</si>
  <si>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</si>
  <si>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</si>
  <si>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</si>
  <si>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</si>
  <si>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</si>
  <si>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</si>
  <si>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</si>
  <si>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</si>
  <si>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</si>
  <si>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</si>
  <si>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</si>
  <si>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</si>
  <si>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</si>
  <si>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</si>
  <si>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</si>
  <si>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</si>
  <si>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</si>
  <si>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</si>
  <si>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</si>
  <si>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</si>
  <si>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</si>
  <si>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</si>
  <si>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</si>
  <si>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</si>
  <si>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</si>
  <si>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</si>
  <si>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</si>
  <si>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</si>
  <si>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</si>
  <si>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</si>
  <si>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</si>
  <si>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</si>
  <si>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</si>
  <si>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</si>
  <si>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</si>
  <si>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</si>
  <si>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</si>
  <si>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</si>
  <si>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</si>
  <si>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</si>
  <si>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</si>
  <si>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</si>
  <si>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</si>
  <si>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</si>
  <si>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</si>
  <si>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</si>
  <si>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</si>
  <si>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</si>
  <si>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</si>
  <si>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</si>
  <si>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</si>
  <si>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</si>
  <si>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</si>
  <si>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</si>
  <si>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</si>
  <si>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</si>
  <si>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</si>
  <si>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</si>
  <si>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</si>
  <si>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</si>
  <si>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</si>
  <si>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</si>
  <si>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</si>
  <si>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</si>
  <si>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</si>
  <si>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</si>
  <si>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</si>
  <si>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</si>
  <si>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</si>
  <si>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</si>
  <si>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</si>
  <si>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</si>
  <si>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</si>
  <si>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</si>
  <si>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</si>
  <si>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</si>
  <si>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</si>
  <si>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</si>
  <si>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</si>
  <si>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</si>
  <si>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</si>
  <si>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</si>
  <si>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</si>
  <si>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</si>
  <si>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</si>
  <si>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</si>
  <si>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</si>
  <si>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</si>
  <si>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</si>
  <si>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</si>
  <si>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</si>
  <si>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</si>
  <si>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</si>
  <si>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</si>
  <si>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</si>
  <si>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</si>
  <si>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</si>
  <si>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</si>
  <si>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</si>
  <si>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</si>
  <si>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</si>
  <si>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</si>
  <si>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</si>
  <si>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</si>
  <si>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</si>
  <si>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</si>
  <si>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</si>
  <si>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</si>
  <si>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</si>
  <si>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</si>
  <si>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</si>
  <si>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</si>
  <si>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</si>
  <si>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</si>
  <si>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</si>
  <si>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</si>
  <si>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</si>
  <si>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</si>
  <si>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</si>
  <si>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</si>
  <si>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</si>
  <si>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</si>
  <si>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</si>
  <si>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</si>
  <si>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</si>
  <si>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</si>
  <si>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</si>
  <si>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</si>
  <si>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</si>
  <si>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</si>
  <si>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</si>
  <si>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</si>
  <si>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</si>
  <si>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</si>
  <si>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</si>
  <si>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</si>
  <si>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</si>
  <si>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</si>
  <si>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</si>
  <si>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</si>
  <si>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</si>
  <si>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</si>
  <si>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</si>
  <si>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</si>
  <si>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</si>
  <si>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</si>
  <si>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</si>
  <si>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</si>
  <si>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</si>
  <si>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</si>
  <si>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</si>
  <si>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</si>
  <si>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</si>
  <si>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</si>
  <si>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</si>
  <si>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</si>
  <si>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</si>
  <si>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</si>
  <si>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</si>
  <si>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</si>
  <si>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</si>
  <si>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</si>
  <si>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</si>
  <si>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</si>
  <si>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</si>
  <si>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</si>
  <si>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</si>
  <si>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</si>
  <si>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</si>
  <si>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</si>
  <si>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</si>
  <si>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</si>
  <si>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</si>
  <si>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</si>
  <si>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</si>
  <si>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</si>
  <si>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</si>
  <si>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</si>
  <si>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</si>
  <si>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</si>
  <si>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</si>
  <si>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</si>
  <si>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</si>
  <si>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</si>
  <si>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</si>
  <si>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</si>
  <si>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</si>
  <si>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</si>
  <si>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</si>
  <si>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</si>
  <si>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</si>
  <si>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</si>
  <si>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</si>
  <si>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</si>
  <si>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</si>
  <si>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</si>
  <si>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</si>
  <si>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</si>
  <si>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</si>
  <si>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</si>
  <si>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</si>
  <si>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</si>
  <si>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</si>
  <si>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</si>
  <si>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</si>
  <si>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</si>
  <si>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</si>
  <si>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</si>
  <si>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</si>
  <si>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</si>
  <si>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</si>
  <si>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</si>
  <si>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</si>
  <si>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</si>
  <si>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</si>
  <si>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</si>
  <si>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</si>
  <si>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</si>
  <si>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</si>
  <si>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</si>
  <si>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</si>
  <si>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</si>
  <si>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</si>
  <si>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</si>
  <si>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</si>
  <si>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</si>
  <si>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</si>
  <si>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</si>
  <si>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</si>
  <si>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</si>
  <si>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</si>
  <si>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</si>
  <si>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</si>
  <si>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</si>
  <si>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</si>
  <si>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</si>
  <si>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</si>
  <si>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</si>
  <si>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</si>
  <si>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</si>
  <si>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</si>
  <si>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</si>
  <si>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</si>
  <si>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</si>
  <si>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</si>
  <si>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</si>
  <si>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</si>
  <si>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</si>
  <si>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</si>
  <si>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</si>
  <si>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</si>
  <si>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</si>
  <si>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</si>
  <si>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</si>
  <si>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</si>
  <si>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</si>
  <si>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</si>
  <si>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</si>
  <si>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</si>
  <si>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</si>
  <si>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</si>
  <si>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</si>
  <si>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</si>
  <si>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</si>
  <si>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</si>
  <si>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</si>
  <si>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</si>
  <si>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</si>
  <si>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</si>
  <si>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</si>
  <si>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</si>
  <si>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</si>
  <si>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</si>
  <si>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</si>
  <si>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</si>
  <si>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</si>
  <si>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</si>
  <si>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</si>
  <si>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</si>
  <si>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</si>
  <si>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</si>
  <si>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</si>
  <si>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</si>
  <si>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</si>
  <si>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</si>
  <si>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</si>
  <si>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</si>
  <si>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</si>
  <si>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</si>
  <si>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</si>
  <si>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</si>
  <si>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</si>
  <si>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</si>
  <si>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</si>
  <si>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</si>
  <si>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</si>
  <si>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</si>
  <si>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</si>
  <si>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</si>
  <si>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</si>
  <si>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</si>
  <si>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</si>
  <si>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</si>
  <si>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</si>
  <si>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</si>
  <si>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</si>
  <si>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</si>
  <si>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</si>
  <si>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</si>
  <si>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</si>
  <si>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</si>
  <si>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</si>
  <si>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</si>
  <si>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</si>
  <si>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</si>
  <si>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</si>
  <si>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</si>
  <si>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</si>
  <si>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</si>
  <si>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</si>
  <si>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</si>
  <si>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</si>
  <si>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</si>
  <si>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</si>
  <si>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</si>
  <si>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</si>
  <si>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</si>
  <si>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</si>
  <si>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</si>
  <si>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</si>
  <si>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</si>
  <si>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</si>
  <si>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</si>
  <si>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</si>
  <si>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</si>
  <si>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</si>
  <si>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</si>
  <si>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</si>
  <si>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</si>
  <si>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</si>
  <si>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</si>
  <si>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</si>
  <si>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</si>
  <si>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</si>
  <si>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</si>
  <si>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</si>
  <si>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</si>
  <si>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</si>
  <si>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</si>
  <si>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</si>
  <si>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</si>
  <si>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</si>
  <si>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</si>
  <si>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</si>
  <si>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</si>
  <si>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</si>
  <si>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</si>
  <si>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</si>
  <si>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</si>
  <si>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</si>
  <si>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</si>
  <si>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</si>
  <si>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</si>
  <si>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</si>
  <si>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</si>
  <si>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</si>
  <si>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</si>
  <si>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</si>
  <si>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</si>
  <si>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</si>
  <si>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</si>
  <si>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</si>
  <si>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</si>
  <si>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</si>
  <si>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</si>
  <si>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</si>
  <si>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</si>
  <si>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</si>
  <si>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</si>
  <si>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</si>
  <si>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</si>
  <si>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</si>
  <si>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</si>
  <si>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</si>
  <si>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</si>
  <si>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</si>
  <si>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</si>
  <si>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</si>
  <si>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</si>
  <si>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</si>
  <si>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</si>
  <si>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</si>
  <si>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</si>
  <si>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</si>
  <si>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</si>
  <si>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</si>
  <si>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</si>
  <si>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</si>
  <si>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</si>
  <si>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</si>
  <si>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</si>
  <si>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</si>
  <si>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</si>
  <si>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</si>
  <si>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</si>
  <si>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</si>
  <si>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</si>
  <si>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</si>
  <si>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</si>
  <si>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</si>
  <si>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</si>
  <si>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</si>
  <si>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</si>
  <si>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</si>
  <si>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</si>
  <si>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</si>
  <si>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</si>
  <si>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</si>
  <si>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</si>
  <si>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</si>
  <si>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</si>
  <si>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</si>
  <si>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</si>
  <si>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</si>
  <si>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</si>
  <si>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</si>
  <si>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</si>
  <si>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</si>
  <si>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</si>
  <si>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</si>
  <si>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</si>
  <si>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</si>
  <si>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</si>
  <si>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</si>
  <si>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</si>
  <si>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</si>
  <si>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</si>
  <si>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</si>
  <si>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</si>
  <si>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</si>
  <si>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</si>
  <si>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</si>
  <si>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</si>
  <si>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</si>
  <si>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</si>
  <si>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</si>
  <si>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</si>
  <si>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</si>
  <si>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</si>
  <si>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</si>
  <si>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</si>
  <si>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</si>
  <si>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</si>
  <si>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</si>
  <si>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</si>
  <si>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</si>
  <si>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</si>
  <si>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</si>
  <si>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</si>
  <si>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</si>
  <si>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</si>
  <si>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</si>
  <si>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</si>
  <si>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</si>
  <si>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</si>
  <si>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</si>
  <si>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</si>
  <si>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</si>
  <si>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</si>
  <si>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</si>
  <si>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</si>
  <si>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</si>
  <si>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</si>
  <si>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</si>
  <si>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</si>
  <si>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</si>
  <si>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</si>
  <si>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</si>
  <si>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</si>
  <si>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</si>
  <si>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</si>
  <si>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</si>
  <si>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</si>
  <si>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</si>
  <si>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</si>
  <si>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</si>
  <si>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</si>
  <si>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</si>
  <si>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</si>
  <si>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</si>
  <si>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</si>
  <si>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</si>
  <si>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</si>
  <si>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</si>
  <si>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</si>
  <si>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</si>
  <si>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</si>
  <si>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</si>
  <si>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</si>
  <si>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</si>
  <si>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</si>
  <si>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</si>
  <si>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</si>
  <si>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</si>
  <si>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</si>
  <si>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</si>
  <si>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</si>
  <si>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</si>
  <si>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</si>
  <si>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</si>
  <si>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</si>
  <si>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</si>
  <si>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</si>
  <si>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</si>
  <si>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</si>
  <si>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</si>
  <si>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</si>
  <si>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</si>
  <si>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</si>
  <si>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</si>
  <si>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</si>
  <si>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</si>
  <si>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</si>
  <si>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</si>
  <si>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</si>
  <si>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</si>
  <si>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</si>
  <si>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</si>
  <si>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</si>
  <si>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</si>
  <si>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</si>
  <si>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</si>
  <si>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</si>
  <si>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</si>
  <si>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</si>
  <si>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</si>
  <si>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</si>
  <si>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</si>
  <si>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</si>
  <si>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</si>
  <si>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</si>
  <si>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</si>
  <si>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</si>
  <si>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</si>
  <si>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</si>
  <si>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</si>
  <si>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</si>
  <si>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</si>
  <si>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</si>
  <si>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</si>
  <si>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</si>
  <si>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</si>
  <si>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</si>
  <si>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</si>
  <si>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</si>
  <si>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</si>
  <si>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</si>
  <si>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</si>
  <si>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</si>
  <si>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</si>
  <si>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</si>
  <si>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</si>
  <si>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</si>
  <si>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</si>
  <si>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</si>
  <si>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</si>
  <si>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</si>
  <si>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</si>
  <si>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</si>
  <si>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</si>
  <si>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</si>
  <si>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</si>
  <si>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</si>
  <si>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</si>
  <si>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</si>
  <si>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</si>
  <si>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</si>
  <si>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</si>
  <si>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</si>
  <si>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</si>
  <si>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</si>
  <si>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</si>
  <si>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</si>
  <si>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</si>
  <si>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</si>
  <si>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</si>
  <si>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</si>
  <si>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</si>
  <si>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</si>
  <si>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</si>
  <si>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</si>
  <si>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</si>
  <si>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</si>
  <si>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</si>
  <si>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</si>
  <si>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</si>
  <si>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</si>
  <si>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</si>
  <si>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</si>
  <si>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</si>
  <si>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</si>
  <si>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</si>
  <si>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</si>
  <si>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</si>
  <si>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</si>
  <si>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</si>
  <si>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</si>
  <si>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</si>
  <si>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</si>
  <si>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</si>
  <si>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</si>
  <si>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</si>
  <si>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</si>
  <si>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</si>
  <si>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</si>
  <si>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</si>
  <si>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</si>
  <si>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</si>
  <si>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</si>
  <si>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</si>
  <si>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</si>
  <si>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</si>
  <si>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</si>
  <si>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</si>
  <si>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</si>
  <si>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</si>
  <si>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</si>
  <si>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</si>
  <si>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</si>
  <si>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</si>
  <si>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</si>
  <si>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</si>
  <si>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</si>
  <si>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</si>
  <si>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</si>
  <si>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</si>
  <si>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</si>
  <si>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</si>
  <si>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</si>
  <si>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</si>
  <si>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</si>
  <si>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</si>
  <si>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</si>
  <si>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</si>
  <si>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</si>
  <si>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</si>
  <si>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</si>
  <si>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</si>
  <si>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</si>
  <si>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</si>
  <si>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</si>
  <si>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</si>
  <si>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</si>
  <si>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</si>
  <si>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</si>
  <si>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</si>
  <si>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</si>
  <si>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</si>
  <si>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</si>
  <si>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</si>
  <si>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</si>
  <si>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</si>
  <si>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</si>
  <si>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</si>
  <si>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</si>
  <si>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</si>
  <si>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</si>
  <si>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</si>
  <si>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</si>
  <si>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</si>
  <si>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</si>
  <si>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</si>
  <si>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</si>
  <si>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</si>
  <si>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</si>
  <si>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</si>
  <si>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</si>
  <si>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</si>
  <si>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</si>
  <si>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</si>
  <si>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</si>
  <si>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</si>
  <si>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</si>
  <si>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</si>
  <si>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</si>
  <si>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</si>
  <si>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</si>
  <si>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</si>
  <si>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</si>
  <si>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</si>
  <si>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</si>
  <si>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</si>
  <si>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</si>
  <si>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</si>
  <si>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</si>
  <si>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</si>
  <si>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</si>
  <si>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</si>
  <si>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</si>
  <si>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</si>
  <si>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</si>
  <si>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</si>
  <si>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</si>
  <si>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</si>
  <si>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</si>
  <si>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</si>
  <si>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</si>
  <si>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</si>
  <si>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</si>
  <si>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</si>
  <si>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</si>
  <si>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</si>
  <si>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</si>
  <si>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</si>
  <si>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</si>
  <si>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</si>
  <si>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</si>
  <si>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</si>
  <si>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</si>
  <si>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</si>
  <si>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</si>
  <si>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</si>
  <si>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</si>
  <si>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</si>
  <si>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</si>
  <si>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</si>
  <si>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</si>
  <si>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</si>
  <si>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</si>
  <si>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</si>
  <si>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</si>
  <si>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</si>
  <si>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</si>
  <si>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</si>
  <si>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</si>
  <si>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</si>
  <si>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</si>
  <si>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</si>
  <si>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</si>
  <si>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</si>
  <si>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</si>
  <si>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</si>
  <si>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</si>
  <si>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</si>
  <si>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</si>
  <si>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</si>
  <si>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</si>
  <si>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</si>
  <si>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</si>
  <si>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</si>
  <si>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</si>
  <si>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</si>
  <si>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</si>
  <si>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</si>
  <si>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</si>
  <si>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</si>
  <si>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</si>
  <si>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</si>
  <si>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</si>
  <si>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</si>
  <si>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</si>
  <si>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</si>
  <si>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</si>
  <si>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</si>
  <si>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</si>
  <si>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</si>
  <si>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</si>
  <si>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</si>
  <si>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</si>
  <si>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</si>
  <si>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</si>
  <si>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</si>
  <si>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</si>
  <si>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</si>
  <si>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</si>
  <si>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</si>
  <si>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</si>
  <si>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</si>
  <si>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</si>
  <si>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</si>
  <si>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</si>
  <si>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</si>
  <si>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</si>
  <si>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</si>
  <si>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</si>
  <si>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</si>
  <si>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</si>
  <si>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</si>
  <si>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</si>
  <si>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</si>
  <si>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</si>
  <si>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</si>
  <si>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</si>
  <si>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</si>
  <si>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</si>
  <si>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</si>
  <si>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</si>
  <si>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</si>
  <si>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</si>
  <si>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</si>
  <si>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</si>
  <si>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</si>
  <si>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</si>
  <si>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</si>
  <si>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</si>
  <si>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</si>
  <si>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</si>
  <si>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</si>
  <si>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</si>
  <si>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</si>
  <si>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</si>
  <si>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</si>
  <si>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</si>
  <si>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</si>
  <si>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</si>
  <si>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</si>
  <si>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</si>
  <si>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</si>
  <si>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</si>
  <si>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</si>
  <si>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</si>
  <si>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</si>
  <si>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</si>
  <si>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</si>
  <si>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</si>
  <si>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</si>
  <si>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</si>
  <si>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</si>
  <si>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</si>
  <si>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</si>
  <si>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</si>
  <si>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</si>
  <si>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</si>
  <si>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</si>
  <si>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</si>
  <si>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</si>
  <si>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</si>
  <si>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</si>
  <si>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</si>
  <si>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</si>
  <si>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</si>
  <si>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</si>
  <si>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</si>
  <si>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</si>
  <si>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</si>
  <si>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</si>
  <si>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</si>
  <si>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</si>
  <si>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</si>
  <si>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</si>
  <si>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</si>
  <si>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</si>
  <si>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</si>
  <si>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</si>
  <si>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</si>
  <si>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</si>
  <si>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</si>
  <si>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</si>
  <si>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</si>
  <si>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</si>
  <si>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</si>
  <si>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</si>
  <si>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</si>
  <si>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</si>
  <si>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</si>
  <si>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</si>
  <si>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</si>
  <si>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</si>
  <si>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</si>
  <si>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</si>
  <si>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</si>
  <si>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</si>
  <si>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</si>
  <si>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</si>
  <si>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</si>
  <si>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</si>
  <si>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</si>
  <si>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</si>
  <si>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</si>
  <si>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</si>
  <si>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</si>
  <si>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</si>
  <si>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</si>
  <si>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</si>
  <si>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</si>
  <si>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</si>
  <si>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</si>
  <si>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</si>
  <si>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</si>
  <si>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</si>
  <si>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</si>
  <si>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</si>
  <si>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</si>
  <si>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</si>
  <si>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</si>
  <si>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</si>
  <si>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</si>
  <si>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</si>
  <si>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</si>
  <si>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</si>
  <si>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</si>
  <si>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</si>
  <si>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</si>
  <si>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</si>
  <si>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</si>
  <si>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</si>
  <si>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</si>
  <si>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</si>
  <si>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</si>
  <si>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</si>
  <si>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</si>
  <si>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</si>
  <si>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</si>
  <si>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</si>
  <si>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</si>
  <si>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</si>
  <si>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</si>
  <si>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</si>
  <si>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</si>
  <si>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</si>
  <si>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</si>
  <si>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</si>
  <si>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</si>
  <si>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</si>
  <si>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</si>
  <si>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</si>
  <si>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</si>
  <si>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</si>
  <si>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</si>
  <si>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</si>
  <si>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</si>
  <si>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</si>
  <si>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</si>
  <si>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</si>
  <si>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</si>
  <si>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</si>
  <si>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</si>
  <si>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</si>
  <si>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</si>
  <si>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</si>
  <si>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</si>
  <si>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</si>
  <si>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</si>
  <si>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</si>
  <si>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</si>
  <si>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</si>
  <si>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</si>
  <si>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</si>
  <si>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</si>
  <si>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</si>
  <si>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</si>
  <si>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</si>
  <si>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</si>
  <si>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</si>
  <si>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</si>
  <si>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</si>
  <si>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</si>
  <si>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</si>
  <si>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</si>
  <si>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</si>
  <si>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</si>
  <si>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</si>
  <si>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</si>
  <si>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</si>
  <si>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</si>
  <si>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</si>
  <si>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</si>
  <si>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</si>
  <si>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</si>
  <si>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</si>
  <si>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</si>
  <si>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</si>
  <si>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</si>
  <si>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</si>
  <si>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</si>
  <si>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</si>
  <si>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</si>
  <si>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</si>
  <si>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</si>
  <si>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</si>
  <si>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</si>
  <si>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</si>
  <si>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</si>
  <si>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</si>
  <si>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</si>
  <si>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</si>
  <si>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</si>
  <si>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</si>
  <si>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</si>
  <si>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</si>
  <si>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</si>
  <si>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</si>
  <si>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</si>
  <si>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</si>
  <si>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</si>
  <si>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</si>
  <si>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</si>
  <si>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</si>
  <si>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</si>
  <si>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</si>
  <si>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</si>
  <si>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</si>
  <si>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</si>
  <si>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</si>
  <si>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</si>
  <si>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</si>
  <si>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</si>
  <si>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</si>
  <si>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</si>
  <si>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</si>
  <si>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</si>
  <si>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</si>
  <si>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</si>
  <si>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</si>
  <si>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</si>
  <si>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</si>
  <si>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</si>
  <si>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</si>
  <si>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</si>
  <si>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</si>
  <si>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</si>
  <si>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</si>
  <si>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</si>
  <si>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</si>
  <si>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</si>
  <si>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</si>
  <si>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</si>
  <si>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</si>
  <si>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</si>
  <si>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</si>
  <si>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</si>
  <si>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</si>
  <si>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</si>
  <si>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</si>
  <si>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</si>
  <si>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</si>
  <si>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</si>
  <si>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</si>
  <si>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</si>
  <si>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</si>
  <si>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</si>
  <si>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</si>
  <si>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</si>
  <si>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</si>
  <si>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</si>
  <si>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</si>
  <si>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</si>
  <si>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</si>
  <si>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</si>
  <si>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</si>
  <si>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</si>
  <si>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</si>
  <si>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</si>
  <si>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</si>
  <si>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</si>
  <si>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</si>
  <si>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</si>
  <si>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</si>
  <si>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</si>
  <si>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</si>
  <si>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</si>
  <si>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</si>
  <si>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</si>
  <si>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</si>
  <si>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</si>
  <si>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</si>
  <si>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</si>
  <si>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</si>
  <si>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</si>
  <si>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</si>
  <si>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</si>
  <si>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</si>
  <si>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</si>
  <si>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</si>
  <si>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</si>
  <si>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</si>
  <si>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</si>
  <si>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</si>
  <si>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</si>
  <si>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</si>
  <si>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</si>
  <si>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</si>
  <si>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</si>
  <si>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</si>
  <si>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</si>
  <si>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</si>
  <si>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</si>
  <si>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</si>
  <si>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</si>
  <si>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</si>
  <si>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</si>
  <si>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</si>
  <si>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</si>
  <si>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</si>
  <si>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</si>
  <si>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</si>
  <si>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</si>
  <si>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</si>
  <si>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</si>
  <si>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</si>
  <si>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</si>
  <si>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</si>
  <si>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</si>
  <si>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</si>
  <si>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</si>
  <si>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</si>
  <si>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</si>
  <si>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</si>
  <si>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</si>
  <si>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</si>
  <si>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</si>
  <si>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</si>
  <si>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</si>
  <si>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</si>
  <si>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</si>
  <si>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</si>
  <si>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</si>
  <si>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</si>
  <si>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</si>
  <si>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</si>
  <si>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</si>
  <si>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</si>
  <si>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</si>
  <si>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</si>
  <si>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</si>
  <si>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</si>
  <si>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</si>
  <si>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</si>
  <si>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</si>
  <si>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</si>
  <si>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</si>
  <si>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</si>
  <si>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</si>
  <si>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</si>
  <si>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</si>
  <si>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</si>
  <si>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</si>
  <si>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</si>
  <si>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</si>
  <si>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</si>
  <si>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</si>
  <si>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</si>
  <si>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</si>
  <si>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</si>
  <si>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</si>
  <si>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</si>
  <si>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</si>
  <si>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</si>
  <si>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</si>
  <si>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</si>
  <si>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</si>
  <si>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</si>
  <si>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</si>
  <si>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</si>
  <si>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</si>
  <si>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</si>
  <si>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</si>
  <si>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</si>
  <si>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</si>
  <si>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</si>
  <si>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</si>
  <si>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</si>
  <si>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</si>
  <si>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</si>
  <si>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</si>
  <si>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</si>
  <si>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</si>
  <si>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</si>
  <si>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</si>
  <si>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</si>
  <si>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</si>
  <si>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</si>
  <si>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</si>
  <si>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</si>
  <si>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</si>
  <si>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</si>
  <si>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</si>
  <si>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</si>
  <si>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</si>
  <si>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</si>
  <si>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</si>
  <si>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</si>
  <si>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</si>
  <si>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</si>
  <si>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</si>
  <si>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</si>
  <si>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</si>
  <si>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</si>
  <si>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</si>
  <si>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</si>
  <si>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</si>
  <si>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</si>
  <si>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</si>
  <si>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</si>
  <si>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</si>
  <si>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</si>
  <si>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</si>
  <si>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</si>
  <si>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</si>
  <si>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</si>
  <si>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</si>
  <si>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</si>
  <si>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</si>
  <si>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</si>
  <si>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</si>
  <si>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</si>
  <si>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</si>
  <si>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</si>
  <si>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</si>
  <si>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</si>
  <si>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</si>
  <si>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</si>
  <si>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</si>
  <si>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</si>
  <si>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</si>
  <si>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</si>
  <si>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</si>
  <si>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</si>
  <si>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</si>
  <si>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</si>
  <si>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</si>
  <si>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</si>
  <si>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</si>
  <si>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</si>
  <si>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</si>
  <si>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</si>
  <si>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</si>
  <si>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</si>
  <si>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</si>
  <si>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</si>
  <si>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</si>
  <si>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</si>
  <si>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</si>
  <si>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</si>
  <si>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</si>
  <si>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</si>
  <si>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</si>
  <si>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</si>
  <si>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</si>
  <si>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</si>
  <si>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</si>
  <si>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</si>
  <si>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</si>
  <si>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</si>
  <si>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</si>
  <si>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</si>
  <si>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</si>
  <si>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</si>
  <si>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</si>
  <si>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</si>
  <si>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</si>
  <si>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</si>
  <si>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</si>
  <si>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</si>
  <si>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</si>
  <si>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</si>
  <si>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</si>
  <si>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</si>
  <si>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</si>
  <si>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</si>
  <si>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</si>
  <si>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</si>
  <si>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</si>
  <si>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</si>
  <si>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</si>
  <si>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</si>
  <si>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</si>
  <si>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</si>
  <si>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</si>
  <si>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</si>
  <si>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</si>
  <si>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</si>
  <si>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</si>
  <si>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</si>
  <si>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</si>
  <si>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</si>
  <si>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</si>
  <si>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</si>
  <si>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</si>
  <si>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</si>
  <si>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</si>
  <si>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</si>
  <si>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</si>
  <si>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</si>
  <si>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</si>
  <si>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</si>
  <si>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</si>
  <si>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</si>
  <si>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</si>
  <si>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</si>
  <si>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</si>
  <si>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</si>
  <si>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</si>
  <si>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</si>
  <si>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</si>
  <si>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</si>
  <si>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</si>
  <si>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</si>
  <si>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</si>
  <si>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</si>
  <si>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</si>
  <si>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</si>
  <si>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</si>
  <si>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</si>
  <si>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</si>
  <si>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</si>
  <si>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</si>
  <si>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</si>
  <si>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</si>
  <si>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</si>
  <si>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</si>
  <si>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</si>
  <si>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</si>
  <si>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</si>
  <si>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</si>
  <si>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</si>
  <si>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</si>
  <si>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</si>
  <si>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</si>
  <si>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</si>
  <si>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</si>
  <si>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</si>
  <si>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</si>
  <si>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</si>
  <si>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</si>
  <si>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</si>
  <si>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</si>
  <si>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</si>
  <si>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</si>
  <si>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</si>
  <si>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</si>
  <si>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</si>
  <si>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</si>
  <si>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</si>
  <si>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</si>
  <si>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</si>
  <si>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</si>
  <si>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</si>
  <si>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</si>
  <si>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</si>
  <si>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</si>
  <si>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</si>
  <si>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</si>
  <si>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</si>
  <si>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</si>
  <si>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</si>
  <si>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</si>
  <si>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</si>
  <si>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</si>
  <si>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</si>
  <si>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</si>
  <si>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</si>
  <si>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</si>
  <si>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</si>
  <si>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</si>
  <si>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</si>
  <si>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</si>
  <si>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</si>
  <si>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</si>
  <si>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</si>
  <si>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</si>
  <si>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</si>
  <si>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</si>
  <si>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</si>
  <si>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</si>
  <si>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</si>
  <si>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</si>
  <si>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</si>
  <si>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</si>
  <si>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</si>
  <si>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</si>
  <si>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</si>
  <si>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</si>
  <si>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</si>
  <si>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</si>
  <si>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</si>
  <si>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</si>
  <si>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</si>
  <si>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</si>
  <si>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</si>
  <si>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</si>
  <si>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</si>
  <si>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</si>
  <si>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</si>
  <si>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</si>
  <si>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</si>
  <si>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</si>
  <si>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</si>
  <si>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</si>
  <si>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</si>
  <si>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</si>
  <si>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</si>
  <si>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</si>
  <si>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</si>
  <si>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</si>
  <si>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</si>
  <si>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</si>
  <si>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</si>
  <si>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</si>
  <si>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</si>
  <si>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</si>
  <si>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</si>
  <si>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</si>
  <si>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</si>
  <si>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</si>
  <si>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</si>
  <si>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</si>
  <si>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</si>
  <si>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</si>
  <si>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</si>
  <si>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</si>
  <si>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</si>
  <si>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</si>
  <si>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</si>
  <si>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</si>
  <si>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</si>
  <si>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</si>
  <si>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</si>
  <si>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</si>
  <si>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</si>
  <si>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</si>
  <si>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</si>
  <si>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</si>
  <si>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</si>
  <si>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</si>
  <si>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</si>
  <si>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</si>
  <si>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</si>
  <si>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</si>
  <si>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</si>
  <si>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</si>
  <si>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</si>
  <si>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</si>
  <si>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</si>
  <si>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</si>
  <si>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</si>
  <si>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</si>
  <si>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</si>
  <si>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</si>
  <si>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</si>
  <si>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</si>
  <si>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</si>
  <si>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</si>
  <si>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</si>
  <si>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</si>
  <si>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</si>
  <si>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</si>
  <si>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</si>
  <si>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</si>
  <si>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</si>
  <si>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</si>
  <si>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</si>
  <si>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</si>
  <si>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</si>
  <si>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</si>
  <si>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</si>
  <si>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</si>
  <si>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</si>
  <si>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</si>
  <si>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</si>
  <si>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</si>
  <si>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</si>
  <si>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</si>
  <si>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</si>
  <si>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</si>
  <si>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</si>
  <si>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</si>
  <si>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</si>
  <si>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</si>
  <si>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</si>
  <si>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</si>
  <si>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</si>
  <si>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</si>
  <si>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</si>
  <si>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</si>
  <si>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</si>
  <si>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</si>
  <si>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</si>
  <si>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</si>
  <si>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</si>
  <si>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</si>
  <si>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</si>
  <si>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</si>
  <si>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</si>
  <si>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</si>
  <si>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</si>
  <si>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</si>
  <si>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</si>
  <si>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</si>
  <si>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</si>
  <si>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</si>
  <si>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</si>
  <si>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</si>
  <si>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</si>
  <si>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</si>
  <si>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</si>
  <si>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</si>
  <si>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</si>
  <si>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</si>
  <si>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</si>
  <si>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</si>
  <si>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</si>
  <si>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</si>
  <si>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</si>
  <si>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</si>
  <si>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</si>
  <si>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</si>
  <si>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</si>
  <si>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</si>
  <si>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</si>
  <si>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</si>
  <si>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</si>
  <si>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</si>
  <si>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</si>
  <si>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</si>
  <si>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</si>
  <si>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</si>
  <si>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</si>
  <si>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</si>
  <si>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</si>
  <si>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</si>
  <si>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</si>
  <si>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</si>
  <si>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</si>
  <si>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</si>
  <si>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</si>
  <si>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</si>
  <si>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</si>
  <si>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</si>
  <si>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</si>
  <si>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</si>
  <si>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</si>
  <si>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</si>
  <si>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</si>
  <si>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</si>
  <si>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</si>
  <si>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</si>
  <si>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</si>
  <si>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</si>
  <si>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</si>
  <si>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</si>
  <si>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</si>
  <si>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</si>
  <si>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</si>
  <si>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</si>
  <si>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</si>
  <si>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</si>
  <si>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</si>
  <si>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</si>
  <si>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</si>
  <si>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</si>
  <si>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</si>
  <si>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</si>
  <si>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</si>
  <si>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</si>
  <si>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</si>
  <si>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</si>
  <si>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</si>
  <si>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</si>
  <si>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</si>
  <si>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</si>
  <si>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</si>
  <si>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</si>
  <si>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</si>
  <si>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</si>
  <si>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</si>
  <si>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</si>
  <si>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</si>
  <si>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</si>
  <si>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</si>
  <si>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</si>
  <si>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</si>
  <si>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</si>
  <si>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</si>
  <si>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</si>
  <si>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</si>
  <si>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</si>
  <si>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</si>
  <si>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</si>
  <si>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</si>
  <si>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</si>
  <si>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</si>
  <si>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</si>
  <si>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</si>
  <si>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</si>
  <si>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</si>
  <si>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</si>
  <si>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</si>
  <si>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</si>
  <si>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</si>
  <si>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</si>
  <si>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</si>
  <si>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</si>
  <si>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</si>
  <si>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</si>
  <si>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</si>
  <si>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</si>
  <si>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</si>
  <si>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</si>
  <si>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</si>
  <si>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</si>
  <si>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</si>
  <si>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</si>
  <si>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</si>
  <si>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</si>
  <si>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</si>
  <si>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</si>
  <si>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</si>
  <si>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</si>
  <si>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</si>
  <si>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</si>
  <si>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</si>
  <si>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</si>
  <si>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</si>
  <si>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</si>
  <si>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</si>
  <si>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</si>
  <si>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</si>
  <si>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</si>
  <si>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</si>
  <si>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</si>
  <si>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</si>
  <si>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</si>
  <si>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</si>
  <si>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</si>
  <si>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</si>
  <si>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</si>
  <si>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</si>
  <si>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</si>
  <si>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</si>
  <si>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</si>
  <si>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</si>
  <si>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</si>
  <si>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</si>
  <si>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</si>
  <si>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</si>
  <si>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</si>
  <si>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</si>
  <si>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</si>
  <si>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</si>
  <si>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</si>
  <si>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</si>
  <si>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</si>
  <si>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</si>
  <si>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</si>
  <si>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</si>
  <si>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</si>
  <si>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</si>
  <si>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</si>
  <si>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</si>
  <si>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</si>
  <si>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</si>
  <si>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</si>
  <si>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</si>
  <si>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</si>
  <si>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</si>
  <si>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</si>
  <si>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</si>
  <si>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</si>
  <si>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</si>
  <si>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</si>
  <si>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</si>
  <si>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</si>
  <si>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</si>
  <si>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</si>
  <si>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</si>
  <si>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</si>
  <si>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</si>
  <si>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</si>
  <si>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</si>
  <si>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</si>
  <si>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</si>
  <si>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</si>
  <si>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</si>
  <si>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</si>
  <si>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</si>
  <si>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</si>
  <si>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</si>
  <si>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</si>
  <si>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</si>
  <si>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</si>
  <si>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</si>
  <si>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</si>
  <si>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</si>
  <si>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</si>
  <si>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</si>
  <si>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</si>
  <si>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</si>
  <si>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</si>
  <si>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</si>
  <si>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</si>
  <si>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</si>
  <si>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</si>
  <si>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</si>
  <si>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</si>
  <si>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</si>
  <si>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</si>
  <si>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</si>
  <si>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</si>
  <si>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</si>
  <si>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</si>
  <si>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</si>
  <si>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</si>
  <si>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</si>
  <si>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</si>
  <si>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</si>
  <si>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</si>
  <si>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</si>
  <si>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</si>
  <si>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</si>
  <si>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</si>
  <si>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</si>
  <si>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</si>
  <si>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</si>
  <si>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t>other). The 5a Outputs sheet displays both separate outputs from each method</t>
  </si>
  <si>
    <t>and a combined output summary.</t>
  </si>
  <si>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</si>
  <si>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</si>
  <si>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</si>
  <si>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</si>
  <si>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</si>
  <si>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</si>
  <si>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</si>
  <si>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</si>
  <si>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</si>
  <si>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</si>
  <si>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</si>
  <si>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</si>
  <si>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</si>
  <si>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</si>
  <si>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</si>
  <si>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</si>
  <si>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</si>
  <si>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</si>
  <si>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</si>
  <si>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</si>
  <si>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</si>
  <si>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</si>
  <si>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</si>
  <si>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</si>
  <si>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</si>
  <si>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</si>
  <si>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</si>
  <si>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</si>
  <si>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</si>
  <si>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</si>
  <si>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</si>
  <si>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</si>
  <si>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</si>
  <si>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</si>
  <si>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</si>
  <si>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</si>
  <si>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</si>
  <si>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</si>
  <si>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</si>
  <si>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</si>
  <si>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</si>
  <si>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</si>
  <si>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</si>
  <si>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</si>
  <si>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</si>
  <si>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</si>
  <si>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</si>
  <si>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</si>
  <si>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</si>
  <si>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</si>
  <si>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</si>
  <si>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</si>
  <si>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</si>
  <si>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</si>
  <si>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</si>
  <si>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</si>
  <si>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</si>
  <si>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</si>
  <si>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</si>
  <si>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</si>
  <si>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</si>
  <si>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</si>
  <si>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</si>
  <si>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</si>
  <si>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</si>
  <si>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</si>
  <si>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</si>
  <si>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</si>
  <si>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</si>
  <si>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</si>
  <si>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</si>
  <si>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</si>
  <si>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</si>
  <si>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</si>
  <si>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</si>
  <si>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</si>
  <si>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</si>
  <si>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</si>
  <si>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</si>
  <si>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</si>
  <si>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</si>
  <si>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</si>
  <si>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</si>
  <si>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Calibri"/>
        <family val="2"/>
        <scheme val="minor"/>
      </rPr>
      <t>When using the combined outputs (both Step Method and CapEx &amp; OpEx Factors, make sure that no steps have been entered in both methods, or this will result in</t>
    </r>
    <r>
      <rPr>
        <b/>
        <sz val="12"/>
        <color theme="1"/>
        <rFont val="Calibri"/>
        <family val="2"/>
        <scheme val="minor"/>
      </rPr>
      <t xml:space="preserve"> </t>
    </r>
    <r>
      <rPr>
        <sz val="12"/>
        <color theme="1"/>
        <rFont val="Calibri"/>
        <family val="2"/>
        <scheme val="minor"/>
      </rPr>
      <t>double-counting,</t>
    </r>
    <r>
      <rPr>
        <b/>
        <sz val="12"/>
        <color theme="1"/>
        <rFont val="Calibri"/>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</si>
  <si>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</si>
  <si>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</si>
  <si>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</si>
  <si>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</si>
  <si>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</si>
  <si>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</si>
  <si>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</si>
  <si>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</si>
  <si>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</si>
  <si>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</si>
  <si>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</si>
  <si>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</si>
  <si>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</si>
  <si>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</si>
  <si>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</si>
  <si>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year</t>
  </si>
  <si>
    <t>Other Materials</t>
  </si>
  <si>
    <t>FCC RE USY</t>
  </si>
  <si>
    <t>Sodium silicate 41 BE</t>
  </si>
  <si>
    <t>Al(OH)3</t>
  </si>
  <si>
    <t>NaOH 50%</t>
  </si>
  <si>
    <t>H2SO4 98%</t>
  </si>
  <si>
    <t>La2O3</t>
  </si>
  <si>
    <t>HCl 31%</t>
  </si>
  <si>
    <t>NH4OH 28%</t>
  </si>
  <si>
    <t>John Super</t>
  </si>
  <si>
    <t>Scaling to Estimate Design Production Rate</t>
  </si>
  <si>
    <t>Inputs at Process Template Production Rate</t>
  </si>
  <si>
    <t>OSBL</t>
  </si>
  <si>
    <t>arbitrary units</t>
  </si>
  <si>
    <t>Zeolite Cost Adders for Aux Equipment</t>
  </si>
  <si>
    <t>aux A</t>
  </si>
  <si>
    <t>aux B</t>
  </si>
  <si>
    <t>FCC auxiliary equipment A: pumps, blowers, sm tanks</t>
  </si>
  <si>
    <t>FCC auxiliary equipment B: storage tanks</t>
  </si>
  <si>
    <t>ZSM-5 auxiliary equipment A: pumps, blowers, sm tanks</t>
  </si>
  <si>
    <t>ZSM-5 auxiliary equipment B: storage tanks</t>
  </si>
  <si>
    <t>install factor</t>
  </si>
  <si>
    <t>Targets 20% of main equipment purchase cost for the FCC process template. Use 10 at 100 M lb/yr scale.</t>
  </si>
  <si>
    <t>Targets 15% of main equipment purchase cost for the ZSM-5 process template. Use 10 at 100 M lb/yr scale.</t>
  </si>
  <si>
    <t>Targets 20% of main equipment purchase cost for the ZSM-5 process template. Use 10 at 100 M lb/yr scale.</t>
  </si>
  <si>
    <t>Targets 15% of main equipment purchase cost for the FCC process template. Use 10 at 100 M lb/yr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</si>
</sst>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 numFmtId="172" formatCode="0.000"/>
  </numFmts>
  <fonts count="67">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Calibri"/>
      <family val="2"/>
      <scheme val="minor"/>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12"/>
      <name val="Calibri"/>
      <family val="2"/>
      <scheme val="minor"/>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3">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6" fillId="0" borderId="6" xfId="0" applyFont="1" applyFill="1" applyBorder="1" applyAlignment="1">
      <alignment horizontal="left"/>
    </xf>
    <xf numFmtId="0" fontId="66" fillId="0" borderId="2" xfId="0" applyFont="1" applyFill="1" applyBorder="1" applyAlignment="1">
      <alignment horizontal="left"/>
    </xf>
    <xf numFmtId="0" fontId="66" fillId="0" borderId="2" xfId="0" applyFont="1" applyFill="1" applyBorder="1"/>
    <xf numFmtId="0" fontId="66" fillId="0" borderId="2" xfId="0" applyFont="1" applyFill="1" applyBorder="1" applyAlignment="1">
      <alignment horizontal="left" vertical="center"/>
    </xf>
    <xf numFmtId="43" fontId="66" fillId="0" borderId="2" xfId="58" applyNumberFormat="1" applyFont="1" applyFill="1" applyBorder="1" applyAlignment="1">
      <alignment horizontal="left"/>
    </xf>
    <xf numFmtId="14" fontId="66" fillId="0" borderId="2" xfId="0" applyNumberFormat="1" applyFont="1" applyFill="1" applyBorder="1"/>
    <xf numFmtId="14" fontId="66" fillId="0" borderId="6" xfId="0" applyNumberFormat="1" applyFont="1" applyFill="1" applyBorder="1"/>
    <xf numFmtId="0" fontId="66" fillId="0" borderId="2" xfId="0" applyNumberFormat="1" applyFont="1" applyFill="1" applyBorder="1"/>
    <xf numFmtId="0" fontId="66" fillId="0" borderId="1" xfId="0" applyNumberFormat="1" applyFont="1" applyFill="1" applyBorder="1"/>
    <xf numFmtId="43" fontId="66" fillId="0" borderId="2" xfId="58" applyFont="1" applyFill="1" applyBorder="1"/>
    <xf numFmtId="43" fontId="66" fillId="0" borderId="2" xfId="58" applyNumberFormat="1" applyFont="1" applyFill="1" applyBorder="1"/>
    <xf numFmtId="172" fontId="0" fillId="6" borderId="0" xfId="0" applyNumberFormat="1" applyFill="1"/>
    <xf numFmtId="0" fontId="0" fillId="0" borderId="0" xfId="0"/>
    <xf numFmtId="0" fontId="0" fillId="0" borderId="0" xfId="0"/>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9" fillId="5" borderId="30" xfId="0" applyFont="1" applyFill="1" applyBorder="1" applyAlignment="1">
      <alignment horizontal="center"/>
    </xf>
    <xf numFmtId="0" fontId="29" fillId="6" borderId="30" xfId="0"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4" fillId="6" borderId="17" xfId="0" applyFont="1" applyFill="1" applyBorder="1" applyAlignment="1">
      <alignment horizontal="center" vertic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16">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73"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173"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9" totalsRowShown="0" headerRowDxfId="107" dataDxfId="106">
  <autoFilter ref="A15:AM629" xr:uid="{00000000-0009-0000-0100-000006000000}"/>
  <sortState xmlns:xlrd2="http://schemas.microsoft.com/office/spreadsheetml/2017/richdata2"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xmlns:xlrd2="http://schemas.microsoft.com/office/spreadsheetml/2017/richdata2"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xmlns:xlrd2="http://schemas.microsoft.com/office/spreadsheetml/2017/richdata2"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workbookViewId="0"/>
  </sheetViews>
  <sheetFormatPr defaultColWidth="11" defaultRowHeight="15.75"/>
  <cols>
    <col min="1" max="2" width="2.5" style="11" customWidth="1"/>
    <col min="3" max="3" width="23.625" style="11" customWidth="1"/>
    <col min="4" max="4" width="11" style="11"/>
    <col min="5" max="5" width="5.875" style="11" bestFit="1" customWidth="1"/>
    <col min="6" max="6" width="2.5" style="11" customWidth="1"/>
    <col min="7" max="7" width="4.375" style="11" customWidth="1"/>
    <col min="8" max="8" width="2.5" style="11" customWidth="1"/>
    <col min="9" max="9" width="4.125" style="11" customWidth="1"/>
    <col min="10" max="10" width="2.5" style="11" customWidth="1"/>
    <col min="11" max="11" width="23.625" style="11" customWidth="1"/>
    <col min="12" max="14" width="9.625" style="11" customWidth="1"/>
    <col min="15" max="15" width="11" style="11"/>
    <col min="16" max="16" width="7.87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0">
      <c r="A2" s="184"/>
      <c r="B2" s="386" t="s">
        <v>1732</v>
      </c>
      <c r="D2" s="184"/>
      <c r="E2" s="184"/>
      <c r="F2" s="184"/>
      <c r="G2" s="184"/>
      <c r="H2" s="184"/>
      <c r="I2" s="184"/>
      <c r="J2" s="184"/>
      <c r="K2" s="184"/>
      <c r="L2" s="184"/>
      <c r="M2" s="184"/>
      <c r="N2" s="184"/>
      <c r="O2" s="184"/>
      <c r="P2" s="184"/>
    </row>
    <row r="3" spans="1:16">
      <c r="A3" s="184"/>
      <c r="B3" s="385" t="s">
        <v>1733</v>
      </c>
      <c r="C3" s="184"/>
      <c r="D3" s="184"/>
      <c r="E3" s="184"/>
      <c r="F3" s="184"/>
      <c r="G3" s="184"/>
      <c r="H3" s="184"/>
      <c r="I3" s="184"/>
      <c r="J3" s="184"/>
      <c r="K3" s="184"/>
      <c r="L3" s="184"/>
      <c r="M3" s="184"/>
      <c r="N3" s="184"/>
      <c r="O3" s="184"/>
      <c r="P3" s="184"/>
    </row>
    <row r="5" spans="1:16" ht="20.25">
      <c r="A5" s="184"/>
      <c r="B5" s="397" t="s">
        <v>1723</v>
      </c>
      <c r="C5" s="397"/>
      <c r="D5" s="398" t="s">
        <v>1724</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25">
      <c r="A7" s="184"/>
      <c r="B7" s="185" t="s">
        <v>1800</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25">
      <c r="A11" s="184"/>
      <c r="B11" s="185" t="s">
        <v>1796</v>
      </c>
      <c r="C11" s="184"/>
      <c r="D11" s="184"/>
      <c r="E11" s="184"/>
      <c r="F11" s="184"/>
      <c r="G11" s="184"/>
      <c r="H11" s="184"/>
      <c r="I11" s="184"/>
      <c r="J11" s="184"/>
      <c r="K11" s="184"/>
      <c r="L11" s="184"/>
      <c r="M11" s="184"/>
      <c r="N11" s="184"/>
      <c r="O11" s="184"/>
      <c r="P11" s="184"/>
    </row>
    <row r="12" spans="1:16" ht="18">
      <c r="A12" s="184"/>
      <c r="B12" s="184"/>
      <c r="C12" s="392" t="s">
        <v>1725</v>
      </c>
      <c r="D12" s="184"/>
      <c r="E12" s="184"/>
      <c r="F12" s="184"/>
      <c r="G12" s="184"/>
      <c r="H12" s="184"/>
      <c r="I12" s="184"/>
      <c r="J12" s="184"/>
      <c r="K12" s="184"/>
      <c r="L12" s="184"/>
      <c r="M12" s="184"/>
      <c r="N12" s="184"/>
      <c r="O12" s="184"/>
      <c r="P12" s="184"/>
    </row>
    <row r="13" spans="1:16" ht="18">
      <c r="A13" s="184"/>
      <c r="B13" s="184"/>
      <c r="C13" s="392" t="s">
        <v>1752</v>
      </c>
      <c r="D13" s="184"/>
      <c r="E13" s="184"/>
      <c r="F13" s="184"/>
      <c r="G13" s="184"/>
      <c r="H13" s="184"/>
      <c r="I13" s="184"/>
      <c r="J13" s="184"/>
      <c r="K13" s="184"/>
      <c r="L13" s="184"/>
      <c r="M13" s="184"/>
      <c r="N13" s="184"/>
      <c r="O13" s="184"/>
      <c r="P13" s="184"/>
    </row>
    <row r="14" spans="1:16" ht="18">
      <c r="A14" s="184"/>
      <c r="B14" s="184"/>
      <c r="C14" s="392" t="s">
        <v>430</v>
      </c>
      <c r="D14" s="184"/>
      <c r="E14" s="184"/>
      <c r="F14" s="184"/>
      <c r="G14" s="184"/>
      <c r="H14" s="184"/>
      <c r="I14" s="184"/>
      <c r="J14" s="184"/>
      <c r="K14" s="184"/>
      <c r="L14" s="184"/>
      <c r="M14" s="184"/>
      <c r="N14" s="184"/>
      <c r="O14" s="184"/>
      <c r="P14" s="184"/>
    </row>
    <row r="15" spans="1:16" ht="18">
      <c r="A15" s="184"/>
      <c r="B15" s="184"/>
      <c r="C15" s="392" t="s">
        <v>1795</v>
      </c>
      <c r="D15" s="184"/>
      <c r="E15" s="184"/>
      <c r="F15" s="184"/>
      <c r="G15" s="184"/>
      <c r="H15" s="184"/>
      <c r="I15" s="184"/>
      <c r="J15" s="184"/>
      <c r="K15" s="184"/>
      <c r="L15" s="184"/>
      <c r="M15" s="184"/>
      <c r="N15" s="184"/>
      <c r="O15" s="184"/>
      <c r="P15" s="184"/>
    </row>
    <row r="16" spans="1:16" ht="18">
      <c r="A16" s="184"/>
      <c r="B16" s="184"/>
      <c r="C16" s="392" t="s">
        <v>1840</v>
      </c>
      <c r="D16" s="184"/>
      <c r="E16" s="184"/>
      <c r="F16" s="184"/>
      <c r="G16" s="184"/>
      <c r="H16" s="184"/>
      <c r="I16" s="184"/>
      <c r="J16" s="184"/>
      <c r="K16" s="184"/>
      <c r="L16" s="184"/>
      <c r="M16" s="184"/>
      <c r="N16" s="184"/>
      <c r="O16" s="184"/>
      <c r="P16" s="184"/>
    </row>
    <row r="17" spans="1:17" ht="18">
      <c r="A17" s="184"/>
      <c r="B17" s="184"/>
      <c r="C17" s="392" t="s">
        <v>1794</v>
      </c>
      <c r="D17" s="184"/>
      <c r="E17" s="184"/>
      <c r="F17" s="184"/>
      <c r="G17" s="184"/>
      <c r="H17" s="184"/>
      <c r="I17" s="184"/>
      <c r="J17" s="184"/>
      <c r="K17" s="184"/>
      <c r="L17" s="184"/>
      <c r="M17" s="184"/>
      <c r="N17" s="184"/>
      <c r="O17" s="184"/>
      <c r="P17" s="184"/>
    </row>
    <row r="18" spans="1:17" ht="16.5" thickBot="1">
      <c r="A18" s="184"/>
      <c r="B18" s="184"/>
      <c r="C18" s="184"/>
      <c r="D18" s="184"/>
      <c r="E18" s="184"/>
      <c r="F18" s="184"/>
      <c r="G18" s="184"/>
      <c r="H18" s="184"/>
      <c r="I18" s="184"/>
      <c r="J18" s="184"/>
      <c r="K18" s="184"/>
      <c r="L18" s="184"/>
      <c r="M18" s="184"/>
      <c r="N18" s="184"/>
      <c r="O18" s="184"/>
      <c r="P18" s="184"/>
    </row>
    <row r="19" spans="1:17" ht="21" thickBot="1">
      <c r="A19" s="184"/>
      <c r="B19" s="422" t="s">
        <v>1725</v>
      </c>
      <c r="C19" s="423"/>
      <c r="D19" s="424"/>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1797</v>
      </c>
      <c r="D21" s="395"/>
      <c r="E21" s="395"/>
      <c r="F21" s="395"/>
      <c r="G21" s="395"/>
      <c r="H21" s="395"/>
      <c r="I21" s="395"/>
      <c r="J21" s="395"/>
      <c r="K21" s="395"/>
      <c r="L21" s="395"/>
      <c r="M21" s="395"/>
      <c r="N21" s="395"/>
      <c r="O21" s="395"/>
      <c r="P21" s="395"/>
      <c r="Q21" s="192"/>
    </row>
    <row r="22" spans="1:17">
      <c r="A22" s="184"/>
      <c r="B22" s="190"/>
      <c r="C22" s="191" t="s">
        <v>1799</v>
      </c>
      <c r="D22" s="191"/>
      <c r="E22" s="191"/>
      <c r="F22" s="191"/>
      <c r="G22" s="191"/>
      <c r="H22" s="191"/>
      <c r="I22" s="191"/>
      <c r="J22" s="191"/>
      <c r="K22" s="191"/>
      <c r="L22" s="191"/>
      <c r="M22" s="191"/>
      <c r="N22" s="191"/>
      <c r="O22" s="191"/>
      <c r="P22" s="191"/>
      <c r="Q22" s="192"/>
    </row>
    <row r="23" spans="1:17">
      <c r="A23" s="184"/>
      <c r="B23" s="190"/>
      <c r="C23" s="191" t="s">
        <v>1798</v>
      </c>
      <c r="D23" s="191"/>
      <c r="E23" s="191"/>
      <c r="F23" s="191"/>
      <c r="G23" s="191"/>
      <c r="H23" s="191"/>
      <c r="I23" s="191"/>
      <c r="J23" s="191"/>
      <c r="K23" s="191"/>
      <c r="L23" s="191"/>
      <c r="M23" s="191"/>
      <c r="N23" s="191"/>
      <c r="O23" s="191"/>
      <c r="P23" s="191"/>
      <c r="Q23" s="193"/>
    </row>
    <row r="24" spans="1:17">
      <c r="A24" s="184"/>
      <c r="B24" s="190"/>
      <c r="C24" s="191" t="s">
        <v>976</v>
      </c>
      <c r="D24" s="191"/>
      <c r="E24" s="191"/>
      <c r="F24" s="191"/>
      <c r="G24" s="191"/>
      <c r="H24" s="191"/>
      <c r="I24" s="191"/>
      <c r="J24" s="191"/>
      <c r="K24" s="191"/>
      <c r="L24" s="191"/>
      <c r="M24" s="191"/>
      <c r="N24" s="191"/>
      <c r="O24" s="191"/>
      <c r="P24" s="191"/>
      <c r="Q24" s="192"/>
    </row>
    <row r="25" spans="1:17">
      <c r="A25" s="184"/>
      <c r="B25" s="190"/>
      <c r="C25" s="191" t="s">
        <v>1790</v>
      </c>
      <c r="D25" s="191"/>
      <c r="E25" s="191"/>
      <c r="F25" s="191"/>
      <c r="G25" s="191"/>
      <c r="H25" s="191"/>
      <c r="I25" s="191"/>
      <c r="J25" s="191"/>
      <c r="K25" s="191"/>
      <c r="L25" s="191"/>
      <c r="M25" s="191"/>
      <c r="N25" s="191"/>
      <c r="O25" s="191"/>
      <c r="P25" s="191"/>
      <c r="Q25" s="193"/>
    </row>
    <row r="26" spans="1:17">
      <c r="A26" s="184"/>
      <c r="B26" s="190"/>
      <c r="C26" s="191" t="s">
        <v>1791</v>
      </c>
      <c r="D26" s="191"/>
      <c r="E26" s="191"/>
      <c r="F26" s="191"/>
      <c r="G26" s="191"/>
      <c r="H26" s="191"/>
      <c r="I26" s="191"/>
      <c r="J26" s="191"/>
      <c r="K26" s="191"/>
      <c r="L26" s="191"/>
      <c r="M26" s="191"/>
      <c r="N26" s="191"/>
      <c r="O26" s="191"/>
      <c r="P26" s="191"/>
      <c r="Q26" s="193"/>
    </row>
    <row r="27" spans="1:17">
      <c r="A27" s="184"/>
      <c r="B27" s="190"/>
      <c r="C27" s="191" t="s">
        <v>1792</v>
      </c>
      <c r="D27" s="191"/>
      <c r="E27" s="191"/>
      <c r="F27" s="191"/>
      <c r="G27" s="191"/>
      <c r="H27" s="191"/>
      <c r="I27" s="191"/>
      <c r="J27" s="191"/>
      <c r="K27" s="191"/>
      <c r="L27" s="191"/>
      <c r="M27" s="191"/>
      <c r="N27" s="191"/>
      <c r="O27" s="191"/>
      <c r="P27" s="191"/>
      <c r="Q27" s="192"/>
    </row>
    <row r="28" spans="1:17">
      <c r="A28" s="184"/>
      <c r="B28" s="190"/>
      <c r="C28" s="191" t="s">
        <v>1793</v>
      </c>
      <c r="D28" s="191"/>
      <c r="E28" s="191"/>
      <c r="F28" s="191"/>
      <c r="G28" s="191"/>
      <c r="H28" s="191"/>
      <c r="I28" s="191"/>
      <c r="J28" s="191"/>
      <c r="K28" s="191"/>
      <c r="L28" s="191"/>
      <c r="M28" s="191"/>
      <c r="N28" s="191"/>
      <c r="O28" s="191"/>
      <c r="P28" s="191"/>
      <c r="Q28" s="192"/>
    </row>
    <row r="29" spans="1:17">
      <c r="A29" s="184"/>
      <c r="B29" s="190"/>
      <c r="C29" s="191" t="s">
        <v>438</v>
      </c>
      <c r="D29" s="191"/>
      <c r="E29" s="191"/>
      <c r="F29" s="191"/>
      <c r="G29" s="191"/>
      <c r="H29" s="191"/>
      <c r="I29" s="191"/>
      <c r="J29" s="191"/>
      <c r="K29" s="191"/>
      <c r="L29" s="191"/>
      <c r="M29" s="191"/>
      <c r="N29" s="191"/>
      <c r="O29" s="191"/>
      <c r="P29" s="191"/>
      <c r="Q29" s="193"/>
    </row>
    <row r="30" spans="1:17">
      <c r="A30" s="184"/>
      <c r="B30" s="190"/>
      <c r="C30" s="191" t="s">
        <v>1802</v>
      </c>
      <c r="D30" s="191"/>
      <c r="E30" s="191"/>
      <c r="F30" s="191"/>
      <c r="G30" s="191"/>
      <c r="H30" s="191"/>
      <c r="I30" s="191"/>
      <c r="J30" s="191"/>
      <c r="K30" s="191"/>
      <c r="L30" s="191"/>
      <c r="M30" s="191"/>
      <c r="N30" s="191"/>
      <c r="O30" s="191"/>
      <c r="P30" s="191"/>
      <c r="Q30" s="193"/>
    </row>
    <row r="31" spans="1:17" ht="16.5" thickBot="1">
      <c r="A31" s="184"/>
      <c r="B31" s="194"/>
      <c r="C31" s="195"/>
      <c r="D31" s="195"/>
      <c r="E31" s="195"/>
      <c r="F31" s="195"/>
      <c r="G31" s="195"/>
      <c r="H31" s="195"/>
      <c r="I31" s="195"/>
      <c r="J31" s="195"/>
      <c r="K31" s="195"/>
      <c r="L31" s="195"/>
      <c r="M31" s="195"/>
      <c r="N31" s="195"/>
      <c r="O31" s="195"/>
      <c r="P31" s="195"/>
      <c r="Q31" s="196"/>
    </row>
    <row r="32" spans="1:17" ht="16.5" thickBot="1"/>
    <row r="33" spans="2:17" ht="21" thickBot="1">
      <c r="B33" s="419" t="s">
        <v>1752</v>
      </c>
      <c r="C33" s="420"/>
      <c r="D33" s="421"/>
      <c r="J33" s="419" t="s">
        <v>430</v>
      </c>
      <c r="K33" s="420"/>
      <c r="L33" s="421"/>
    </row>
    <row r="34" spans="2:17">
      <c r="B34" s="13"/>
      <c r="C34" s="14"/>
      <c r="D34" s="14"/>
      <c r="E34" s="14"/>
      <c r="F34" s="14"/>
      <c r="G34" s="14"/>
      <c r="H34" s="15"/>
      <c r="J34" s="13"/>
      <c r="K34" s="14"/>
      <c r="L34" s="14"/>
      <c r="M34" s="14"/>
      <c r="N34" s="14"/>
      <c r="O34" s="14"/>
      <c r="P34" s="14"/>
      <c r="Q34" s="15"/>
    </row>
    <row r="35" spans="2:17">
      <c r="B35" s="16"/>
      <c r="C35" s="17" t="s">
        <v>424</v>
      </c>
      <c r="D35" s="18"/>
      <c r="E35" s="18"/>
      <c r="F35" s="18"/>
      <c r="G35" s="18"/>
      <c r="H35" s="19"/>
      <c r="J35" s="16"/>
      <c r="K35" s="18" t="s">
        <v>436</v>
      </c>
      <c r="L35" s="178"/>
      <c r="M35" s="178"/>
      <c r="N35" s="18"/>
      <c r="O35" s="18"/>
      <c r="P35" s="18"/>
      <c r="Q35" s="19"/>
    </row>
    <row r="36" spans="2:17">
      <c r="B36" s="16"/>
      <c r="C36" s="33" t="s">
        <v>977</v>
      </c>
      <c r="D36" s="180"/>
      <c r="E36" s="107" t="s">
        <v>9</v>
      </c>
      <c r="F36" s="18"/>
      <c r="G36" s="42" t="s">
        <v>162</v>
      </c>
      <c r="H36" s="19"/>
      <c r="J36" s="16"/>
      <c r="K36" s="18" t="s">
        <v>1727</v>
      </c>
      <c r="L36" s="178"/>
      <c r="M36" s="178"/>
      <c r="N36" s="18"/>
      <c r="O36" s="18"/>
      <c r="P36" s="18"/>
      <c r="Q36" s="19"/>
    </row>
    <row r="37" spans="2:17">
      <c r="B37" s="16"/>
      <c r="C37" s="33" t="s">
        <v>978</v>
      </c>
      <c r="D37" s="181"/>
      <c r="E37" s="107" t="s">
        <v>7</v>
      </c>
      <c r="F37" s="18"/>
      <c r="G37" s="42" t="s">
        <v>162</v>
      </c>
      <c r="H37" s="19"/>
      <c r="J37" s="16"/>
      <c r="K37" s="18" t="s">
        <v>1728</v>
      </c>
      <c r="L37" s="178"/>
      <c r="M37" s="178"/>
      <c r="N37" s="18"/>
      <c r="O37" s="18"/>
      <c r="P37" s="18"/>
      <c r="Q37" s="19"/>
    </row>
    <row r="38" spans="2:17">
      <c r="B38" s="16"/>
      <c r="C38" s="33"/>
      <c r="D38" s="35"/>
      <c r="E38" s="35"/>
      <c r="F38" s="18"/>
      <c r="G38" s="20"/>
      <c r="H38" s="19"/>
      <c r="J38" s="16"/>
      <c r="K38" s="18" t="s">
        <v>1729</v>
      </c>
      <c r="L38" s="178"/>
      <c r="M38" s="178"/>
      <c r="N38" s="18"/>
      <c r="O38" s="18"/>
      <c r="P38" s="18"/>
      <c r="Q38" s="19"/>
    </row>
    <row r="39" spans="2:17">
      <c r="B39" s="16"/>
      <c r="C39" s="18" t="s">
        <v>427</v>
      </c>
      <c r="D39" s="289"/>
      <c r="E39" s="18"/>
      <c r="F39" s="18"/>
      <c r="G39" s="42" t="s">
        <v>162</v>
      </c>
      <c r="H39" s="19"/>
      <c r="J39" s="16"/>
      <c r="K39" s="18" t="s">
        <v>434</v>
      </c>
      <c r="L39" s="178"/>
      <c r="M39" s="178"/>
      <c r="N39" s="18"/>
      <c r="O39" s="18"/>
      <c r="P39" s="18"/>
      <c r="Q39" s="19"/>
    </row>
    <row r="40" spans="2:17">
      <c r="B40" s="16"/>
      <c r="C40" s="18" t="s">
        <v>428</v>
      </c>
      <c r="D40" s="290"/>
      <c r="E40" s="18"/>
      <c r="F40" s="18"/>
      <c r="G40" s="42" t="s">
        <v>162</v>
      </c>
      <c r="H40" s="19"/>
      <c r="J40" s="16"/>
      <c r="K40" s="10" t="s">
        <v>1730</v>
      </c>
      <c r="L40" s="10"/>
      <c r="M40" s="10"/>
      <c r="N40" s="10"/>
      <c r="O40" s="10"/>
      <c r="P40" s="10"/>
      <c r="Q40" s="19"/>
    </row>
    <row r="41" spans="2:17">
      <c r="B41" s="16"/>
      <c r="C41" s="18"/>
      <c r="D41" s="135"/>
      <c r="E41" s="18"/>
      <c r="F41" s="18"/>
      <c r="G41" s="18"/>
      <c r="H41" s="19"/>
      <c r="J41" s="16"/>
      <c r="K41" s="18" t="s">
        <v>437</v>
      </c>
      <c r="L41" s="178"/>
      <c r="M41" s="178"/>
      <c r="N41" s="18"/>
      <c r="O41" s="18"/>
      <c r="P41" s="18"/>
      <c r="Q41" s="19"/>
    </row>
    <row r="42" spans="2:17">
      <c r="B42" s="16"/>
      <c r="C42" s="18" t="s">
        <v>425</v>
      </c>
      <c r="D42" s="141">
        <v>5</v>
      </c>
      <c r="E42" s="47" t="s">
        <v>9</v>
      </c>
      <c r="F42" s="18"/>
      <c r="G42" s="18"/>
      <c r="H42" s="19"/>
      <c r="J42" s="16"/>
      <c r="K42" s="18" t="s">
        <v>435</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426</v>
      </c>
      <c r="D44" s="18"/>
      <c r="E44" s="18"/>
      <c r="F44" s="18"/>
      <c r="G44" s="18"/>
      <c r="H44" s="19"/>
      <c r="J44" s="16"/>
      <c r="K44" s="17" t="s">
        <v>431</v>
      </c>
      <c r="L44" s="65" t="s">
        <v>39</v>
      </c>
      <c r="M44" s="65" t="s">
        <v>40</v>
      </c>
      <c r="N44" s="65" t="s">
        <v>41</v>
      </c>
      <c r="O44" s="18"/>
      <c r="P44" s="10"/>
      <c r="Q44" s="19"/>
    </row>
    <row r="45" spans="2:17">
      <c r="B45" s="16"/>
      <c r="C45" s="18" t="s">
        <v>1726</v>
      </c>
      <c r="D45" s="178">
        <v>50000</v>
      </c>
      <c r="E45" s="178"/>
      <c r="F45" s="18"/>
      <c r="G45" s="18"/>
      <c r="H45" s="19"/>
      <c r="J45" s="16"/>
      <c r="K45" s="33" t="s">
        <v>432</v>
      </c>
      <c r="L45" s="141">
        <v>5</v>
      </c>
      <c r="M45" s="60">
        <v>3</v>
      </c>
      <c r="N45" s="60">
        <v>9</v>
      </c>
      <c r="O45" s="107" t="s">
        <v>9</v>
      </c>
      <c r="P45" s="10"/>
      <c r="Q45" s="19"/>
    </row>
    <row r="46" spans="2:17">
      <c r="B46" s="16"/>
      <c r="C46" s="18" t="s">
        <v>429</v>
      </c>
      <c r="D46" s="179">
        <v>150000</v>
      </c>
      <c r="E46" s="179"/>
      <c r="F46" s="18"/>
      <c r="G46" s="18"/>
      <c r="H46" s="19"/>
      <c r="J46" s="16"/>
      <c r="K46" s="33" t="s">
        <v>433</v>
      </c>
      <c r="L46" s="141">
        <v>10</v>
      </c>
      <c r="M46" s="60">
        <v>8</v>
      </c>
      <c r="N46" s="60">
        <v>15</v>
      </c>
      <c r="O46" s="107" t="s">
        <v>8</v>
      </c>
      <c r="P46" s="10"/>
      <c r="Q46" s="19"/>
    </row>
    <row r="47" spans="2:17" ht="16.5" thickBot="1">
      <c r="B47" s="21"/>
      <c r="C47" s="22"/>
      <c r="D47" s="22"/>
      <c r="E47" s="22"/>
      <c r="F47" s="22"/>
      <c r="G47" s="22"/>
      <c r="H47" s="23"/>
      <c r="J47" s="21"/>
      <c r="K47" s="22"/>
      <c r="L47" s="22"/>
      <c r="M47" s="22"/>
      <c r="N47" s="22"/>
      <c r="O47" s="22"/>
      <c r="P47" s="22"/>
      <c r="Q47" s="23"/>
    </row>
    <row r="48" spans="2:17" ht="16.5" thickBot="1"/>
    <row r="49" spans="2:17" ht="21" thickBot="1">
      <c r="B49" s="422" t="s">
        <v>1795</v>
      </c>
      <c r="C49" s="423"/>
      <c r="D49" s="424"/>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5.95" customHeight="1">
      <c r="B51" s="190"/>
      <c r="C51" s="425" t="s">
        <v>1785</v>
      </c>
      <c r="D51" s="425"/>
      <c r="E51" s="425"/>
      <c r="F51" s="425"/>
      <c r="G51" s="425"/>
      <c r="H51" s="425"/>
      <c r="I51" s="425"/>
      <c r="J51" s="425"/>
      <c r="K51" s="425"/>
      <c r="L51" s="425"/>
      <c r="M51" s="425"/>
      <c r="N51" s="425"/>
      <c r="O51" s="425"/>
      <c r="P51" s="425"/>
      <c r="Q51" s="19"/>
    </row>
    <row r="52" spans="2:17">
      <c r="B52" s="190"/>
      <c r="C52" s="425"/>
      <c r="D52" s="425"/>
      <c r="E52" s="425"/>
      <c r="F52" s="425"/>
      <c r="G52" s="425"/>
      <c r="H52" s="425"/>
      <c r="I52" s="425"/>
      <c r="J52" s="425"/>
      <c r="K52" s="425"/>
      <c r="L52" s="425"/>
      <c r="M52" s="425"/>
      <c r="N52" s="425"/>
      <c r="O52" s="425"/>
      <c r="P52" s="425"/>
      <c r="Q52" s="19"/>
    </row>
    <row r="53" spans="2:17">
      <c r="B53" s="190"/>
      <c r="C53" s="10"/>
      <c r="D53" s="10"/>
      <c r="E53" s="10"/>
      <c r="F53" s="10"/>
      <c r="G53" s="10"/>
      <c r="H53" s="10"/>
      <c r="I53" s="10"/>
      <c r="J53" s="10"/>
      <c r="K53" s="10"/>
      <c r="L53" s="10"/>
      <c r="M53" s="10"/>
      <c r="N53" s="10"/>
      <c r="O53" s="10"/>
      <c r="P53" s="10"/>
      <c r="Q53" s="19"/>
    </row>
    <row r="54" spans="2:17">
      <c r="B54" s="190"/>
      <c r="C54" s="425" t="s">
        <v>1786</v>
      </c>
      <c r="D54" s="425"/>
      <c r="E54" s="425"/>
      <c r="F54" s="425"/>
      <c r="G54" s="425"/>
      <c r="H54" s="425"/>
      <c r="I54" s="425"/>
      <c r="J54" s="425"/>
      <c r="K54" s="425"/>
      <c r="L54" s="425"/>
      <c r="M54" s="425"/>
      <c r="N54" s="425"/>
      <c r="O54" s="425"/>
      <c r="P54" s="425"/>
      <c r="Q54" s="19"/>
    </row>
    <row r="55" spans="2:17">
      <c r="B55" s="190"/>
      <c r="C55" s="425"/>
      <c r="D55" s="425"/>
      <c r="E55" s="425"/>
      <c r="F55" s="425"/>
      <c r="G55" s="425"/>
      <c r="H55" s="425"/>
      <c r="I55" s="425"/>
      <c r="J55" s="425"/>
      <c r="K55" s="425"/>
      <c r="L55" s="425"/>
      <c r="M55" s="425"/>
      <c r="N55" s="425"/>
      <c r="O55" s="425"/>
      <c r="P55" s="425"/>
      <c r="Q55" s="19"/>
    </row>
    <row r="56" spans="2:17">
      <c r="B56" s="190"/>
      <c r="C56" s="425"/>
      <c r="D56" s="425"/>
      <c r="E56" s="425"/>
      <c r="F56" s="425"/>
      <c r="G56" s="425"/>
      <c r="H56" s="425"/>
      <c r="I56" s="425"/>
      <c r="J56" s="425"/>
      <c r="K56" s="425"/>
      <c r="L56" s="425"/>
      <c r="M56" s="425"/>
      <c r="N56" s="425"/>
      <c r="O56" s="425"/>
      <c r="P56" s="425"/>
      <c r="Q56" s="19"/>
    </row>
    <row r="57" spans="2:17">
      <c r="B57" s="190"/>
      <c r="C57" s="10"/>
      <c r="D57" s="10"/>
      <c r="E57" s="10"/>
      <c r="F57" s="10"/>
      <c r="G57" s="10"/>
      <c r="H57" s="10"/>
      <c r="I57" s="10"/>
      <c r="J57" s="10"/>
      <c r="K57" s="10"/>
      <c r="L57" s="10"/>
      <c r="M57" s="10"/>
      <c r="N57" s="10"/>
      <c r="O57" s="10"/>
      <c r="P57" s="10"/>
      <c r="Q57" s="19"/>
    </row>
    <row r="58" spans="2:17">
      <c r="B58" s="190"/>
      <c r="C58" s="425" t="s">
        <v>1787</v>
      </c>
      <c r="D58" s="425"/>
      <c r="E58" s="425"/>
      <c r="F58" s="425"/>
      <c r="G58" s="425"/>
      <c r="H58" s="425"/>
      <c r="I58" s="425"/>
      <c r="J58" s="425"/>
      <c r="K58" s="425"/>
      <c r="L58" s="425"/>
      <c r="M58" s="425"/>
      <c r="N58" s="425"/>
      <c r="O58" s="425"/>
      <c r="P58" s="425"/>
      <c r="Q58" s="19"/>
    </row>
    <row r="59" spans="2:17">
      <c r="B59" s="190"/>
      <c r="C59" s="425"/>
      <c r="D59" s="425"/>
      <c r="E59" s="425"/>
      <c r="F59" s="425"/>
      <c r="G59" s="425"/>
      <c r="H59" s="425"/>
      <c r="I59" s="425"/>
      <c r="J59" s="425"/>
      <c r="K59" s="425"/>
      <c r="L59" s="425"/>
      <c r="M59" s="425"/>
      <c r="N59" s="425"/>
      <c r="O59" s="425"/>
      <c r="P59" s="425"/>
      <c r="Q59" s="19"/>
    </row>
    <row r="60" spans="2:17">
      <c r="B60" s="190"/>
      <c r="C60" s="425"/>
      <c r="D60" s="425"/>
      <c r="E60" s="425"/>
      <c r="F60" s="425"/>
      <c r="G60" s="425"/>
      <c r="H60" s="425"/>
      <c r="I60" s="425"/>
      <c r="J60" s="425"/>
      <c r="K60" s="425"/>
      <c r="L60" s="425"/>
      <c r="M60" s="425"/>
      <c r="N60" s="425"/>
      <c r="O60" s="425"/>
      <c r="P60" s="425"/>
      <c r="Q60" s="19"/>
    </row>
    <row r="61" spans="2:17">
      <c r="B61" s="190"/>
      <c r="C61" s="425"/>
      <c r="D61" s="425"/>
      <c r="E61" s="425"/>
      <c r="F61" s="425"/>
      <c r="G61" s="425"/>
      <c r="H61" s="425"/>
      <c r="I61" s="425"/>
      <c r="J61" s="425"/>
      <c r="K61" s="425"/>
      <c r="L61" s="425"/>
      <c r="M61" s="425"/>
      <c r="N61" s="425"/>
      <c r="O61" s="425"/>
      <c r="P61" s="425"/>
      <c r="Q61" s="19"/>
    </row>
    <row r="62" spans="2:17">
      <c r="B62" s="190"/>
      <c r="C62" s="10"/>
      <c r="D62" s="10"/>
      <c r="E62" s="10"/>
      <c r="F62" s="10"/>
      <c r="G62" s="10"/>
      <c r="H62" s="10"/>
      <c r="I62" s="10"/>
      <c r="J62" s="10"/>
      <c r="K62" s="10"/>
      <c r="L62" s="10"/>
      <c r="M62" s="10"/>
      <c r="N62" s="10"/>
      <c r="O62" s="10"/>
      <c r="P62" s="10"/>
      <c r="Q62" s="19"/>
    </row>
    <row r="63" spans="2:17">
      <c r="B63" s="190"/>
      <c r="C63" s="425" t="s">
        <v>1788</v>
      </c>
      <c r="D63" s="425"/>
      <c r="E63" s="425"/>
      <c r="F63" s="425"/>
      <c r="G63" s="425"/>
      <c r="H63" s="425"/>
      <c r="I63" s="425"/>
      <c r="J63" s="425"/>
      <c r="K63" s="425"/>
      <c r="L63" s="425"/>
      <c r="M63" s="425"/>
      <c r="N63" s="425"/>
      <c r="O63" s="425"/>
      <c r="P63" s="425"/>
      <c r="Q63" s="19"/>
    </row>
    <row r="64" spans="2:17">
      <c r="B64" s="190"/>
      <c r="C64" s="425"/>
      <c r="D64" s="425"/>
      <c r="E64" s="425"/>
      <c r="F64" s="425"/>
      <c r="G64" s="425"/>
      <c r="H64" s="425"/>
      <c r="I64" s="425"/>
      <c r="J64" s="425"/>
      <c r="K64" s="425"/>
      <c r="L64" s="425"/>
      <c r="M64" s="425"/>
      <c r="N64" s="425"/>
      <c r="O64" s="425"/>
      <c r="P64" s="425"/>
      <c r="Q64" s="19"/>
    </row>
    <row r="65" spans="2:17">
      <c r="B65" s="190"/>
      <c r="C65" s="425"/>
      <c r="D65" s="425"/>
      <c r="E65" s="425"/>
      <c r="F65" s="425"/>
      <c r="G65" s="425"/>
      <c r="H65" s="425"/>
      <c r="I65" s="425"/>
      <c r="J65" s="425"/>
      <c r="K65" s="425"/>
      <c r="L65" s="425"/>
      <c r="M65" s="425"/>
      <c r="N65" s="425"/>
      <c r="O65" s="425"/>
      <c r="P65" s="425"/>
      <c r="Q65" s="19"/>
    </row>
    <row r="66" spans="2:17">
      <c r="B66" s="190"/>
      <c r="C66" s="425"/>
      <c r="D66" s="425"/>
      <c r="E66" s="425"/>
      <c r="F66" s="425"/>
      <c r="G66" s="425"/>
      <c r="H66" s="425"/>
      <c r="I66" s="425"/>
      <c r="J66" s="425"/>
      <c r="K66" s="425"/>
      <c r="L66" s="425"/>
      <c r="M66" s="425"/>
      <c r="N66" s="425"/>
      <c r="O66" s="425"/>
      <c r="P66" s="425"/>
      <c r="Q66" s="19"/>
    </row>
    <row r="67" spans="2:17">
      <c r="B67" s="190"/>
      <c r="C67" s="425"/>
      <c r="D67" s="425"/>
      <c r="E67" s="425"/>
      <c r="F67" s="425"/>
      <c r="G67" s="425"/>
      <c r="H67" s="425"/>
      <c r="I67" s="425"/>
      <c r="J67" s="425"/>
      <c r="K67" s="425"/>
      <c r="L67" s="425"/>
      <c r="M67" s="425"/>
      <c r="N67" s="425"/>
      <c r="O67" s="425"/>
      <c r="P67" s="425"/>
      <c r="Q67" s="19"/>
    </row>
    <row r="68" spans="2:17">
      <c r="B68" s="190"/>
      <c r="C68" s="425"/>
      <c r="D68" s="425"/>
      <c r="E68" s="425"/>
      <c r="F68" s="425"/>
      <c r="G68" s="425"/>
      <c r="H68" s="425"/>
      <c r="I68" s="425"/>
      <c r="J68" s="425"/>
      <c r="K68" s="425"/>
      <c r="L68" s="425"/>
      <c r="M68" s="425"/>
      <c r="N68" s="425"/>
      <c r="O68" s="425"/>
      <c r="P68" s="425"/>
      <c r="Q68" s="19"/>
    </row>
    <row r="69" spans="2:17">
      <c r="B69" s="190"/>
      <c r="C69" s="425"/>
      <c r="D69" s="425"/>
      <c r="E69" s="425"/>
      <c r="F69" s="425"/>
      <c r="G69" s="425"/>
      <c r="H69" s="425"/>
      <c r="I69" s="425"/>
      <c r="J69" s="425"/>
      <c r="K69" s="425"/>
      <c r="L69" s="425"/>
      <c r="M69" s="425"/>
      <c r="N69" s="425"/>
      <c r="O69" s="425"/>
      <c r="P69" s="425"/>
      <c r="Q69" s="19"/>
    </row>
    <row r="70" spans="2:17">
      <c r="B70" s="190"/>
      <c r="C70" s="10"/>
      <c r="D70" s="10"/>
      <c r="E70" s="10"/>
      <c r="F70" s="10"/>
      <c r="G70" s="10"/>
      <c r="H70" s="10"/>
      <c r="I70" s="10"/>
      <c r="J70" s="10"/>
      <c r="K70" s="10"/>
      <c r="L70" s="10"/>
      <c r="M70" s="10"/>
      <c r="N70" s="10"/>
      <c r="O70" s="10"/>
      <c r="P70" s="10"/>
      <c r="Q70" s="19"/>
    </row>
    <row r="71" spans="2:17">
      <c r="B71" s="190"/>
      <c r="C71" s="425" t="s">
        <v>1789</v>
      </c>
      <c r="D71" s="425"/>
      <c r="E71" s="425"/>
      <c r="F71" s="425"/>
      <c r="G71" s="425"/>
      <c r="H71" s="425"/>
      <c r="I71" s="425"/>
      <c r="J71" s="425"/>
      <c r="K71" s="425"/>
      <c r="L71" s="425"/>
      <c r="M71" s="425"/>
      <c r="N71" s="425"/>
      <c r="O71" s="425"/>
      <c r="P71" s="425"/>
      <c r="Q71" s="19"/>
    </row>
    <row r="72" spans="2:17">
      <c r="B72" s="190"/>
      <c r="C72" s="425"/>
      <c r="D72" s="425"/>
      <c r="E72" s="425"/>
      <c r="F72" s="425"/>
      <c r="G72" s="425"/>
      <c r="H72" s="425"/>
      <c r="I72" s="425"/>
      <c r="J72" s="425"/>
      <c r="K72" s="425"/>
      <c r="L72" s="425"/>
      <c r="M72" s="425"/>
      <c r="N72" s="425"/>
      <c r="O72" s="425"/>
      <c r="P72" s="425"/>
      <c r="Q72" s="19"/>
    </row>
    <row r="73" spans="2:17">
      <c r="B73" s="190"/>
      <c r="C73" s="425"/>
      <c r="D73" s="425"/>
      <c r="E73" s="425"/>
      <c r="F73" s="425"/>
      <c r="G73" s="425"/>
      <c r="H73" s="425"/>
      <c r="I73" s="425"/>
      <c r="J73" s="425"/>
      <c r="K73" s="425"/>
      <c r="L73" s="425"/>
      <c r="M73" s="425"/>
      <c r="N73" s="425"/>
      <c r="O73" s="425"/>
      <c r="P73" s="425"/>
      <c r="Q73" s="19"/>
    </row>
    <row r="74" spans="2:17">
      <c r="B74" s="190"/>
      <c r="C74" s="425"/>
      <c r="D74" s="425"/>
      <c r="E74" s="425"/>
      <c r="F74" s="425"/>
      <c r="G74" s="425"/>
      <c r="H74" s="425"/>
      <c r="I74" s="425"/>
      <c r="J74" s="425"/>
      <c r="K74" s="425"/>
      <c r="L74" s="425"/>
      <c r="M74" s="425"/>
      <c r="N74" s="425"/>
      <c r="O74" s="425"/>
      <c r="P74" s="425"/>
      <c r="Q74" s="19"/>
    </row>
    <row r="75" spans="2:17" ht="16.5" thickBot="1">
      <c r="B75" s="194"/>
      <c r="C75" s="22"/>
      <c r="D75" s="22"/>
      <c r="E75" s="22"/>
      <c r="F75" s="22"/>
      <c r="G75" s="22"/>
      <c r="H75" s="22"/>
      <c r="I75" s="22"/>
      <c r="J75" s="22"/>
      <c r="K75" s="22"/>
      <c r="L75" s="22"/>
      <c r="M75" s="22"/>
      <c r="N75" s="22"/>
      <c r="O75" s="22"/>
      <c r="P75" s="22"/>
      <c r="Q75" s="23"/>
    </row>
    <row r="76" spans="2:17" ht="16.5" thickBot="1"/>
    <row r="77" spans="2:17" ht="21" thickBot="1">
      <c r="B77" s="419" t="s">
        <v>1840</v>
      </c>
      <c r="C77" s="420"/>
      <c r="D77" s="421"/>
      <c r="E77" s="393"/>
      <c r="F77" s="393"/>
      <c r="G77" s="393"/>
      <c r="H77" s="393"/>
      <c r="I77" s="393"/>
      <c r="J77" s="393"/>
      <c r="K77" s="393"/>
      <c r="L77" s="393"/>
      <c r="M77" s="393"/>
      <c r="N77" s="393"/>
      <c r="O77" s="393"/>
      <c r="P77" s="393"/>
      <c r="Q77" s="393"/>
    </row>
    <row r="79" spans="2:17">
      <c r="B79" s="394" t="s">
        <v>1830</v>
      </c>
      <c r="C79" s="394"/>
    </row>
    <row r="80" spans="2:17">
      <c r="C80" s="11" t="s">
        <v>1831</v>
      </c>
    </row>
    <row r="82" spans="2:17">
      <c r="B82" s="394" t="s">
        <v>1832</v>
      </c>
      <c r="C82" s="394"/>
    </row>
    <row r="83" spans="2:17">
      <c r="C83" s="11" t="s">
        <v>1833</v>
      </c>
    </row>
    <row r="85" spans="2:17">
      <c r="B85" s="394" t="s">
        <v>1834</v>
      </c>
    </row>
    <row r="86" spans="2:17">
      <c r="C86" s="11" t="s">
        <v>1835</v>
      </c>
    </row>
    <row r="88" spans="2:17">
      <c r="B88" s="394" t="s">
        <v>1837</v>
      </c>
    </row>
    <row r="89" spans="2:17">
      <c r="C89" s="11" t="s">
        <v>1836</v>
      </c>
    </row>
    <row r="91" spans="2:17">
      <c r="B91" s="394" t="s">
        <v>1839</v>
      </c>
    </row>
    <row r="92" spans="2:17">
      <c r="C92" s="11" t="s">
        <v>1838</v>
      </c>
    </row>
    <row r="93" spans="2:17" ht="16.5" thickBot="1"/>
    <row r="94" spans="2:17" ht="21" thickBot="1">
      <c r="B94" s="419" t="s">
        <v>1794</v>
      </c>
      <c r="C94" s="420"/>
      <c r="D94" s="421"/>
      <c r="E94" s="393"/>
      <c r="F94" s="393"/>
      <c r="G94" s="393"/>
      <c r="H94" s="393"/>
      <c r="I94" s="393"/>
      <c r="J94" s="393"/>
      <c r="K94" s="393"/>
      <c r="L94" s="393"/>
      <c r="M94" s="393"/>
      <c r="N94" s="393"/>
      <c r="O94" s="393"/>
      <c r="P94" s="393"/>
      <c r="Q94" s="393"/>
    </row>
    <row r="96" spans="2:17" s="394" customFormat="1">
      <c r="B96" s="394" t="s">
        <v>1757</v>
      </c>
    </row>
    <row r="97" spans="2:3">
      <c r="C97" s="11" t="s">
        <v>1758</v>
      </c>
    </row>
    <row r="98" spans="2:3">
      <c r="C98" s="11" t="s">
        <v>1759</v>
      </c>
    </row>
    <row r="99" spans="2:3">
      <c r="C99" s="11" t="s">
        <v>1760</v>
      </c>
    </row>
    <row r="101" spans="2:3">
      <c r="B101" s="394" t="s">
        <v>1764</v>
      </c>
    </row>
    <row r="102" spans="2:3">
      <c r="C102" s="11" t="s">
        <v>1765</v>
      </c>
    </row>
    <row r="103" spans="2:3">
      <c r="C103" s="391" t="s">
        <v>1766</v>
      </c>
    </row>
    <row r="105" spans="2:3">
      <c r="B105" s="394" t="s">
        <v>1781</v>
      </c>
    </row>
    <row r="106" spans="2:3">
      <c r="C106" s="11" t="s">
        <v>1782</v>
      </c>
    </row>
    <row r="108" spans="2:3">
      <c r="B108" s="394" t="s">
        <v>1784</v>
      </c>
    </row>
    <row r="109" spans="2:3">
      <c r="C109" s="11" t="s">
        <v>1761</v>
      </c>
    </row>
    <row r="110" spans="2:3">
      <c r="C110" s="11" t="s">
        <v>1762</v>
      </c>
    </row>
    <row r="111" spans="2:3">
      <c r="C111" s="11" t="s">
        <v>1763</v>
      </c>
    </row>
    <row r="112" spans="2:3">
      <c r="C112" s="11" t="s">
        <v>1777</v>
      </c>
    </row>
    <row r="113" spans="2:3">
      <c r="C113" s="11" t="s">
        <v>1778</v>
      </c>
    </row>
    <row r="114" spans="2:3">
      <c r="C114" s="11" t="s">
        <v>1770</v>
      </c>
    </row>
    <row r="115" spans="2:3">
      <c r="C115" s="11" t="s">
        <v>1771</v>
      </c>
    </row>
    <row r="116" spans="2:3">
      <c r="C116" s="11" t="s">
        <v>1772</v>
      </c>
    </row>
    <row r="117" spans="2:3">
      <c r="C117" s="11" t="s">
        <v>1773</v>
      </c>
    </row>
    <row r="118" spans="2:3">
      <c r="C118" s="11" t="s">
        <v>1774</v>
      </c>
    </row>
    <row r="119" spans="2:3">
      <c r="C119" s="11" t="s">
        <v>1775</v>
      </c>
    </row>
    <row r="120" spans="2:3">
      <c r="C120" s="11" t="s">
        <v>1779</v>
      </c>
    </row>
    <row r="121" spans="2:3">
      <c r="C121" s="11" t="s">
        <v>1780</v>
      </c>
    </row>
    <row r="122" spans="2:3">
      <c r="C122" s="11" t="s">
        <v>1776</v>
      </c>
    </row>
    <row r="123" spans="2:3">
      <c r="C123" s="11" t="s">
        <v>1801</v>
      </c>
    </row>
    <row r="125" spans="2:3">
      <c r="B125" s="394" t="s">
        <v>1768</v>
      </c>
    </row>
    <row r="126" spans="2:3">
      <c r="C126" s="11" t="s">
        <v>1769</v>
      </c>
    </row>
    <row r="128" spans="2:3">
      <c r="B128" s="394" t="s">
        <v>1767</v>
      </c>
    </row>
    <row r="129" spans="3:3">
      <c r="C129" s="11" t="s">
        <v>1783</v>
      </c>
    </row>
  </sheetData>
  <sheetProtection sheet="1" objects="1" scenarios="1"/>
  <mergeCells count="11">
    <mergeCell ref="B94:D94"/>
    <mergeCell ref="B49:D49"/>
    <mergeCell ref="C54:P56"/>
    <mergeCell ref="C58:P61"/>
    <mergeCell ref="C63:P69"/>
    <mergeCell ref="B77:D77"/>
    <mergeCell ref="B33:D33"/>
    <mergeCell ref="B19:D19"/>
    <mergeCell ref="J33:L33"/>
    <mergeCell ref="C51:P52"/>
    <mergeCell ref="C71:P74"/>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tabSelected="1" workbookViewId="0">
      <pane ySplit="1" topLeftCell="A24" activePane="bottomLeft" state="frozenSplit"/>
      <selection pane="bottomLeft" activeCell="L44" sqref="L44"/>
    </sheetView>
  </sheetViews>
  <sheetFormatPr defaultColWidth="10.875" defaultRowHeight="15.75" outlineLevelCol="1"/>
  <cols>
    <col min="1" max="2" width="2.5" style="50" customWidth="1"/>
    <col min="3" max="3" width="23.5" style="50" customWidth="1"/>
    <col min="4" max="4" width="8.875" style="50" bestFit="1" customWidth="1"/>
    <col min="5" max="5" width="2.5" style="50" customWidth="1"/>
    <col min="6" max="6" width="4.875" style="50" customWidth="1"/>
    <col min="7" max="9" width="2.5" style="50" customWidth="1"/>
    <col min="10" max="10" width="30.625" style="50" customWidth="1"/>
    <col min="11" max="11" width="19.125" style="50" bestFit="1" customWidth="1"/>
    <col min="12" max="13" width="8.625" style="50" customWidth="1" outlineLevel="1"/>
    <col min="14" max="14" width="6.375" style="50" customWidth="1"/>
    <col min="15" max="15" width="2.5" style="50" customWidth="1"/>
    <col min="16" max="16" width="6" style="50" customWidth="1"/>
    <col min="17" max="17" width="2.5" style="50" customWidth="1"/>
    <col min="18" max="16384" width="10.875" style="50"/>
  </cols>
  <sheetData>
    <row r="1" spans="2:17" s="36" customFormat="1" ht="24" customHeight="1">
      <c r="B1" s="108" t="str">
        <f>"CatCost v"&amp;Version&amp;": "&amp;EstimateName</f>
        <v>CatCost v1.0.0: FCC RE USY</v>
      </c>
      <c r="E1" s="10"/>
      <c r="N1" s="109" t="s">
        <v>44</v>
      </c>
    </row>
    <row r="2" spans="2:17" ht="16.5" thickBot="1"/>
    <row r="3" spans="2:17" ht="21" thickBot="1">
      <c r="B3" s="419" t="s">
        <v>415</v>
      </c>
      <c r="C3" s="420"/>
      <c r="D3" s="420"/>
      <c r="E3" s="420"/>
      <c r="F3" s="420"/>
      <c r="G3" s="421"/>
      <c r="I3" s="419" t="s">
        <v>910</v>
      </c>
      <c r="J3" s="420"/>
      <c r="K3" s="420"/>
      <c r="L3" s="420"/>
      <c r="M3" s="420"/>
      <c r="N3" s="420"/>
      <c r="O3" s="420"/>
      <c r="P3" s="420"/>
      <c r="Q3" s="421"/>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1750</v>
      </c>
      <c r="K5" s="35"/>
      <c r="L5" s="33"/>
      <c r="M5" s="33"/>
      <c r="N5" s="33"/>
      <c r="O5" s="33"/>
      <c r="P5" s="33"/>
      <c r="Q5" s="34"/>
    </row>
    <row r="6" spans="2:17">
      <c r="B6" s="32"/>
      <c r="C6" s="43" t="s">
        <v>1843</v>
      </c>
      <c r="D6" s="33"/>
      <c r="E6" s="33"/>
      <c r="F6" s="33"/>
      <c r="G6" s="34"/>
      <c r="I6" s="32"/>
      <c r="J6" s="33" t="s">
        <v>1722</v>
      </c>
      <c r="K6" s="35"/>
      <c r="L6" s="33"/>
      <c r="M6" s="33"/>
      <c r="N6" s="33"/>
      <c r="O6" s="33"/>
      <c r="P6" s="33"/>
      <c r="Q6" s="34"/>
    </row>
    <row r="7" spans="2:17">
      <c r="B7" s="32"/>
      <c r="C7" s="33"/>
      <c r="D7" s="33"/>
      <c r="E7" s="33"/>
      <c r="F7" s="33"/>
      <c r="G7" s="34"/>
      <c r="I7" s="32"/>
      <c r="J7" s="33" t="s">
        <v>1742</v>
      </c>
      <c r="K7" s="35"/>
      <c r="L7" s="33"/>
      <c r="M7" s="33"/>
      <c r="N7" s="33"/>
      <c r="O7" s="33"/>
      <c r="P7" s="33"/>
      <c r="Q7" s="34"/>
    </row>
    <row r="8" spans="2:17">
      <c r="B8" s="32"/>
      <c r="C8" s="17" t="s">
        <v>0</v>
      </c>
      <c r="D8" s="33"/>
      <c r="E8" s="33"/>
      <c r="F8" s="33"/>
      <c r="G8" s="34"/>
      <c r="I8" s="32"/>
      <c r="J8" s="390" t="s">
        <v>1734</v>
      </c>
      <c r="K8" s="35"/>
      <c r="L8" s="33"/>
      <c r="M8" s="33"/>
      <c r="N8" s="33"/>
      <c r="O8" s="33"/>
      <c r="P8" s="33"/>
      <c r="Q8" s="34"/>
    </row>
    <row r="9" spans="2:17">
      <c r="B9" s="32"/>
      <c r="C9" s="33" t="s">
        <v>975</v>
      </c>
      <c r="D9" s="43">
        <v>2016</v>
      </c>
      <c r="E9" s="33"/>
      <c r="F9" s="42" t="s">
        <v>162</v>
      </c>
      <c r="G9" s="34"/>
      <c r="I9" s="32"/>
      <c r="J9" s="33" t="s">
        <v>1743</v>
      </c>
      <c r="K9" s="35"/>
      <c r="L9" s="33"/>
      <c r="M9" s="33"/>
      <c r="N9" s="33"/>
      <c r="O9" s="33"/>
      <c r="P9" s="33"/>
      <c r="Q9" s="34"/>
    </row>
    <row r="10" spans="2:17">
      <c r="B10" s="32"/>
      <c r="C10" s="33" t="s">
        <v>1</v>
      </c>
      <c r="D10" s="43" t="s">
        <v>10</v>
      </c>
      <c r="E10" s="33"/>
      <c r="F10" s="42" t="s">
        <v>162</v>
      </c>
      <c r="G10" s="34"/>
      <c r="I10" s="32"/>
      <c r="J10" s="390" t="s">
        <v>1744</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1738</v>
      </c>
      <c r="K12" s="35"/>
      <c r="L12" s="33"/>
      <c r="M12" s="33"/>
      <c r="N12" s="33"/>
      <c r="O12" s="33"/>
      <c r="P12" s="33"/>
      <c r="Q12" s="34"/>
    </row>
    <row r="13" spans="2:17">
      <c r="B13" s="32"/>
      <c r="C13" s="17" t="s">
        <v>5</v>
      </c>
      <c r="D13" s="37"/>
      <c r="E13" s="33"/>
      <c r="F13" s="33"/>
      <c r="G13" s="34"/>
      <c r="I13" s="32"/>
      <c r="J13" s="33" t="s">
        <v>1739</v>
      </c>
      <c r="K13" s="35"/>
      <c r="L13" s="33"/>
      <c r="M13" s="33"/>
      <c r="N13" s="33"/>
      <c r="O13" s="33"/>
      <c r="P13" s="33"/>
      <c r="Q13" s="34"/>
    </row>
    <row r="14" spans="2:17">
      <c r="B14" s="32"/>
      <c r="C14" s="33" t="s">
        <v>2</v>
      </c>
      <c r="D14" s="43" t="s">
        <v>20</v>
      </c>
      <c r="E14" s="33"/>
      <c r="F14" s="42" t="s">
        <v>162</v>
      </c>
      <c r="G14" s="34"/>
      <c r="I14" s="32"/>
      <c r="J14" s="33" t="s">
        <v>1735</v>
      </c>
      <c r="K14" s="35"/>
      <c r="L14" s="33"/>
      <c r="M14" s="33"/>
      <c r="N14" s="33"/>
      <c r="O14" s="33"/>
      <c r="P14" s="33"/>
      <c r="Q14" s="34"/>
    </row>
    <row r="15" spans="2:17" ht="16.5" thickBot="1">
      <c r="B15" s="39"/>
      <c r="C15" s="40"/>
      <c r="D15" s="236"/>
      <c r="E15" s="40"/>
      <c r="F15" s="40"/>
      <c r="G15" s="41"/>
      <c r="I15" s="32"/>
      <c r="J15" s="33" t="s">
        <v>1740</v>
      </c>
      <c r="K15" s="35"/>
      <c r="L15" s="33"/>
      <c r="M15" s="33"/>
      <c r="N15" s="33"/>
      <c r="O15" s="33"/>
      <c r="P15" s="33"/>
      <c r="Q15" s="34"/>
    </row>
    <row r="16" spans="2:17">
      <c r="I16" s="32"/>
      <c r="J16" s="33" t="s">
        <v>1741</v>
      </c>
      <c r="K16" s="35"/>
      <c r="L16" s="33"/>
      <c r="M16" s="33"/>
      <c r="N16" s="33"/>
      <c r="O16" s="33"/>
      <c r="P16" s="33"/>
      <c r="Q16" s="34"/>
    </row>
    <row r="17" spans="9:17" ht="16.5"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1736</v>
      </c>
      <c r="K19" s="241"/>
      <c r="L19" s="33"/>
      <c r="M19" s="33"/>
      <c r="N19" s="33"/>
      <c r="O19" s="33"/>
      <c r="P19" s="33"/>
      <c r="Q19" s="34"/>
    </row>
    <row r="20" spans="9:17">
      <c r="I20" s="32"/>
      <c r="J20" s="17"/>
      <c r="K20" s="241"/>
      <c r="L20" s="33"/>
      <c r="M20" s="33"/>
      <c r="N20" s="33"/>
      <c r="O20" s="33"/>
      <c r="P20" s="33"/>
      <c r="Q20" s="34"/>
    </row>
    <row r="21" spans="9:17">
      <c r="I21" s="32"/>
      <c r="J21" s="17" t="s">
        <v>1745</v>
      </c>
      <c r="K21" s="65" t="s">
        <v>39</v>
      </c>
      <c r="L21" s="65" t="s">
        <v>40</v>
      </c>
      <c r="M21" s="65" t="s">
        <v>41</v>
      </c>
      <c r="N21" s="33"/>
      <c r="O21" s="33"/>
      <c r="P21" s="33"/>
      <c r="Q21" s="34"/>
    </row>
    <row r="22" spans="9:17">
      <c r="I22" s="32"/>
      <c r="J22" s="33" t="s">
        <v>911</v>
      </c>
      <c r="K22" s="239"/>
      <c r="L22" s="60"/>
      <c r="M22" s="60"/>
      <c r="N22" s="47" t="s">
        <v>406</v>
      </c>
      <c r="O22" s="33"/>
      <c r="P22" s="33"/>
      <c r="Q22" s="34"/>
    </row>
    <row r="23" spans="9:17">
      <c r="I23" s="32"/>
      <c r="J23" s="33" t="s">
        <v>912</v>
      </c>
      <c r="K23" s="51" t="str">
        <f>IF($K$22&lt;1,"",IF($K$22&lt;5,"Small (1 ton/day)",IF($K$22&lt;70,"Medium (10 ton/day)","Large (150 ton/day)")))</f>
        <v/>
      </c>
      <c r="L23" s="48"/>
      <c r="M23" s="48"/>
      <c r="N23" s="48"/>
      <c r="O23" s="33"/>
      <c r="P23" s="33"/>
      <c r="Q23" s="34"/>
    </row>
    <row r="24" spans="9:17">
      <c r="I24" s="32"/>
      <c r="J24" s="237" t="s">
        <v>913</v>
      </c>
      <c r="K24" s="240" t="str">
        <f>IF($K$22&lt;1,"",IF($K$22&lt;5,$K$22,IF($K$22&lt;70,$K$22/10,$K$22/150)))</f>
        <v/>
      </c>
      <c r="L24" s="48"/>
      <c r="M24" s="48"/>
      <c r="N24" s="48" t="s">
        <v>956</v>
      </c>
      <c r="O24" s="33"/>
      <c r="P24" s="33"/>
      <c r="Q24" s="34"/>
    </row>
    <row r="25" spans="9:17">
      <c r="I25" s="32"/>
      <c r="J25" s="237" t="s">
        <v>914</v>
      </c>
      <c r="K25" s="240" t="str">
        <f>IF($K$22&lt;1,"",IF($K$22&lt;5,0.5,1))</f>
        <v/>
      </c>
      <c r="L25" s="48"/>
      <c r="M25" s="48"/>
      <c r="N25" s="48" t="s">
        <v>956</v>
      </c>
      <c r="O25" s="33"/>
      <c r="P25" s="33"/>
      <c r="Q25" s="34"/>
    </row>
    <row r="26" spans="9:17">
      <c r="I26" s="32"/>
      <c r="J26" s="33" t="s">
        <v>1746</v>
      </c>
      <c r="K26" s="240" t="str">
        <f>IFERROR(K24+K25,"")</f>
        <v/>
      </c>
      <c r="L26" s="48"/>
      <c r="M26" s="48"/>
      <c r="N26" s="48" t="s">
        <v>956</v>
      </c>
      <c r="O26" s="33"/>
      <c r="P26" s="33"/>
      <c r="Q26" s="34"/>
    </row>
    <row r="27" spans="9:17">
      <c r="I27" s="32"/>
      <c r="J27" s="33"/>
      <c r="K27" s="240"/>
      <c r="L27" s="48"/>
      <c r="M27" s="48"/>
      <c r="N27" s="48"/>
      <c r="O27" s="33"/>
      <c r="P27" s="33"/>
      <c r="Q27" s="34"/>
    </row>
    <row r="28" spans="9:17">
      <c r="I28" s="32"/>
      <c r="J28" s="17" t="s">
        <v>1749</v>
      </c>
      <c r="K28" s="240"/>
      <c r="L28" s="48"/>
      <c r="M28" s="48"/>
      <c r="N28" s="48"/>
      <c r="O28" s="33"/>
      <c r="P28" s="33"/>
      <c r="Q28" s="34"/>
    </row>
    <row r="29" spans="9:17">
      <c r="I29" s="32"/>
      <c r="J29" s="33" t="s">
        <v>1747</v>
      </c>
      <c r="K29" s="239">
        <v>5</v>
      </c>
      <c r="L29" s="60"/>
      <c r="M29" s="60"/>
      <c r="N29" s="47" t="s">
        <v>9</v>
      </c>
      <c r="O29" s="33"/>
      <c r="P29" s="42" t="s">
        <v>162</v>
      </c>
      <c r="Q29" s="34"/>
    </row>
    <row r="30" spans="9:17">
      <c r="I30" s="32"/>
      <c r="J30" s="33" t="s">
        <v>1748</v>
      </c>
      <c r="K30" s="239">
        <v>5</v>
      </c>
      <c r="L30" s="60"/>
      <c r="M30" s="60"/>
      <c r="N30" s="47" t="s">
        <v>9</v>
      </c>
      <c r="O30" s="33"/>
      <c r="P30" s="42" t="s">
        <v>162</v>
      </c>
      <c r="Q30" s="34"/>
    </row>
    <row r="31" spans="9:17">
      <c r="I31" s="32"/>
      <c r="J31" s="33" t="s">
        <v>915</v>
      </c>
      <c r="K31" s="240" t="str">
        <f>IFERROR(60.976*K22^-0.28632,"")</f>
        <v/>
      </c>
      <c r="L31" s="48"/>
      <c r="M31" s="48"/>
      <c r="N31" s="48" t="s">
        <v>9</v>
      </c>
      <c r="O31" s="33"/>
      <c r="P31" s="42" t="s">
        <v>162</v>
      </c>
      <c r="Q31" s="34"/>
    </row>
    <row r="32" spans="9:17" ht="16.5"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1737</v>
      </c>
      <c r="K34" s="35"/>
      <c r="L34" s="33"/>
      <c r="M34" s="33"/>
      <c r="N34" s="33"/>
      <c r="O34" s="33"/>
      <c r="P34" s="33"/>
      <c r="Q34" s="34"/>
    </row>
    <row r="35" spans="9:17">
      <c r="I35" s="32"/>
      <c r="J35" s="33"/>
      <c r="K35" s="35"/>
      <c r="L35" s="33"/>
      <c r="M35" s="33"/>
      <c r="N35" s="33"/>
      <c r="O35" s="33"/>
      <c r="P35" s="33"/>
      <c r="Q35" s="34"/>
    </row>
    <row r="36" spans="9:17">
      <c r="I36" s="32"/>
      <c r="J36" s="17" t="s">
        <v>389</v>
      </c>
      <c r="K36" s="65" t="s">
        <v>39</v>
      </c>
      <c r="L36" s="65" t="s">
        <v>40</v>
      </c>
      <c r="M36" s="65" t="s">
        <v>41</v>
      </c>
      <c r="N36" s="33"/>
      <c r="O36" s="33"/>
      <c r="P36" s="33"/>
      <c r="Q36" s="34"/>
    </row>
    <row r="37" spans="9:17">
      <c r="I37" s="32"/>
      <c r="J37" s="33" t="s">
        <v>12</v>
      </c>
      <c r="K37" s="44">
        <v>100000000</v>
      </c>
      <c r="L37" s="59">
        <v>50000000</v>
      </c>
      <c r="M37" s="59">
        <v>300000000</v>
      </c>
      <c r="N37" s="47" t="str">
        <f>IF(OutMassUnit="","",OutMassUnit)</f>
        <v>lb</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49">
        <f>K37*K38/100</f>
        <v>100000000</v>
      </c>
      <c r="L39" s="38"/>
      <c r="M39" s="38"/>
      <c r="N39" s="48" t="str">
        <f>IF(OutMassUnit="","",OutMassUnit)</f>
        <v>lb</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909</v>
      </c>
      <c r="K43" s="45">
        <v>90</v>
      </c>
      <c r="L43" s="60">
        <v>85</v>
      </c>
      <c r="M43" s="60">
        <v>95</v>
      </c>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12683.916793505834</v>
      </c>
      <c r="L45" s="38"/>
      <c r="M45" s="38"/>
      <c r="N45" s="48" t="str">
        <f>IF(OutMassUnit="","",OutMassUnit&amp;"/hr")</f>
        <v>lb/hr</v>
      </c>
      <c r="O45" s="33"/>
      <c r="P45" s="42" t="s">
        <v>162</v>
      </c>
      <c r="Q45" s="34"/>
    </row>
    <row r="46" spans="9:17">
      <c r="I46" s="32"/>
      <c r="J46" s="33"/>
      <c r="K46" s="49"/>
      <c r="L46" s="38"/>
      <c r="M46" s="38"/>
      <c r="N46" s="48"/>
      <c r="O46" s="33"/>
      <c r="P46" s="33"/>
      <c r="Q46" s="34"/>
    </row>
    <row r="47" spans="9:17">
      <c r="I47" s="32"/>
      <c r="J47" s="17" t="s">
        <v>1119</v>
      </c>
      <c r="K47" s="49"/>
      <c r="L47" s="38"/>
      <c r="M47" s="38"/>
      <c r="N47" s="48"/>
      <c r="O47" s="33"/>
      <c r="P47" s="33"/>
      <c r="Q47" s="34"/>
    </row>
    <row r="48" spans="9:17">
      <c r="I48" s="32"/>
      <c r="J48" s="33" t="s">
        <v>1120</v>
      </c>
      <c r="K48" s="45">
        <v>10</v>
      </c>
      <c r="L48" s="60"/>
      <c r="M48" s="60"/>
      <c r="N48" s="47" t="s">
        <v>8</v>
      </c>
      <c r="O48" s="33"/>
      <c r="P48" s="42" t="s">
        <v>162</v>
      </c>
      <c r="Q48" s="34"/>
    </row>
    <row r="49" spans="9:17">
      <c r="I49" s="32"/>
      <c r="J49" s="33"/>
      <c r="K49" s="49"/>
      <c r="L49" s="38"/>
      <c r="M49" s="38"/>
      <c r="N49" s="48"/>
      <c r="O49" s="33"/>
      <c r="P49" s="33"/>
      <c r="Q49" s="34"/>
    </row>
    <row r="50" spans="9:17">
      <c r="I50" s="32"/>
      <c r="J50" s="17" t="s">
        <v>915</v>
      </c>
      <c r="K50" s="49"/>
      <c r="L50" s="38"/>
      <c r="M50" s="38"/>
      <c r="N50" s="48"/>
      <c r="O50" s="33"/>
      <c r="P50" s="33"/>
      <c r="Q50" s="34"/>
    </row>
    <row r="51" spans="9:17">
      <c r="I51" s="32"/>
      <c r="J51" s="33" t="s">
        <v>916</v>
      </c>
      <c r="K51" s="43" t="s">
        <v>1829</v>
      </c>
      <c r="L51" s="38"/>
      <c r="M51" s="38"/>
      <c r="N51" s="48"/>
      <c r="O51" s="33"/>
      <c r="P51" s="33"/>
      <c r="Q51" s="34"/>
    </row>
    <row r="52" spans="9:17">
      <c r="I52" s="32"/>
      <c r="J52" s="33" t="s">
        <v>1117</v>
      </c>
      <c r="K52" s="45">
        <v>25</v>
      </c>
      <c r="L52" s="60">
        <v>20</v>
      </c>
      <c r="M52" s="60">
        <v>30</v>
      </c>
      <c r="N52" s="47" t="s">
        <v>917</v>
      </c>
      <c r="O52" s="33"/>
      <c r="P52" s="33"/>
      <c r="Q52" s="34"/>
    </row>
    <row r="53" spans="9:17">
      <c r="I53" s="32"/>
      <c r="J53" s="33" t="s">
        <v>918</v>
      </c>
      <c r="K53" s="45"/>
      <c r="L53" s="60"/>
      <c r="M53" s="60"/>
      <c r="N53" s="47" t="s">
        <v>9</v>
      </c>
      <c r="O53" s="33"/>
      <c r="P53" s="33"/>
      <c r="Q53" s="34"/>
    </row>
    <row r="54" spans="9:17" ht="16.5" thickBot="1">
      <c r="I54" s="39"/>
      <c r="J54" s="40"/>
      <c r="K54" s="40"/>
      <c r="L54" s="40"/>
      <c r="M54" s="40"/>
      <c r="N54" s="40"/>
      <c r="O54" s="40"/>
      <c r="P54" s="40"/>
      <c r="Q54" s="41"/>
    </row>
  </sheetData>
  <mergeCells count="2">
    <mergeCell ref="B3:G3"/>
    <mergeCell ref="I3:Q3"/>
  </mergeCells>
  <conditionalFormatting sqref="D9 K37:K38 K42:K43 D11 C6">
    <cfRule type="containsBlanks" dxfId="215" priority="17">
      <formula>LEN(TRIM(C6))=0</formula>
    </cfRule>
  </conditionalFormatting>
  <conditionalFormatting sqref="K22">
    <cfRule type="containsBlanks" dxfId="214" priority="14">
      <formula>LEN(TRIM(K22))=0</formula>
    </cfRule>
  </conditionalFormatting>
  <conditionalFormatting sqref="K52">
    <cfRule type="containsBlanks" dxfId="213" priority="12">
      <formula>LEN(TRIM(K52))=0</formula>
    </cfRule>
  </conditionalFormatting>
  <conditionalFormatting sqref="K53">
    <cfRule type="containsBlanks" dxfId="212" priority="11">
      <formula>LEN(TRIM(K53))=0</formula>
    </cfRule>
  </conditionalFormatting>
  <conditionalFormatting sqref="D10">
    <cfRule type="containsBlanks" dxfId="211" priority="10">
      <formula>LEN(TRIM(D10))=0</formula>
    </cfRule>
  </conditionalFormatting>
  <conditionalFormatting sqref="D14">
    <cfRule type="containsBlanks" dxfId="210" priority="9">
      <formula>LEN(TRIM(D14))=0</formula>
    </cfRule>
  </conditionalFormatting>
  <conditionalFormatting sqref="K51">
    <cfRule type="containsBlanks" dxfId="209" priority="7">
      <formula>LEN(TRIM(K51))=0</formula>
    </cfRule>
  </conditionalFormatting>
  <conditionalFormatting sqref="K48">
    <cfRule type="containsBlanks" dxfId="208" priority="6">
      <formula>LEN(TRIM(K48))=0</formula>
    </cfRule>
  </conditionalFormatting>
  <conditionalFormatting sqref="K53:M53">
    <cfRule type="expression" dxfId="207" priority="3">
      <formula>$K$51="ROI"</formula>
    </cfRule>
  </conditionalFormatting>
  <conditionalFormatting sqref="K29">
    <cfRule type="containsBlanks" dxfId="206" priority="2">
      <formula>LEN(TRIM(K29))=0</formula>
    </cfRule>
  </conditionalFormatting>
  <conditionalFormatting sqref="K30">
    <cfRule type="containsBlanks" dxfId="205" priority="1">
      <formula>LEN(TRIM(K30))=0</formula>
    </cfRule>
  </conditionalFormatting>
  <conditionalFormatting sqref="K52:M52">
    <cfRule type="expression" dxfId="204"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42 A37:J37 N37:XFD37 A7:XFD8 A6:B6 D6:XFD6 A44:XFD50 A43:K43 N43:XFD43"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activeCell="K15" sqref="K15"/>
    </sheetView>
  </sheetViews>
  <sheetFormatPr defaultColWidth="11" defaultRowHeight="15.75" outlineLevelCol="1"/>
  <cols>
    <col min="1" max="2" width="2.5" style="11" customWidth="1"/>
    <col min="3" max="3" width="34.625" style="11" customWidth="1"/>
    <col min="4" max="4" width="12.375" style="11" customWidth="1"/>
    <col min="5" max="6" width="11.375" style="11" customWidth="1" outlineLevel="1"/>
    <col min="7" max="7" width="8.125" style="11" customWidth="1"/>
    <col min="8" max="8" width="2.5" style="11" customWidth="1"/>
    <col min="9" max="9" width="11.375" style="11" bestFit="1" customWidth="1"/>
    <col min="10" max="10" width="2.5" style="11" customWidth="1"/>
    <col min="11" max="11" width="13.375" style="11" customWidth="1"/>
    <col min="12" max="12" width="25.875" style="11" bestFit="1" customWidth="1"/>
    <col min="13" max="13" width="23.875" style="11" customWidth="1"/>
    <col min="14" max="15" width="11.875" style="11" customWidth="1" outlineLevel="1"/>
    <col min="16" max="16" width="2.5" style="11" customWidth="1"/>
    <col min="17" max="17" width="22.1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FCC RE USY</v>
      </c>
      <c r="G1" s="109" t="s">
        <v>44</v>
      </c>
      <c r="H1" s="110"/>
      <c r="I1" s="110"/>
      <c r="J1" s="110"/>
      <c r="K1" s="110"/>
      <c r="L1" s="110"/>
      <c r="M1" s="110"/>
      <c r="N1" s="110"/>
      <c r="O1" s="110"/>
      <c r="P1" s="110"/>
      <c r="Q1" s="109" t="s">
        <v>44</v>
      </c>
      <c r="R1" s="110"/>
    </row>
    <row r="2" spans="2:19" ht="16.5" thickBot="1"/>
    <row r="3" spans="2:19" ht="21" thickBot="1">
      <c r="B3" s="419" t="s">
        <v>416</v>
      </c>
      <c r="C3" s="420"/>
      <c r="D3" s="421"/>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387</v>
      </c>
      <c r="E6" s="18"/>
      <c r="F6" s="18"/>
      <c r="G6" s="18"/>
      <c r="H6" s="18"/>
      <c r="I6" s="42" t="s">
        <v>162</v>
      </c>
      <c r="J6" s="19"/>
    </row>
    <row r="7" spans="2:19">
      <c r="B7" s="16"/>
      <c r="C7" s="18" t="str">
        <f>IF($D$6="% Yield","% Yield of Finished Catalyst",IF($D$6="AP Mass","Active Phase Mass Yield",IF($D$6="Catalyst Mass","Finished Catalyst Mass Yield","&gt;&gt;&gt; Select a Yield Type")))</f>
        <v>Finished Catalyst Mass Yield</v>
      </c>
      <c r="D7" s="45">
        <v>1</v>
      </c>
      <c r="E7" s="60">
        <v>0.8</v>
      </c>
      <c r="F7" s="60"/>
      <c r="G7" s="47" t="str">
        <f>IF($D$6="% Yield","%",IF(OutMassUnit="","",IF($D$6="AP Mass",OutMassUnit,IF($D$6="Catalyst Mass",OutMassUnit,""))))</f>
        <v>lb</v>
      </c>
      <c r="H7" s="18"/>
      <c r="I7" s="18"/>
      <c r="J7" s="19"/>
    </row>
    <row r="8" spans="2:19" ht="15" customHeight="1">
      <c r="B8" s="16"/>
      <c r="C8" s="18" t="s">
        <v>35</v>
      </c>
      <c r="D8" s="56"/>
      <c r="E8" s="352"/>
      <c r="F8" s="62"/>
      <c r="G8" s="47" t="s">
        <v>1082</v>
      </c>
      <c r="H8" s="18"/>
      <c r="I8" s="42" t="s">
        <v>162</v>
      </c>
      <c r="J8" s="19"/>
    </row>
    <row r="9" spans="2:19" ht="15" customHeight="1">
      <c r="B9" s="16"/>
      <c r="C9" s="18" t="s">
        <v>26</v>
      </c>
      <c r="D9" s="56"/>
      <c r="E9" s="63"/>
      <c r="F9" s="63"/>
      <c r="G9" s="47" t="s">
        <v>123</v>
      </c>
      <c r="H9" s="18"/>
      <c r="I9" s="42" t="s">
        <v>162</v>
      </c>
      <c r="J9" s="19"/>
    </row>
    <row r="10" spans="2:19" ht="16.5" thickBot="1">
      <c r="B10" s="16"/>
      <c r="C10" s="18" t="s">
        <v>25</v>
      </c>
      <c r="D10" s="45">
        <v>100</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1</v>
      </c>
      <c r="E11" s="48"/>
      <c r="F11" s="48"/>
      <c r="G11" s="48" t="str">
        <f>IF(OutMassUnit="","",OutMassUnit)</f>
        <v>lb</v>
      </c>
      <c r="H11" s="18"/>
      <c r="I11" s="18"/>
      <c r="J11" s="19"/>
      <c r="P11" s="419" t="s">
        <v>417</v>
      </c>
      <c r="Q11" s="420"/>
      <c r="R11" s="420"/>
      <c r="S11" s="421"/>
    </row>
    <row r="12" spans="2:19">
      <c r="B12" s="16"/>
      <c r="C12" s="18" t="s">
        <v>34</v>
      </c>
      <c r="D12" s="54">
        <f>IFERROR($D$11/$D$10*100,"---")</f>
        <v>1</v>
      </c>
      <c r="E12" s="48"/>
      <c r="F12" s="48"/>
      <c r="G12" s="48" t="str">
        <f>IF(OutMassUnit="","",OutMassUnit)</f>
        <v>lb</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($/lb catalyst)</v>
      </c>
      <c r="R13" s="92" t="str">
        <f>"Cost ("&amp;CurrencySymbol&amp;"/year)"</f>
        <v>Cost ($/year)</v>
      </c>
      <c r="S13" s="19"/>
    </row>
    <row r="14" spans="2:19">
      <c r="B14" s="16"/>
      <c r="C14" s="20" t="s">
        <v>218</v>
      </c>
      <c r="D14" s="45">
        <v>3</v>
      </c>
      <c r="E14" s="60">
        <v>2</v>
      </c>
      <c r="F14" s="60">
        <v>5</v>
      </c>
      <c r="G14" s="47" t="s">
        <v>9</v>
      </c>
      <c r="H14" s="18"/>
      <c r="I14" s="42" t="s">
        <v>162</v>
      </c>
      <c r="J14" s="19"/>
      <c r="P14" s="16"/>
      <c r="Q14" s="93">
        <f>SUM(Q21:Q25,Q32:Q36,Q43:Q55)</f>
        <v>0.36294109999999996</v>
      </c>
      <c r="R14" s="94">
        <f>SUM(R21:R25,R32:R36,R43:R55)</f>
        <v>36294110</v>
      </c>
      <c r="S14" s="19"/>
    </row>
    <row r="15" spans="2:19" ht="16.5" thickBot="1">
      <c r="B15" s="21"/>
      <c r="C15" s="22"/>
      <c r="D15" s="22"/>
      <c r="E15" s="22"/>
      <c r="F15" s="22"/>
      <c r="G15" s="22"/>
      <c r="H15" s="22"/>
      <c r="I15" s="22"/>
      <c r="J15" s="23"/>
      <c r="P15" s="21"/>
      <c r="Q15" s="22"/>
      <c r="R15" s="22"/>
      <c r="S15" s="23"/>
    </row>
    <row r="16" spans="2:19" ht="16.5" thickBot="1"/>
    <row r="17" spans="2:19" ht="21" thickBot="1">
      <c r="B17" s="419" t="s">
        <v>440</v>
      </c>
      <c r="C17" s="420"/>
      <c r="D17" s="421"/>
      <c r="E17" s="98"/>
    </row>
    <row r="18" spans="2:19" ht="15" customHeight="1">
      <c r="B18" s="68"/>
      <c r="C18" s="14"/>
      <c r="D18" s="14"/>
      <c r="E18" s="18"/>
      <c r="F18" s="14"/>
      <c r="G18" s="14"/>
      <c r="H18" s="14"/>
      <c r="I18" s="14"/>
      <c r="J18" s="14"/>
      <c r="K18" s="14"/>
      <c r="L18" s="14"/>
      <c r="M18" s="14"/>
      <c r="N18" s="14"/>
      <c r="O18" s="14"/>
      <c r="P18" s="14"/>
      <c r="Q18" s="14"/>
      <c r="R18" s="14"/>
      <c r="S18" s="15"/>
    </row>
    <row r="19" spans="2:19" ht="18.75">
      <c r="B19" s="16"/>
      <c r="C19" s="426" t="s">
        <v>21</v>
      </c>
      <c r="D19" s="426"/>
      <c r="E19" s="426"/>
      <c r="F19" s="426"/>
      <c r="G19" s="426"/>
      <c r="H19" s="87"/>
      <c r="I19" s="426" t="s">
        <v>23</v>
      </c>
      <c r="J19" s="426"/>
      <c r="K19" s="426"/>
      <c r="L19" s="426"/>
      <c r="M19" s="426"/>
      <c r="N19" s="426"/>
      <c r="O19" s="426"/>
      <c r="P19" s="88"/>
      <c r="Q19" s="426" t="s">
        <v>217</v>
      </c>
      <c r="R19" s="426"/>
      <c r="S19" s="19"/>
    </row>
    <row r="20" spans="2:19">
      <c r="B20" s="16"/>
      <c r="C20" s="64" t="s">
        <v>17</v>
      </c>
      <c r="D20" s="64" t="s">
        <v>22</v>
      </c>
      <c r="E20" s="65" t="s">
        <v>37</v>
      </c>
      <c r="F20" s="65" t="s">
        <v>38</v>
      </c>
      <c r="G20" s="64" t="s">
        <v>18</v>
      </c>
      <c r="H20" s="64"/>
      <c r="I20" s="64" t="str">
        <f>"Q in "&amp;OutMassUnit</f>
        <v>Q in lb</v>
      </c>
      <c r="J20" s="64"/>
      <c r="K20" s="64" t="s">
        <v>36</v>
      </c>
      <c r="L20" s="64" t="str">
        <f>"Q ("&amp;OutMassUnit&amp;"/"&amp;OutMassUnit&amp;" catalyst)"</f>
        <v>Q (lb/lb catalyst)</v>
      </c>
      <c r="M20" s="64" t="str">
        <f>"Unit Price ("&amp;BasisYear&amp;" "&amp;CurrencySymbol&amp;"/"&amp;OutMassUnit&amp;")"</f>
        <v>Unit Price (2016 $/lb)</v>
      </c>
      <c r="N20" s="65" t="s">
        <v>45</v>
      </c>
      <c r="O20" s="65" t="s">
        <v>46</v>
      </c>
      <c r="P20" s="64"/>
      <c r="Q20" s="64" t="str">
        <f>"Cost ("&amp;CurrencySymbol&amp;"/"&amp;OutMassUnit&amp;" catalyst)"</f>
        <v>Cost ($/lb catalyst)</v>
      </c>
      <c r="R20" s="64" t="str">
        <f>"Cost ("&amp;CurrencySymbol&amp;"/year)"</f>
        <v>Cost ($/year)</v>
      </c>
      <c r="S20" s="19"/>
    </row>
    <row r="21" spans="2:19">
      <c r="B21" s="16"/>
      <c r="C21" s="69"/>
      <c r="D21" s="71"/>
      <c r="E21" s="72"/>
      <c r="F21" s="72"/>
      <c r="G21" s="74"/>
      <c r="H21" s="73"/>
      <c r="I21" s="75" t="str">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
      </c>
      <c r="J21" s="75"/>
      <c r="K21" s="75" t="str">
        <f>IF(I21="","",IFERROR(I21*VLOOKUP(OutMassUnit,UnitConv[],5,FALSE)/VLOOKUP("g",UnitConv[],5,FALSE)/INDEX(RawMaterials[],MATCH(C21,RawMaterials[[Material Name]:[Material Name]],0),MATCH("MW (g/mol)",RawMaterials[#Headers],0)),"n/a"))</f>
        <v/>
      </c>
      <c r="L21" s="76" t="str">
        <f>IFERROR(I21/$D$12,"")</f>
        <v/>
      </c>
      <c r="M21" s="77" t="str">
        <f>IFERROR(INDEX(RawMaterials[],MATCH($C21,RawMaterials[[Material Name]:[Material Name]],0),MATCH("Unit Price",RawMaterials[#Headers],0)),"")</f>
        <v/>
      </c>
      <c r="N21" s="89" t="str">
        <f>IFERROR(0.7*$M21,"")</f>
        <v/>
      </c>
      <c r="O21" s="90" t="str">
        <f>IFERROR(1.3*$M21,"")</f>
        <v/>
      </c>
      <c r="P21" s="78"/>
      <c r="Q21" s="79" t="str">
        <f>IFERROR(L21*M21*(100+$D$14)/100,"")</f>
        <v/>
      </c>
      <c r="R21" s="80" t="str">
        <f>IFERROR(Q21*ActualProduction,"")</f>
        <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6.5" thickBot="1">
      <c r="B26" s="21"/>
      <c r="C26" s="67"/>
      <c r="D26" s="67"/>
      <c r="E26" s="67"/>
      <c r="F26" s="67"/>
      <c r="G26" s="67"/>
      <c r="H26" s="67"/>
      <c r="I26" s="67"/>
      <c r="J26" s="67"/>
      <c r="K26" s="67"/>
      <c r="L26" s="67"/>
      <c r="M26" s="67"/>
      <c r="N26" s="67"/>
      <c r="O26" s="67"/>
      <c r="P26" s="67"/>
      <c r="Q26" s="67"/>
      <c r="R26" s="67"/>
      <c r="S26" s="23"/>
    </row>
    <row r="27" spans="2:19" ht="16.5" thickBot="1">
      <c r="C27" s="95"/>
      <c r="D27" s="95"/>
      <c r="E27" s="95"/>
      <c r="F27" s="95"/>
      <c r="G27" s="95"/>
      <c r="H27" s="95"/>
      <c r="I27" s="95"/>
      <c r="J27" s="95"/>
      <c r="K27" s="95"/>
      <c r="L27" s="95"/>
      <c r="M27" s="95"/>
      <c r="N27" s="95"/>
      <c r="O27" s="95"/>
      <c r="P27" s="95"/>
      <c r="Q27" s="95"/>
      <c r="R27" s="95"/>
    </row>
    <row r="28" spans="2:19" ht="21" thickBot="1">
      <c r="B28" s="419" t="s">
        <v>441</v>
      </c>
      <c r="C28" s="420"/>
      <c r="D28" s="421"/>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18.75">
      <c r="B30" s="16"/>
      <c r="C30" s="426" t="s">
        <v>21</v>
      </c>
      <c r="D30" s="426"/>
      <c r="E30" s="426"/>
      <c r="F30" s="426"/>
      <c r="G30" s="426"/>
      <c r="H30" s="87"/>
      <c r="I30" s="426" t="s">
        <v>23</v>
      </c>
      <c r="J30" s="426"/>
      <c r="K30" s="426"/>
      <c r="L30" s="426"/>
      <c r="M30" s="426"/>
      <c r="N30" s="426"/>
      <c r="O30" s="426"/>
      <c r="P30" s="88"/>
      <c r="Q30" s="426" t="s">
        <v>217</v>
      </c>
      <c r="R30" s="426"/>
      <c r="S30" s="19"/>
    </row>
    <row r="31" spans="2:19">
      <c r="B31" s="16"/>
      <c r="C31" s="64" t="s">
        <v>17</v>
      </c>
      <c r="D31" s="64" t="s">
        <v>22</v>
      </c>
      <c r="E31" s="65" t="s">
        <v>37</v>
      </c>
      <c r="F31" s="65" t="s">
        <v>38</v>
      </c>
      <c r="G31" s="64" t="s">
        <v>18</v>
      </c>
      <c r="H31" s="64"/>
      <c r="I31" s="64" t="str">
        <f>"Q in "&amp;OutMassUnit</f>
        <v>Q in lb</v>
      </c>
      <c r="J31" s="64"/>
      <c r="K31" s="64" t="s">
        <v>36</v>
      </c>
      <c r="L31" s="64" t="str">
        <f>"Q ("&amp;OutMassUnit&amp;"/"&amp;OutMassUnit&amp;" catalyst)"</f>
        <v>Q (lb/lb catalyst)</v>
      </c>
      <c r="M31" s="64" t="str">
        <f>"Unit Price ("&amp;BasisYear&amp;" "&amp;CurrencySymbol&amp;"/"&amp;OutMassUnit&amp;")"</f>
        <v>Unit Price (2016 $/lb)</v>
      </c>
      <c r="N31" s="65" t="s">
        <v>45</v>
      </c>
      <c r="O31" s="65" t="s">
        <v>46</v>
      </c>
      <c r="P31" s="64"/>
      <c r="Q31" s="64" t="str">
        <f>"Cost ("&amp;CurrencySymbol&amp;"/"&amp;OutMassUnit&amp;" catalyst)"</f>
        <v>Cost ($/lb catalyst)</v>
      </c>
      <c r="R31" s="64" t="str">
        <f>"Cost ("&amp;CurrencySymbol&amp;"/year)"</f>
        <v>Cost ($/year)</v>
      </c>
      <c r="S31" s="19"/>
    </row>
    <row r="32" spans="2:19">
      <c r="B32" s="16"/>
      <c r="C32" s="69"/>
      <c r="D32" s="71"/>
      <c r="E32" s="72"/>
      <c r="F32" s="72"/>
      <c r="G32" s="74"/>
      <c r="H32" s="73"/>
      <c r="I32" s="75" t="str">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
      </c>
      <c r="J32" s="75"/>
      <c r="K32" s="75" t="str">
        <f>IF(I32="","",IFERROR(I32*VLOOKUP(OutMassUnit,UnitConv[],5,FALSE)/VLOOKUP("g",UnitConv[],5,FALSE)/INDEX(RawMaterials[],MATCH(C32,RawMaterials[[Material Name]:[Material Name]],0),MATCH("MW (g/mol)",RawMaterials[#Headers],0)),"n/a"))</f>
        <v/>
      </c>
      <c r="L32" s="76" t="str">
        <f>IFERROR(I32/$D$12,"")</f>
        <v/>
      </c>
      <c r="M32" s="77" t="str">
        <f>IFERROR(INDEX(RawMaterials[],MATCH($C32,RawMaterials[[Material Name]:[Material Name]],0),MATCH("Unit Price",RawMaterials[#Headers],0)),"")</f>
        <v/>
      </c>
      <c r="N32" s="89" t="str">
        <f>IFERROR(0.7*$M32,"")</f>
        <v/>
      </c>
      <c r="O32" s="90" t="str">
        <f>IFERROR(1.3*$M32,"")</f>
        <v/>
      </c>
      <c r="P32" s="78"/>
      <c r="Q32" s="79" t="str">
        <f>IFERROR(L32*M32*(100+$D$14)/100,"")</f>
        <v/>
      </c>
      <c r="R32" s="80" t="str">
        <f>IFERROR(Q32*ActualProduction,"")</f>
        <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9" t="str">
        <f t="shared" ref="N33:N36" si="3">IFERROR(0.7*$M33,"")</f>
        <v/>
      </c>
      <c r="O33" s="90"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6.5" thickBot="1">
      <c r="B37" s="21"/>
      <c r="C37" s="67"/>
      <c r="D37" s="67"/>
      <c r="E37" s="67"/>
      <c r="F37" s="67"/>
      <c r="G37" s="67"/>
      <c r="H37" s="67"/>
      <c r="I37" s="67"/>
      <c r="J37" s="67"/>
      <c r="K37" s="67"/>
      <c r="L37" s="67"/>
      <c r="M37" s="67"/>
      <c r="N37" s="67"/>
      <c r="O37" s="67"/>
      <c r="P37" s="67"/>
      <c r="Q37" s="67"/>
      <c r="R37" s="67"/>
      <c r="S37" s="23"/>
    </row>
    <row r="38" spans="2:20" ht="16.5" thickBot="1">
      <c r="C38" s="95"/>
      <c r="D38" s="95"/>
      <c r="E38" s="95"/>
      <c r="F38" s="95"/>
      <c r="G38" s="95"/>
      <c r="H38" s="95"/>
      <c r="I38" s="95"/>
      <c r="J38" s="95"/>
      <c r="K38" s="95"/>
      <c r="L38" s="95"/>
      <c r="M38" s="95"/>
      <c r="N38" s="95"/>
      <c r="O38" s="95"/>
      <c r="P38" s="95"/>
      <c r="Q38" s="95"/>
      <c r="R38" s="95"/>
    </row>
    <row r="39" spans="2:20" ht="21" thickBot="1">
      <c r="B39" s="419" t="s">
        <v>1842</v>
      </c>
      <c r="C39" s="420"/>
      <c r="D39" s="421"/>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18.75">
      <c r="B41" s="16"/>
      <c r="C41" s="426" t="s">
        <v>21</v>
      </c>
      <c r="D41" s="426"/>
      <c r="E41" s="426"/>
      <c r="F41" s="426"/>
      <c r="G41" s="426"/>
      <c r="H41" s="87"/>
      <c r="I41" s="426" t="s">
        <v>23</v>
      </c>
      <c r="J41" s="426"/>
      <c r="K41" s="426"/>
      <c r="L41" s="426"/>
      <c r="M41" s="426"/>
      <c r="N41" s="426"/>
      <c r="O41" s="426"/>
      <c r="P41" s="88"/>
      <c r="Q41" s="426" t="s">
        <v>217</v>
      </c>
      <c r="R41" s="426"/>
      <c r="S41" s="19"/>
    </row>
    <row r="42" spans="2:20">
      <c r="B42" s="16"/>
      <c r="C42" s="64" t="s">
        <v>17</v>
      </c>
      <c r="D42" s="64" t="s">
        <v>22</v>
      </c>
      <c r="E42" s="65" t="s">
        <v>37</v>
      </c>
      <c r="F42" s="65" t="s">
        <v>38</v>
      </c>
      <c r="G42" s="64" t="s">
        <v>18</v>
      </c>
      <c r="H42" s="64"/>
      <c r="I42" s="64" t="str">
        <f>"Q in "&amp;OutMassUnit</f>
        <v>Q in lb</v>
      </c>
      <c r="J42" s="64"/>
      <c r="K42" s="64" t="s">
        <v>36</v>
      </c>
      <c r="L42" s="64" t="str">
        <f>"Q ("&amp;OutMassUnit&amp;"/"&amp;OutMassUnit&amp;" catalyst)"</f>
        <v>Q (lb/lb catalyst)</v>
      </c>
      <c r="M42" s="64" t="str">
        <f>"Unit Price ("&amp;BasisYear&amp;" "&amp;CurrencySymbol&amp;"/"&amp;OutMassUnit&amp;")"</f>
        <v>Unit Price (2016 $/lb)</v>
      </c>
      <c r="N42" s="65" t="s">
        <v>45</v>
      </c>
      <c r="O42" s="65" t="s">
        <v>46</v>
      </c>
      <c r="P42" s="64"/>
      <c r="Q42" s="64" t="str">
        <f>"Cost ("&amp;CurrencySymbol&amp;"/"&amp;OutMassUnit&amp;" catalyst)"</f>
        <v>Cost ($/lb catalyst)</v>
      </c>
      <c r="R42" s="64" t="str">
        <f>"Cost ("&amp;CurrencySymbol&amp;"/year)"</f>
        <v>Cost ($/year)</v>
      </c>
      <c r="S42" s="19"/>
    </row>
    <row r="43" spans="2:20">
      <c r="B43" s="16"/>
      <c r="C43" s="69" t="s">
        <v>1844</v>
      </c>
      <c r="D43" s="83">
        <v>0.81899999999999995</v>
      </c>
      <c r="E43" s="84"/>
      <c r="F43" s="84"/>
      <c r="G43" s="74" t="s">
        <v>20</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0.81899999999999995</v>
      </c>
      <c r="J43" s="75"/>
      <c r="K43" s="75" t="str">
        <f>IF(I43="","",IFERROR(I43*VLOOKUP(OutMassUnit,UnitConv[],5,FALSE)/VLOOKUP("g",UnitConv[],5,FALSE)/INDEX(RawMaterials[],MATCH(C43,RawMaterials[[Material Name]:[Material Name]],0),MATCH("MW (g/mol)",RawMaterials[#Headers],0)),"n/a"))</f>
        <v>n/a</v>
      </c>
      <c r="L43" s="75">
        <f t="shared" ref="L43:L55" si="6">IFERROR(I43/$D$12,"")</f>
        <v>0.81899999999999995</v>
      </c>
      <c r="M43" s="77">
        <f>IFERROR(INDEX(RawMaterials[],MATCH($C43,RawMaterials[[Material Name]:[Material Name]],0),MATCH("Unit Price",RawMaterials[#Headers],0)),"")</f>
        <v>0.25</v>
      </c>
      <c r="N43" s="89">
        <f>IFERROR(0.7*$M43,"")</f>
        <v>0.17499999999999999</v>
      </c>
      <c r="O43" s="90">
        <f>IFERROR(1.3*$M43,"")</f>
        <v>0.32500000000000001</v>
      </c>
      <c r="P43" s="66"/>
      <c r="Q43" s="85">
        <f t="shared" ref="Q43:Q55" si="7">IFERROR(L43*M43*(100+$D$14)/100,"")</f>
        <v>0.21089250000000001</v>
      </c>
      <c r="R43" s="86">
        <f t="shared" ref="R43:R55" si="8">IFERROR(Q43*ActualProduction,"")</f>
        <v>21089250</v>
      </c>
      <c r="S43" s="19"/>
      <c r="T43" s="96"/>
    </row>
    <row r="44" spans="2:20">
      <c r="B44" s="16"/>
      <c r="C44" s="69" t="s">
        <v>1845</v>
      </c>
      <c r="D44" s="83">
        <v>0.14000000000000001</v>
      </c>
      <c r="E44" s="84"/>
      <c r="F44" s="84"/>
      <c r="G44" s="74" t="s">
        <v>20</v>
      </c>
      <c r="H44" s="73"/>
      <c r="I44" s="75">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0.14000000000000001</v>
      </c>
      <c r="J44" s="75"/>
      <c r="K44" s="75" t="str">
        <f>IF(I44="","",IFERROR(I44*VLOOKUP(OutMassUnit,UnitConv[],5,FALSE)/VLOOKUP("g",UnitConv[],5,FALSE)/INDEX(RawMaterials[],MATCH(C44,RawMaterials[[Material Name]:[Material Name]],0),MATCH("MW (g/mol)",RawMaterials[#Headers],0)),"n/a"))</f>
        <v>n/a</v>
      </c>
      <c r="L44" s="75">
        <f t="shared" si="6"/>
        <v>0.14000000000000001</v>
      </c>
      <c r="M44" s="77">
        <f>IFERROR(INDEX(RawMaterials[],MATCH($C44,RawMaterials[[Material Name]:[Material Name]],0),MATCH("Unit Price",RawMaterials[#Headers],0)),"")</f>
        <v>0.3</v>
      </c>
      <c r="N44" s="89">
        <f t="shared" ref="N44:N55" si="9">IFERROR(0.7*$M44,"")</f>
        <v>0.21</v>
      </c>
      <c r="O44" s="90">
        <f t="shared" ref="O44:O55" si="10">IFERROR(1.3*$M44,"")</f>
        <v>0.39</v>
      </c>
      <c r="P44" s="66"/>
      <c r="Q44" s="85">
        <f t="shared" si="7"/>
        <v>4.3260000000000007E-2</v>
      </c>
      <c r="R44" s="86">
        <f t="shared" si="8"/>
        <v>4326000.0000000009</v>
      </c>
      <c r="S44" s="19"/>
      <c r="T44" s="96"/>
    </row>
    <row r="45" spans="2:20">
      <c r="B45" s="16"/>
      <c r="C45" s="69" t="s">
        <v>1846</v>
      </c>
      <c r="D45" s="83">
        <v>7.3999999999999996E-2</v>
      </c>
      <c r="E45" s="84"/>
      <c r="F45" s="84"/>
      <c r="G45" s="74" t="s">
        <v>20</v>
      </c>
      <c r="H45" s="73"/>
      <c r="I45" s="75">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7.3999999999999996E-2</v>
      </c>
      <c r="J45" s="75"/>
      <c r="K45" s="75" t="str">
        <f>IF(I45="","",IFERROR(I45*VLOOKUP(OutMassUnit,UnitConv[],5,FALSE)/VLOOKUP("g",UnitConv[],5,FALSE)/INDEX(RawMaterials[],MATCH(C45,RawMaterials[[Material Name]:[Material Name]],0),MATCH("MW (g/mol)",RawMaterials[#Headers],0)),"n/a"))</f>
        <v>n/a</v>
      </c>
      <c r="L45" s="75">
        <f t="shared" si="6"/>
        <v>7.3999999999999996E-2</v>
      </c>
      <c r="M45" s="77">
        <f>IFERROR(INDEX(RawMaterials[],MATCH($C45,RawMaterials[[Material Name]:[Material Name]],0),MATCH("Unit Price",RawMaterials[#Headers],0)),"")</f>
        <v>0.2</v>
      </c>
      <c r="N45" s="89">
        <f t="shared" si="9"/>
        <v>0.13999999999999999</v>
      </c>
      <c r="O45" s="90">
        <f t="shared" si="10"/>
        <v>0.26</v>
      </c>
      <c r="P45" s="66"/>
      <c r="Q45" s="85">
        <f t="shared" si="7"/>
        <v>1.5244000000000001E-2</v>
      </c>
      <c r="R45" s="86">
        <f t="shared" si="8"/>
        <v>1524400</v>
      </c>
      <c r="S45" s="19"/>
      <c r="T45" s="96"/>
    </row>
    <row r="46" spans="2:20">
      <c r="B46" s="16"/>
      <c r="C46" s="69" t="s">
        <v>1847</v>
      </c>
      <c r="D46" s="83">
        <v>0.22</v>
      </c>
      <c r="E46" s="84"/>
      <c r="F46" s="84"/>
      <c r="G46" s="74" t="s">
        <v>20</v>
      </c>
      <c r="H46" s="73"/>
      <c r="I46" s="75">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0.22</v>
      </c>
      <c r="J46" s="75"/>
      <c r="K46" s="75" t="str">
        <f>IF(I46="","",IFERROR(I46*VLOOKUP(OutMassUnit,UnitConv[],5,FALSE)/VLOOKUP("g",UnitConv[],5,FALSE)/INDEX(RawMaterials[],MATCH(C46,RawMaterials[[Material Name]:[Material Name]],0),MATCH("MW (g/mol)",RawMaterials[#Headers],0)),"n/a"))</f>
        <v>n/a</v>
      </c>
      <c r="L46" s="75">
        <f t="shared" si="6"/>
        <v>0.22</v>
      </c>
      <c r="M46" s="77">
        <f>IFERROR(INDEX(RawMaterials[],MATCH($C46,RawMaterials[[Material Name]:[Material Name]],0),MATCH("Unit Price",RawMaterials[#Headers],0)),"")</f>
        <v>0.05</v>
      </c>
      <c r="N46" s="89">
        <f t="shared" si="9"/>
        <v>3.4999999999999996E-2</v>
      </c>
      <c r="O46" s="90">
        <f t="shared" si="10"/>
        <v>6.5000000000000002E-2</v>
      </c>
      <c r="P46" s="66"/>
      <c r="Q46" s="85">
        <f t="shared" si="7"/>
        <v>1.133E-2</v>
      </c>
      <c r="R46" s="86">
        <f t="shared" si="8"/>
        <v>1133000</v>
      </c>
      <c r="S46" s="19"/>
      <c r="T46" s="96"/>
    </row>
    <row r="47" spans="2:20">
      <c r="B47" s="16"/>
      <c r="C47" s="69" t="s">
        <v>388</v>
      </c>
      <c r="D47" s="83">
        <v>0.376</v>
      </c>
      <c r="E47" s="84"/>
      <c r="F47" s="84"/>
      <c r="G47" s="74" t="s">
        <v>20</v>
      </c>
      <c r="H47" s="73"/>
      <c r="I47" s="75">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0.376</v>
      </c>
      <c r="J47" s="75"/>
      <c r="K47" s="75" t="str">
        <f>IF(I47="","",IFERROR(I47*VLOOKUP(OutMassUnit,UnitConv[],5,FALSE)/VLOOKUP("g",UnitConv[],5,FALSE)/INDEX(RawMaterials[],MATCH(C47,RawMaterials[[Material Name]:[Material Name]],0),MATCH("MW (g/mol)",RawMaterials[#Headers],0)),"n/a"))</f>
        <v>n/a</v>
      </c>
      <c r="L47" s="75">
        <f t="shared" si="6"/>
        <v>0.376</v>
      </c>
      <c r="M47" s="77">
        <f>IFERROR(INDEX(RawMaterials[],MATCH($C47,RawMaterials[[Material Name]:[Material Name]],0),MATCH("Unit Price",RawMaterials[#Headers],0)),"")</f>
        <v>0.05</v>
      </c>
      <c r="N47" s="89">
        <f t="shared" si="9"/>
        <v>3.4999999999999996E-2</v>
      </c>
      <c r="O47" s="90">
        <f t="shared" si="10"/>
        <v>6.5000000000000002E-2</v>
      </c>
      <c r="P47" s="66"/>
      <c r="Q47" s="85">
        <f t="shared" si="7"/>
        <v>1.9364000000000003E-2</v>
      </c>
      <c r="R47" s="86">
        <f t="shared" si="8"/>
        <v>1936400.0000000002</v>
      </c>
      <c r="S47" s="19"/>
      <c r="T47" s="96"/>
    </row>
    <row r="48" spans="2:20">
      <c r="B48" s="16"/>
      <c r="C48" s="69" t="s">
        <v>1848</v>
      </c>
      <c r="D48" s="83">
        <v>3.5000000000000003E-2</v>
      </c>
      <c r="E48" s="84"/>
      <c r="F48" s="84"/>
      <c r="G48" s="74" t="s">
        <v>20</v>
      </c>
      <c r="H48" s="73"/>
      <c r="I48" s="75">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3.5000000000000003E-2</v>
      </c>
      <c r="J48" s="75"/>
      <c r="K48" s="75" t="str">
        <f>IF(I48="","",IFERROR(I48*VLOOKUP(OutMassUnit,UnitConv[],5,FALSE)/VLOOKUP("g",UnitConv[],5,FALSE)/INDEX(RawMaterials[],MATCH(C48,RawMaterials[[Material Name]:[Material Name]],0),MATCH("MW (g/mol)",RawMaterials[#Headers],0)),"n/a"))</f>
        <v>n/a</v>
      </c>
      <c r="L48" s="75">
        <f t="shared" si="6"/>
        <v>3.5000000000000003E-2</v>
      </c>
      <c r="M48" s="77">
        <f>IFERROR(INDEX(RawMaterials[],MATCH($C48,RawMaterials[[Material Name]:[Material Name]],0),MATCH("Unit Price",RawMaterials[#Headers],0)),"")</f>
        <v>1.5</v>
      </c>
      <c r="N48" s="89">
        <f t="shared" si="9"/>
        <v>1.0499999999999998</v>
      </c>
      <c r="O48" s="90">
        <f t="shared" si="10"/>
        <v>1.9500000000000002</v>
      </c>
      <c r="P48" s="66"/>
      <c r="Q48" s="85">
        <f t="shared" si="7"/>
        <v>5.4075000000000005E-2</v>
      </c>
      <c r="R48" s="86">
        <f t="shared" si="8"/>
        <v>5407500.0000000009</v>
      </c>
      <c r="S48" s="19"/>
      <c r="T48" s="96"/>
    </row>
    <row r="49" spans="2:20">
      <c r="B49" s="16"/>
      <c r="C49" s="69" t="s">
        <v>1849</v>
      </c>
      <c r="D49" s="83">
        <v>3.5999999999999997E-2</v>
      </c>
      <c r="E49" s="84"/>
      <c r="F49" s="84"/>
      <c r="G49" s="74" t="s">
        <v>20</v>
      </c>
      <c r="H49" s="73"/>
      <c r="I49" s="75">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3.5999999999999997E-2</v>
      </c>
      <c r="J49" s="75"/>
      <c r="K49" s="75" t="str">
        <f>IF(I49="","",IFERROR(I49*VLOOKUP(OutMassUnit,UnitConv[],5,FALSE)/VLOOKUP("g",UnitConv[],5,FALSE)/INDEX(RawMaterials[],MATCH(C49,RawMaterials[[Material Name]:[Material Name]],0),MATCH("MW (g/mol)",RawMaterials[#Headers],0)),"n/a"))</f>
        <v>n/a</v>
      </c>
      <c r="L49" s="75">
        <f t="shared" si="6"/>
        <v>3.5999999999999997E-2</v>
      </c>
      <c r="M49" s="77">
        <f>IFERROR(INDEX(RawMaterials[],MATCH($C49,RawMaterials[[Material Name]:[Material Name]],0),MATCH("Unit Price",RawMaterials[#Headers],0)),"")</f>
        <v>7.0000000000000007E-2</v>
      </c>
      <c r="N49" s="89">
        <f t="shared" si="9"/>
        <v>4.9000000000000002E-2</v>
      </c>
      <c r="O49" s="90">
        <f t="shared" si="10"/>
        <v>9.1000000000000011E-2</v>
      </c>
      <c r="P49" s="66"/>
      <c r="Q49" s="85">
        <f t="shared" si="7"/>
        <v>2.5956E-3</v>
      </c>
      <c r="R49" s="86">
        <f t="shared" si="8"/>
        <v>259560</v>
      </c>
      <c r="S49" s="19"/>
      <c r="T49" s="96"/>
    </row>
    <row r="50" spans="2:20">
      <c r="B50" s="16"/>
      <c r="C50" s="69" t="s">
        <v>1850</v>
      </c>
      <c r="D50" s="83">
        <v>0.06</v>
      </c>
      <c r="E50" s="84"/>
      <c r="F50" s="84"/>
      <c r="G50" s="74" t="s">
        <v>20</v>
      </c>
      <c r="H50" s="73"/>
      <c r="I50" s="75">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0.06</v>
      </c>
      <c r="J50" s="75"/>
      <c r="K50" s="75" t="str">
        <f>IF(I50="","",IFERROR(I50*VLOOKUP(OutMassUnit,UnitConv[],5,FALSE)/VLOOKUP("g",UnitConv[],5,FALSE)/INDEX(RawMaterials[],MATCH(C50,RawMaterials[[Material Name]:[Material Name]],0),MATCH("MW (g/mol)",RawMaterials[#Headers],0)),"n/a"))</f>
        <v>n/a</v>
      </c>
      <c r="L50" s="75">
        <f t="shared" si="6"/>
        <v>0.06</v>
      </c>
      <c r="M50" s="77">
        <f>IFERROR(INDEX(RawMaterials[],MATCH($C50,RawMaterials[[Material Name]:[Material Name]],0),MATCH("Unit Price",RawMaterials[#Headers],0)),"")</f>
        <v>0.1</v>
      </c>
      <c r="N50" s="89">
        <f t="shared" si="9"/>
        <v>6.9999999999999993E-2</v>
      </c>
      <c r="O50" s="90">
        <f t="shared" si="10"/>
        <v>0.13</v>
      </c>
      <c r="P50" s="66"/>
      <c r="Q50" s="85">
        <f t="shared" si="7"/>
        <v>6.1799999999999997E-3</v>
      </c>
      <c r="R50" s="86">
        <f t="shared" si="8"/>
        <v>618000</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6.5" thickBot="1">
      <c r="B56" s="21"/>
      <c r="C56" s="22"/>
      <c r="D56" s="22"/>
      <c r="E56" s="22"/>
      <c r="F56" s="22"/>
      <c r="G56" s="22"/>
      <c r="H56" s="22"/>
      <c r="I56" s="22"/>
      <c r="J56" s="22"/>
      <c r="K56" s="22"/>
      <c r="L56" s="22"/>
      <c r="M56" s="22"/>
      <c r="N56" s="22"/>
      <c r="O56" s="22"/>
      <c r="P56" s="22"/>
      <c r="Q56" s="22"/>
      <c r="R56" s="22"/>
      <c r="S56" s="23"/>
    </row>
  </sheetData>
  <mergeCells count="14">
    <mergeCell ref="B3:D3"/>
    <mergeCell ref="B17:D17"/>
    <mergeCell ref="B28:D28"/>
    <mergeCell ref="I19:O19"/>
    <mergeCell ref="C19:G19"/>
    <mergeCell ref="Q19:R19"/>
    <mergeCell ref="B39:D39"/>
    <mergeCell ref="Q30:R30"/>
    <mergeCell ref="P11:S11"/>
    <mergeCell ref="C41:G41"/>
    <mergeCell ref="I41:O41"/>
    <mergeCell ref="Q41:R41"/>
    <mergeCell ref="C30:G30"/>
    <mergeCell ref="I30:O30"/>
  </mergeCells>
  <conditionalFormatting sqref="D8:D9 D14 D7 D10 D6">
    <cfRule type="containsBlanks" dxfId="203" priority="4">
      <formula>LEN(TRIM(D6))=0</formula>
    </cfRule>
  </conditionalFormatting>
  <conditionalFormatting sqref="C21:D25 C43:D55 C32:D36 G21:G25 G32:G36 G43:G55">
    <cfRule type="containsBlanks" dxfId="202" priority="6">
      <formula>LEN(TRIM(C21))=0</formula>
    </cfRule>
  </conditionalFormatting>
  <conditionalFormatting sqref="D8:D9">
    <cfRule type="expression" dxfId="201" priority="2">
      <formula>$D$6&lt;&gt;"% Yield"</formula>
    </cfRule>
  </conditionalFormatting>
  <conditionalFormatting sqref="C21:G21">
    <cfRule type="expression" dxfId="200" priority="1">
      <formula>AND($D$6="% Yield",ISBLANK(C21))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2:XFD5 A8:XFD9 A7:C7 G7:XFD7 A16:XFD16 A10:C10 E10:XFD10 A26:XFD27 A21:B21 H21 A63:XFD1048576 A58:O62 T58:XFD62 A11:O13 T11:XFD15 A6:C6 E6:XFD6 A40:XFD42 A39 C39:XFD39 A18:XFD20 A17 C17:XFD17 A29:XFD31 A28 C28:XFD28 J21:XFD21 A22:H25 J22:XFD25 A37:XFD38 A32:H32 J32:XFD32 A33:H36 J33:XFD36 A56:XFD57 A43:B43 J43:XFD43 A51:H55 J44:XFD55 E43:F43 A44:B50 E50:F50 E45:F45 H43 E44:F44 H44 H45 E46:F46 H46 E47:F47 H47 E48:F48 H48 E49:F49 H49 H50 B1:XFD1 A15:O15 A14:E14 G14:O14"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AA457"/>
  <sheetViews>
    <sheetView zoomScaleNormal="100" workbookViewId="0">
      <pane ySplit="1" topLeftCell="A2" activePane="bottomLeft" state="frozenSplit"/>
      <selection pane="bottomLeft"/>
    </sheetView>
  </sheetViews>
  <sheetFormatPr defaultColWidth="10.875" defaultRowHeight="15.75" outlineLevelRow="1"/>
  <cols>
    <col min="1" max="2" width="2.5" style="11" customWidth="1"/>
    <col min="3" max="3" width="33.5" style="11" bestFit="1" customWidth="1"/>
    <col min="4" max="5" width="18.875" style="11" bestFit="1" customWidth="1"/>
    <col min="6" max="7" width="18.875" style="11" customWidth="1"/>
    <col min="8" max="8" width="2.5" style="11" customWidth="1"/>
    <col min="9" max="9" width="45" style="11" bestFit="1" customWidth="1"/>
    <col min="10" max="10" width="2.5" style="11" customWidth="1"/>
    <col min="11" max="16384" width="10.875" style="11"/>
  </cols>
  <sheetData>
    <row r="1" spans="1:27" s="110" customFormat="1" ht="24" customHeight="1">
      <c r="A1" s="10"/>
      <c r="B1" s="108" t="str">
        <f>"CatCost v"&amp;Version&amp;": "&amp;EstimateName</f>
        <v>CatCost v1.0.0: FCC RE USY</v>
      </c>
      <c r="C1" s="10"/>
      <c r="D1" s="10"/>
      <c r="E1" s="10"/>
      <c r="F1" s="10"/>
      <c r="G1" s="109"/>
      <c r="H1" s="109"/>
      <c r="X1" s="10" t="s">
        <v>1089</v>
      </c>
      <c r="AA1" s="110" t="str">
        <f t="array" ref="AA1:AA29" ca="1">IF(ROW()&gt;COUNTIF($C$1:$C$10208,"Step Method Template Name"),"",OFFSET($C$1,SMALL(IF($C$1:$C$10208="Step Method Template Name",ROW($C$1:$C$10208)),ROW()),0))</f>
        <v>Custom Step Process</v>
      </c>
    </row>
    <row r="2" spans="1:27" ht="16.5" thickBot="1">
      <c r="AA2" s="11" t="str">
        <f ca="1"/>
        <v>FCC Catalyst (USY w/ RE)</v>
      </c>
    </row>
    <row r="3" spans="1:27" ht="21" thickBot="1">
      <c r="B3" s="419" t="s">
        <v>1063</v>
      </c>
      <c r="C3" s="420"/>
      <c r="D3" s="420"/>
      <c r="E3" s="421"/>
      <c r="AA3" s="11" t="str">
        <f ca="1"/>
        <v>Magnesia/Alumina</v>
      </c>
    </row>
    <row r="4" spans="1:27">
      <c r="B4" s="13"/>
      <c r="C4" s="14"/>
      <c r="D4" s="14"/>
      <c r="E4" s="15"/>
      <c r="AA4" s="11" t="str">
        <f ca="1"/>
        <v>Metal Carbide (Bulk)</v>
      </c>
    </row>
    <row r="5" spans="1:27">
      <c r="B5" s="16"/>
      <c r="C5" s="17" t="s">
        <v>1731</v>
      </c>
      <c r="D5" s="18"/>
      <c r="E5" s="19"/>
      <c r="AA5" s="11" t="str">
        <f ca="1"/>
        <v>Metal Carbide on Metal Oxide</v>
      </c>
    </row>
    <row r="6" spans="1:27">
      <c r="B6" s="16"/>
      <c r="C6" s="138" t="s">
        <v>958</v>
      </c>
      <c r="D6" s="388" t="str">
        <f>IFERROR(1/(1/StepOrderSize),"-----")</f>
        <v>-----</v>
      </c>
      <c r="E6" s="255" t="s">
        <v>406</v>
      </c>
      <c r="AA6" s="11" t="str">
        <f ca="1"/>
        <v>Metal (Earth Abundant) on Metal Oxide</v>
      </c>
    </row>
    <row r="7" spans="1:27">
      <c r="B7" s="16"/>
      <c r="C7" s="138" t="s">
        <v>957</v>
      </c>
      <c r="D7" s="389" t="str">
        <f>IFERROR(D6*VLOOKUP(E6,UnitConv[],5,FALSE)/VLOOKUP(OutMassUnit,UnitConv[],5,FALSE),"-----")</f>
        <v>-----</v>
      </c>
      <c r="E7" s="255" t="str">
        <f>IF(OutMassUnit="","",OutMassUnit)</f>
        <v>lb</v>
      </c>
      <c r="AA7" s="11" t="str">
        <f ca="1"/>
        <v>Metal (PGM) on Carbon</v>
      </c>
    </row>
    <row r="8" spans="1:27">
      <c r="B8" s="16"/>
      <c r="C8" s="138" t="s">
        <v>912</v>
      </c>
      <c r="D8" s="388" t="str">
        <f>StepEquipSize</f>
        <v/>
      </c>
      <c r="E8" s="255"/>
      <c r="AA8" s="11" t="str">
        <f ca="1"/>
        <v>Metal (PGM) on Metal Oxide</v>
      </c>
    </row>
    <row r="9" spans="1:27">
      <c r="B9" s="16"/>
      <c r="C9" s="138" t="s">
        <v>955</v>
      </c>
      <c r="D9" s="388" t="str">
        <f>StepCampaignTime</f>
        <v/>
      </c>
      <c r="E9" s="255" t="s">
        <v>956</v>
      </c>
      <c r="AA9" s="11" t="str">
        <f ca="1"/>
        <v>Red Mud</v>
      </c>
    </row>
    <row r="10" spans="1:27">
      <c r="B10" s="16"/>
      <c r="C10" s="138"/>
      <c r="D10" s="245"/>
      <c r="E10" s="255"/>
      <c r="AA10" s="11" t="str">
        <f ca="1"/>
        <v>Zeolite Beta (Bulk)</v>
      </c>
    </row>
    <row r="11" spans="1:27">
      <c r="B11" s="16"/>
      <c r="C11" s="17" t="s">
        <v>1065</v>
      </c>
      <c r="D11" s="245"/>
      <c r="E11" s="255"/>
      <c r="AA11" s="11" t="str">
        <f ca="1"/>
        <v>Zeolite Beta with Metal Active Site</v>
      </c>
    </row>
    <row r="12" spans="1:27">
      <c r="B12" s="16"/>
      <c r="C12" s="427"/>
      <c r="D12" s="428"/>
      <c r="E12" s="255"/>
      <c r="AA12" s="11" t="str">
        <f ca="1"/>
        <v>Zeolite ZSM-5 (Bulk)</v>
      </c>
    </row>
    <row r="13" spans="1:27">
      <c r="B13" s="16"/>
      <c r="C13" s="17"/>
      <c r="D13" s="245"/>
      <c r="E13" s="255"/>
      <c r="AA13" s="11" t="str">
        <f ca="1"/>
        <v>Zeolite ZSM-5 Diluted with Metal Oxide</v>
      </c>
    </row>
    <row r="14" spans="1:27">
      <c r="B14" s="16"/>
      <c r="C14" s="17" t="s">
        <v>1066</v>
      </c>
      <c r="D14" s="245"/>
      <c r="E14" s="255"/>
      <c r="AA14" s="11" t="str">
        <f ca="1"/>
        <v/>
      </c>
    </row>
    <row r="15" spans="1:27">
      <c r="B15" s="16"/>
      <c r="C15" s="20" t="s">
        <v>953</v>
      </c>
      <c r="D15" s="345" t="str">
        <f ca="1">IF($C$12="","&lt; Select Template &gt;",OFFSET(INDEX(C:C,MATCH("Name: "&amp;$C$12,C:C,0)),-1,2))</f>
        <v>&lt; Select Template &gt;</v>
      </c>
      <c r="E15" s="340" t="s">
        <v>1067</v>
      </c>
      <c r="AA15" s="11" t="str">
        <f ca="1"/>
        <v/>
      </c>
    </row>
    <row r="16" spans="1:27">
      <c r="B16" s="16"/>
      <c r="C16" s="20" t="s">
        <v>954</v>
      </c>
      <c r="D16" s="345" t="str">
        <f ca="1">IF($C$12="","&lt; Select Template &gt;",OFFSET(INDEX(C:C,MATCH("Name: "&amp;$C$12,C:C,0)),-1,3))</f>
        <v>&lt; Select Template &gt;</v>
      </c>
      <c r="E16" s="340" t="s">
        <v>1068</v>
      </c>
      <c r="AA16" s="11" t="str">
        <f ca="1"/>
        <v/>
      </c>
    </row>
    <row r="17" spans="2:27">
      <c r="B17" s="16"/>
      <c r="C17" s="121" t="str">
        <f>"Cost ($/"&amp;OutMassUnit&amp;" catalyst)"</f>
        <v>Cost ($/lb catalyst)</v>
      </c>
      <c r="D17" s="346" t="str">
        <f ca="1">IF($C$12="","&lt; Select Template &gt;",OFFSET(INDEX(C:C,MATCH("Name: "&amp;$C$12,C:C,0)),-1,4))</f>
        <v>&lt; Select Template &gt;</v>
      </c>
      <c r="E17" s="340" t="str">
        <f>"/"&amp;OutMassUnit&amp;" catalyst"</f>
        <v>/lb catalyst</v>
      </c>
      <c r="AA17" s="11" t="str">
        <f ca="1"/>
        <v/>
      </c>
    </row>
    <row r="18" spans="2:27" ht="16.5" thickBot="1">
      <c r="B18" s="21"/>
      <c r="C18" s="202"/>
      <c r="D18" s="249"/>
      <c r="E18" s="23"/>
      <c r="AA18" s="11" t="str">
        <f ca="1"/>
        <v/>
      </c>
    </row>
    <row r="19" spans="2:27">
      <c r="AA19" s="11" t="str">
        <f ca="1"/>
        <v/>
      </c>
    </row>
    <row r="20" spans="2:27" ht="21" thickBot="1">
      <c r="B20" s="387" t="s">
        <v>1054</v>
      </c>
      <c r="C20" s="387"/>
      <c r="D20" s="387"/>
      <c r="E20" s="387"/>
      <c r="F20" s="387"/>
      <c r="G20" s="387"/>
      <c r="H20" s="387"/>
      <c r="AA20" s="11" t="str">
        <f ca="1"/>
        <v/>
      </c>
    </row>
    <row r="21" spans="2:27">
      <c r="B21" s="315" t="s">
        <v>1022</v>
      </c>
      <c r="AA21" s="11" t="str">
        <f ca="1"/>
        <v/>
      </c>
    </row>
    <row r="22" spans="2:27" ht="16.5"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1055</v>
      </c>
      <c r="D25" s="256" t="s">
        <v>961</v>
      </c>
      <c r="E25" s="64" t="s">
        <v>953</v>
      </c>
      <c r="F25" s="64" t="s">
        <v>954</v>
      </c>
      <c r="G25" s="64" t="str">
        <f>"Cost ($/"&amp;OutMassUnit&amp;" catalyst)"</f>
        <v>Cost ($/lb catalyst)</v>
      </c>
      <c r="H25" s="250"/>
      <c r="J25" s="201"/>
      <c r="AA25" s="11" t="str">
        <f ca="1"/>
        <v/>
      </c>
    </row>
    <row r="26" spans="2:27" hidden="1" outlineLevel="1">
      <c r="B26" s="16"/>
      <c r="C26" s="18" t="s">
        <v>1064</v>
      </c>
      <c r="D26" s="18"/>
      <c r="E26" s="344">
        <f>IF(COUNTIF(E30:E49,"*")-COUNTBLANK(E30:E49)&gt;0,"Check entries",SUM(E30:E49))</f>
        <v>0</v>
      </c>
      <c r="F26" s="344">
        <f>IF(COUNTIF(F30:F49,"*")-COUNTBLANK(F30:F49)&gt;0,"Check entries",SUM(F30:F49))</f>
        <v>0</v>
      </c>
      <c r="G26" s="343">
        <f>IF(COUNTIF(G30:G49,"*")-COUNTBLANK(G30:G49)&gt;0,"Check entries",SUM(G30:G49))</f>
        <v>0</v>
      </c>
      <c r="H26" s="336"/>
      <c r="J26" s="201"/>
      <c r="AA26" s="11" t="str">
        <f ca="1"/>
        <v/>
      </c>
    </row>
    <row r="27" spans="2:27" ht="16.5"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937</v>
      </c>
      <c r="D29" s="339" t="s">
        <v>309</v>
      </c>
      <c r="E29" s="339" t="s">
        <v>953</v>
      </c>
      <c r="F29" s="339" t="s">
        <v>954</v>
      </c>
      <c r="G29" s="339" t="str">
        <f>"Cost ($/"&amp;OutMassUnit&amp;" catalyst)"</f>
        <v>Cost ($/lb catalyst)</v>
      </c>
      <c r="H29" s="339"/>
      <c r="I29" s="339" t="s">
        <v>207</v>
      </c>
      <c r="J29" s="250"/>
      <c r="AA29" s="11" t="str">
        <f ca="1"/>
        <v/>
      </c>
    </row>
    <row r="30" spans="2:27" hidden="1" outlineLevel="1">
      <c r="B30" s="16"/>
      <c r="C30" s="69"/>
      <c r="D30" s="246"/>
      <c r="E30" s="342" t="str">
        <f>IF(ISBLANK(C30),"",IFERROR(IF(fnStepCostHourly=0,fnStepNotAvail,IF(ISBLANK(D30),"",fnStepCostHourly*$D30*VLOOKUP(BasisYear,ChemPPI[],14,FALSE)/VLOOKUP(2017,ChemPPI[],14,FALSE))),""))</f>
        <v/>
      </c>
      <c r="F30" s="342" t="str">
        <f t="shared" ref="F30:F49" si="0">IFERROR($E30*$D$9*24,$E30)</f>
        <v/>
      </c>
      <c r="G30" s="341" t="str">
        <f t="shared" ref="G30:G49" si="1">IFERROR($F30/$D$7,$F30)</f>
        <v/>
      </c>
      <c r="H30" s="248"/>
      <c r="I30" s="247" t="str">
        <f>IFERROR(VLOOKUP($C30,Steps[],5,FALSE),"")</f>
        <v/>
      </c>
      <c r="J30" s="251"/>
    </row>
    <row r="31" spans="2:27" hidden="1" outlineLevel="1">
      <c r="B31" s="16"/>
      <c r="C31" s="69"/>
      <c r="D31" s="246"/>
      <c r="E31" s="342" t="str">
        <f>IF(ISBLANK(C31),"",IFERROR(IF(fnStepCostHourly=0,fnStepNotAvail,IF(ISBLANK(D31),"",fnStepCostHourly*$D31*VLOOKUP(BasisYear,ChemPPI[],14,FALSE)/VLOOKUP(2017,ChemPPI[],14,FALSE))),""))</f>
        <v/>
      </c>
      <c r="F31" s="342" t="str">
        <f t="shared" si="0"/>
        <v/>
      </c>
      <c r="G31" s="341" t="str">
        <f t="shared" si="1"/>
        <v/>
      </c>
      <c r="H31" s="248"/>
      <c r="I31" s="247" t="str">
        <f>IFERROR(VLOOKUP($C31,Steps[],5,FALSE),"")</f>
        <v/>
      </c>
      <c r="J31" s="251"/>
    </row>
    <row r="32" spans="2:27" hidden="1" outlineLevel="1">
      <c r="B32" s="16"/>
      <c r="C32" s="69"/>
      <c r="D32" s="246"/>
      <c r="E32" s="342" t="str">
        <f>IF(ISBLANK(C32),"",IFERROR(IF(fnStepCostHourly=0,fnStepNotAvail,IF(ISBLANK(D32),"",fnStepCostHourly*$D32*VLOOKUP(BasisYear,ChemPPI[],14,FALSE)/VLOOKUP(2017,ChemPPI[],14,FALSE))),""))</f>
        <v/>
      </c>
      <c r="F32" s="342" t="str">
        <f t="shared" si="0"/>
        <v/>
      </c>
      <c r="G32" s="341" t="str">
        <f t="shared" si="1"/>
        <v/>
      </c>
      <c r="H32" s="248"/>
      <c r="I32" s="247" t="str">
        <f>IFERROR(VLOOKUP($C32,Steps[],5,FALSE),"")</f>
        <v/>
      </c>
      <c r="J32" s="251"/>
    </row>
    <row r="33" spans="2:10" hidden="1" outlineLevel="1">
      <c r="B33" s="16"/>
      <c r="C33" s="69"/>
      <c r="D33" s="246"/>
      <c r="E33" s="342" t="str">
        <f>IF(ISBLANK(C33),"",IFERROR(IF(fnStepCostHourly=0,fnStepNotAvail,IF(ISBLANK(D33),"",fnStepCostHourly*$D33*VLOOKUP(BasisYear,ChemPPI[],14,FALSE)/VLOOKUP(2017,ChemPPI[],14,FALSE))),""))</f>
        <v/>
      </c>
      <c r="F33" s="342" t="str">
        <f t="shared" si="0"/>
        <v/>
      </c>
      <c r="G33" s="341" t="str">
        <f t="shared" si="1"/>
        <v/>
      </c>
      <c r="H33" s="248"/>
      <c r="I33" s="247" t="str">
        <f>IFERROR(VLOOKUP($C33,Steps[],5,FALSE),"")</f>
        <v/>
      </c>
      <c r="J33" s="251"/>
    </row>
    <row r="34" spans="2:10" hidden="1" outlineLevel="1">
      <c r="B34" s="16"/>
      <c r="C34" s="69"/>
      <c r="D34" s="246"/>
      <c r="E34" s="342" t="str">
        <f>IF(ISBLANK(C34),"",IFERROR(IF(fnStepCostHourly=0,fnStepNotAvail,IF(ISBLANK(D34),"",fnStepCostHourly*$D34*VLOOKUP(BasisYear,ChemPPI[],14,FALSE)/VLOOKUP(2017,ChemPPI[],14,FALSE))),""))</f>
        <v/>
      </c>
      <c r="F34" s="342" t="str">
        <f t="shared" si="0"/>
        <v/>
      </c>
      <c r="G34" s="341" t="str">
        <f t="shared" si="1"/>
        <v/>
      </c>
      <c r="H34" s="248"/>
      <c r="I34" s="247" t="str">
        <f>IFERROR(VLOOKUP($C34,Steps[],5,FALSE),"")</f>
        <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6.5" hidden="1" outlineLevel="1" thickBot="1">
      <c r="B50" s="252"/>
      <c r="C50" s="253"/>
      <c r="D50" s="253"/>
      <c r="E50" s="253"/>
      <c r="F50" s="253"/>
      <c r="G50" s="253"/>
      <c r="H50" s="253"/>
      <c r="I50" s="253"/>
      <c r="J50" s="254"/>
    </row>
    <row r="51" spans="1:10" ht="16.5"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1055</v>
      </c>
      <c r="D54" s="256" t="s">
        <v>961</v>
      </c>
      <c r="E54" s="64" t="s">
        <v>953</v>
      </c>
      <c r="F54" s="64" t="s">
        <v>954</v>
      </c>
      <c r="G54" s="64" t="str">
        <f>"Cost ($/"&amp;OutMassUnit&amp;" catalyst)"</f>
        <v>Cost ($/lb catalyst)</v>
      </c>
      <c r="H54" s="250"/>
      <c r="J54" s="201"/>
    </row>
    <row r="55" spans="1:10" ht="15.95" hidden="1" customHeight="1" outlineLevel="1">
      <c r="B55" s="16"/>
      <c r="C55" s="18" t="s">
        <v>1087</v>
      </c>
      <c r="D55" s="256"/>
      <c r="E55" s="344">
        <f>SUM(E63:E84)</f>
        <v>0</v>
      </c>
      <c r="F55" s="344">
        <f>SUM(F63:F84)</f>
        <v>0</v>
      </c>
      <c r="G55" s="343">
        <f>SUM(G63:G84)</f>
        <v>0</v>
      </c>
      <c r="H55" s="336"/>
      <c r="J55" s="201"/>
    </row>
    <row r="56" spans="1:10" ht="15.95" hidden="1" customHeight="1" outlineLevel="1">
      <c r="B56" s="16"/>
      <c r="C56" s="353" t="str">
        <f>"Name: "&amp;C55</f>
        <v>Name: FCC Catalyst (USY w/ RE)</v>
      </c>
      <c r="D56" s="256"/>
      <c r="E56" s="347"/>
      <c r="F56" s="347"/>
      <c r="G56" s="348"/>
      <c r="H56" s="336"/>
      <c r="J56" s="201"/>
    </row>
    <row r="57" spans="1:10" ht="15.95" hidden="1" customHeight="1" outlineLevel="1">
      <c r="B57" s="16"/>
      <c r="C57" s="17" t="s">
        <v>1070</v>
      </c>
      <c r="D57" s="256"/>
      <c r="E57" s="347"/>
      <c r="F57" s="347"/>
      <c r="G57" s="348"/>
      <c r="H57" s="336"/>
      <c r="J57" s="201"/>
    </row>
    <row r="58" spans="1:10" ht="15.95" hidden="1" customHeight="1" outlineLevel="1">
      <c r="B58" s="16"/>
      <c r="C58" s="18" t="s">
        <v>1088</v>
      </c>
      <c r="D58" s="256"/>
      <c r="E58" s="347"/>
      <c r="F58" s="347"/>
      <c r="G58" s="348"/>
      <c r="H58" s="336"/>
      <c r="J58" s="201"/>
    </row>
    <row r="59" spans="1:10" ht="15.95" hidden="1" customHeight="1" outlineLevel="1">
      <c r="B59" s="16"/>
      <c r="C59" s="18" t="s">
        <v>1073</v>
      </c>
      <c r="D59" s="256"/>
      <c r="E59" s="347"/>
      <c r="F59" s="347"/>
      <c r="G59" s="348"/>
      <c r="H59" s="336"/>
      <c r="J59" s="201"/>
    </row>
    <row r="60" spans="1:10" ht="16.5" hidden="1" outlineLevel="1" thickBot="1">
      <c r="B60" s="21"/>
      <c r="C60" s="22"/>
      <c r="D60" s="22"/>
      <c r="E60" s="22"/>
      <c r="F60" s="22"/>
      <c r="G60" s="22"/>
      <c r="H60" s="23"/>
      <c r="J60" s="201"/>
    </row>
    <row r="61" spans="1:10" ht="15.95" hidden="1" customHeight="1" outlineLevel="1">
      <c r="B61" s="16"/>
      <c r="C61" s="18"/>
      <c r="D61" s="18"/>
      <c r="E61" s="18"/>
      <c r="F61" s="18"/>
      <c r="G61" s="18"/>
      <c r="H61" s="18"/>
      <c r="I61" s="14"/>
      <c r="J61" s="15"/>
    </row>
    <row r="62" spans="1:10" ht="17.100000000000001" hidden="1" customHeight="1" outlineLevel="1">
      <c r="B62" s="16"/>
      <c r="C62" s="339" t="s">
        <v>937</v>
      </c>
      <c r="D62" s="339" t="s">
        <v>309</v>
      </c>
      <c r="E62" s="339" t="s">
        <v>953</v>
      </c>
      <c r="F62" s="339" t="s">
        <v>954</v>
      </c>
      <c r="G62" s="339" t="str">
        <f>"Cost ($/"&amp;OutMassUnit&amp;" catalyst)"</f>
        <v>Cost ($/lb catalyst)</v>
      </c>
      <c r="H62" s="339"/>
      <c r="I62" s="339" t="s">
        <v>207</v>
      </c>
      <c r="J62" s="250"/>
    </row>
    <row r="63" spans="1:10" ht="15.95" hidden="1" customHeight="1" outlineLevel="1">
      <c r="B63" s="16"/>
      <c r="C63" s="69" t="s">
        <v>931</v>
      </c>
      <c r="D63" s="246">
        <v>1</v>
      </c>
      <c r="E63" s="342" t="str">
        <f>IF(ISBLANK(C63),"",IFERROR(IF(fnStepCostHourly=0,fnStepNotAvail,IF(ISBLANK(D63),"",fnStepCostHourly*$D63*VLOOKUP(BasisYear,ChemPPI[],14,FALSE)/VLOOKUP(2017,ChemPPI[],14,FALSE))),""))</f>
        <v/>
      </c>
      <c r="F63" s="342" t="str">
        <f t="shared" ref="F63:F84" si="2">IFERROR($E63*$D$9*24,$E63)</f>
        <v/>
      </c>
      <c r="G63" s="341" t="str">
        <f t="shared" ref="G63:G84" si="3">IFERROR($F63/$D$7,$F63)</f>
        <v/>
      </c>
      <c r="H63" s="248"/>
      <c r="I63" s="247" t="str">
        <f>IFERROR(VLOOKUP($C63,Steps[],5,FALSE),"")</f>
        <v>-</v>
      </c>
      <c r="J63" s="251"/>
    </row>
    <row r="64" spans="1:10" ht="15.95" hidden="1" customHeight="1" outlineLevel="1">
      <c r="B64" s="16"/>
      <c r="C64" s="69" t="s">
        <v>924</v>
      </c>
      <c r="D64" s="246">
        <v>2</v>
      </c>
      <c r="E64" s="342" t="str">
        <f>IF(ISBLANK(C64),"",IFERROR(IF(fnStepCostHourly=0,fnStepNotAvail,IF(ISBLANK(D64),"",fnStepCostHourly*$D64*VLOOKUP(BasisYear,ChemPPI[],14,FALSE)/VLOOKUP(2017,ChemPPI[],14,FALSE))),""))</f>
        <v/>
      </c>
      <c r="F64" s="342" t="str">
        <f t="shared" si="2"/>
        <v/>
      </c>
      <c r="G64" s="341" t="str">
        <f t="shared" si="3"/>
        <v/>
      </c>
      <c r="H64" s="248"/>
      <c r="I64" s="247" t="str">
        <f>IFERROR(VLOOKUP($C64,Steps[],5,FALSE),"")</f>
        <v>-</v>
      </c>
      <c r="J64" s="251"/>
    </row>
    <row r="65" spans="2:10" ht="15.95" hidden="1" customHeight="1" outlineLevel="1">
      <c r="B65" s="16"/>
      <c r="C65" s="349" t="s">
        <v>926</v>
      </c>
      <c r="D65" s="350">
        <f>4*IF($D$6&lt;5,0,IF($D$6&lt;70,1,1))</f>
        <v>4</v>
      </c>
      <c r="E65" s="342" t="str">
        <f>IF(ISBLANK(C65),"",IFERROR(IF(fnStepCostHourly=0,fnStepNotAvail,IF(ISBLANK(D65),"",fnStepCostHourly*$D65*VLOOKUP(BasisYear,ChemPPI[],14,FALSE)/VLOOKUP(2017,ChemPPI[],14,FALSE))),""))</f>
        <v/>
      </c>
      <c r="F65" s="342" t="str">
        <f t="shared" si="2"/>
        <v/>
      </c>
      <c r="G65" s="341" t="str">
        <f t="shared" si="3"/>
        <v/>
      </c>
      <c r="H65" s="248"/>
      <c r="I65" s="247" t="str">
        <f>IFERROR(VLOOKUP($C65,Steps[],5,FALSE),"")</f>
        <v>Substitute with plate and frame at small scale</v>
      </c>
      <c r="J65" s="251"/>
    </row>
    <row r="66" spans="2:10" ht="15.95" hidden="1" customHeight="1" outlineLevel="1">
      <c r="B66" s="16"/>
      <c r="C66" s="349" t="s">
        <v>928</v>
      </c>
      <c r="D66" s="350">
        <f>4*IF($D$6&lt;5,1,IF($D$6&lt;70,0,0))</f>
        <v>0</v>
      </c>
      <c r="E66" s="342" t="str">
        <f>IF(ISBLANK(C66),"",IFERROR(IF(fnStepCostHourly=0,fnStepNotAvail,IF(ISBLANK(D66),"",fnStepCostHourly*$D66*VLOOKUP(BasisYear,ChemPPI[],14,FALSE)/VLOOKUP(2017,ChemPPI[],14,FALSE))),""))</f>
        <v/>
      </c>
      <c r="F66" s="342" t="str">
        <f t="shared" si="2"/>
        <v/>
      </c>
      <c r="G66" s="341" t="str">
        <f t="shared" si="3"/>
        <v/>
      </c>
      <c r="H66" s="248"/>
      <c r="I66" s="247" t="str">
        <f>IFERROR(VLOOKUP($C66,Steps[],5,FALSE),"")</f>
        <v>Substitute with belt or rotary vacuum at M/L scale</v>
      </c>
      <c r="J66" s="251"/>
    </row>
    <row r="67" spans="2:10" ht="15.95" hidden="1" customHeight="1" outlineLevel="1">
      <c r="B67" s="16"/>
      <c r="C67" s="69" t="s">
        <v>931</v>
      </c>
      <c r="D67" s="246">
        <v>4</v>
      </c>
      <c r="E67" s="342" t="str">
        <f>IF(ISBLANK(C67),"",IFERROR(IF(fnStepCostHourly=0,fnStepNotAvail,IF(ISBLANK(D67),"",fnStepCostHourly*$D67*VLOOKUP(BasisYear,ChemPPI[],14,FALSE)/VLOOKUP(2017,ChemPPI[],14,FALSE))),""))</f>
        <v/>
      </c>
      <c r="F67" s="342" t="str">
        <f t="shared" si="2"/>
        <v/>
      </c>
      <c r="G67" s="341" t="str">
        <f t="shared" si="3"/>
        <v/>
      </c>
      <c r="H67" s="248"/>
      <c r="I67" s="247" t="str">
        <f>IFERROR(VLOOKUP($C67,Steps[],5,FALSE),"")</f>
        <v>-</v>
      </c>
      <c r="J67" s="251"/>
    </row>
    <row r="68" spans="2:10" ht="15.95" hidden="1" customHeight="1" outlineLevel="1">
      <c r="B68" s="16"/>
      <c r="C68" s="349" t="s">
        <v>946</v>
      </c>
      <c r="D68" s="350">
        <f>1*IF($D$6&lt;5,0,IF($D$6&lt;70,1,1))</f>
        <v>1</v>
      </c>
      <c r="E68" s="342" t="str">
        <f>IF(ISBLANK(C68),"",IFERROR(IF(fnStepCostHourly=0,fnStepNotAvail,IF(ISBLANK(D68),"",fnStepCostHourly*$D68*VLOOKUP(BasisYear,ChemPPI[],14,FALSE)/VLOOKUP(2017,ChemPPI[],14,FALSE))),""))</f>
        <v/>
      </c>
      <c r="F68" s="342" t="str">
        <f t="shared" si="2"/>
        <v/>
      </c>
      <c r="G68" s="341" t="str">
        <f t="shared" si="3"/>
        <v/>
      </c>
      <c r="H68" s="248"/>
      <c r="I68" s="247" t="str">
        <f>IFERROR(VLOOKUP($C68,Steps[],5,FALSE),"")</f>
        <v>A.k.a. calciner. Sub with batch kiln at small scale</v>
      </c>
      <c r="J68" s="251"/>
    </row>
    <row r="69" spans="2:10" ht="15.95" hidden="1" customHeight="1" outlineLevel="1">
      <c r="B69" s="16"/>
      <c r="C69" s="349" t="s">
        <v>948</v>
      </c>
      <c r="D69" s="350">
        <f>1*IF($D$6&lt;5,1,IF($D$6&lt;70,0,0))</f>
        <v>0</v>
      </c>
      <c r="E69" s="342" t="str">
        <f>IF(ISBLANK(C69),"",IFERROR(IF(fnStepCostHourly=0,fnStepNotAvail,IF(ISBLANK(D69),"",fnStepCostHourly*$D69*VLOOKUP(BasisYear,ChemPPI[],14,FALSE)/VLOOKUP(2017,ChemPPI[],14,FALSE))),""))</f>
        <v/>
      </c>
      <c r="F69" s="342" t="str">
        <f t="shared" si="2"/>
        <v/>
      </c>
      <c r="G69" s="341" t="str">
        <f t="shared" si="3"/>
        <v/>
      </c>
      <c r="H69" s="248"/>
      <c r="I69" s="247" t="str">
        <f>IFERROR(VLOOKUP($C69,Steps[],5,FALSE),"")</f>
        <v>A.k.a. calciner. Sub with continuous kiln at M/L scale</v>
      </c>
      <c r="J69" s="251"/>
    </row>
    <row r="70" spans="2:10" ht="15.95" hidden="1" customHeight="1" outlineLevel="1">
      <c r="B70" s="16"/>
      <c r="C70" s="69" t="s">
        <v>932</v>
      </c>
      <c r="D70" s="246">
        <v>1</v>
      </c>
      <c r="E70" s="342" t="str">
        <f>IF(ISBLANK(C70),"",IFERROR(IF(fnStepCostHourly=0,fnStepNotAvail,IF(ISBLANK(D70),"",fnStepCostHourly*$D70*VLOOKUP(BasisYear,ChemPPI[],14,FALSE)/VLOOKUP(2017,ChemPPI[],14,FALSE))),""))</f>
        <v/>
      </c>
      <c r="F70" s="342" t="str">
        <f t="shared" si="2"/>
        <v/>
      </c>
      <c r="G70" s="341" t="str">
        <f t="shared" si="3"/>
        <v/>
      </c>
      <c r="H70" s="248"/>
      <c r="I70" s="247" t="str">
        <f>IFERROR(VLOOKUP($C70,Steps[],5,FALSE),"")</f>
        <v>-</v>
      </c>
      <c r="J70" s="251"/>
    </row>
    <row r="71" spans="2:10" ht="15.95" hidden="1" customHeight="1" outlineLevel="1">
      <c r="B71" s="16"/>
      <c r="C71" s="349" t="s">
        <v>926</v>
      </c>
      <c r="D71" s="350">
        <f>1*IF($D$6&lt;5,0,IF($D$6&lt;70,1,1))</f>
        <v>1</v>
      </c>
      <c r="E71" s="342" t="str">
        <f>IF(ISBLANK(C71),"",IFERROR(IF(fnStepCostHourly=0,fnStepNotAvail,IF(ISBLANK(D71),"",fnStepCostHourly*$D71*VLOOKUP(BasisYear,ChemPPI[],14,FALSE)/VLOOKUP(2017,ChemPPI[],14,FALSE))),""))</f>
        <v/>
      </c>
      <c r="F71" s="342" t="str">
        <f t="shared" si="2"/>
        <v/>
      </c>
      <c r="G71" s="341" t="str">
        <f t="shared" si="3"/>
        <v/>
      </c>
      <c r="H71" s="248"/>
      <c r="I71" s="247" t="str">
        <f>IFERROR(VLOOKUP($C71,Steps[],5,FALSE),"")</f>
        <v>Substitute with plate and frame at small scale</v>
      </c>
      <c r="J71" s="251"/>
    </row>
    <row r="72" spans="2:10" ht="15.95" hidden="1" customHeight="1" outlineLevel="1">
      <c r="B72" s="16"/>
      <c r="C72" s="349" t="s">
        <v>928</v>
      </c>
      <c r="D72" s="350">
        <f>1*IF($D$6&lt;5,1,IF($D$6&lt;70,0,0))</f>
        <v>0</v>
      </c>
      <c r="E72" s="342" t="str">
        <f>IF(ISBLANK(C72),"",IFERROR(IF(fnStepCostHourly=0,fnStepNotAvail,IF(ISBLANK(D72),"",fnStepCostHourly*$D72*VLOOKUP(BasisYear,ChemPPI[],14,FALSE)/VLOOKUP(2017,ChemPPI[],14,FALSE))),""))</f>
        <v/>
      </c>
      <c r="F72" s="342" t="str">
        <f t="shared" si="2"/>
        <v/>
      </c>
      <c r="G72" s="341" t="str">
        <f t="shared" si="3"/>
        <v/>
      </c>
      <c r="H72" s="248"/>
      <c r="I72" s="247" t="str">
        <f>IFERROR(VLOOKUP($C72,Steps[],5,FALSE),"")</f>
        <v>Substitute with belt or rotary vacuum at M/L scale</v>
      </c>
      <c r="J72" s="251"/>
    </row>
    <row r="73" spans="2:10" ht="15.95" hidden="1" customHeight="1" outlineLevel="1">
      <c r="B73" s="16"/>
      <c r="C73" s="69" t="s">
        <v>932</v>
      </c>
      <c r="D73" s="246">
        <v>1</v>
      </c>
      <c r="E73" s="342" t="str">
        <f>IF(ISBLANK(C73),"",IFERROR(IF(fnStepCostHourly=0,fnStepNotAvail,IF(ISBLANK(D73),"",fnStepCostHourly*$D73*VLOOKUP(BasisYear,ChemPPI[],14,FALSE)/VLOOKUP(2017,ChemPPI[],14,FALSE))),""))</f>
        <v/>
      </c>
      <c r="F73" s="342" t="str">
        <f t="shared" si="2"/>
        <v/>
      </c>
      <c r="G73" s="341" t="str">
        <f t="shared" si="3"/>
        <v/>
      </c>
      <c r="H73" s="248"/>
      <c r="I73" s="247" t="str">
        <f>IFERROR(VLOOKUP($C73,Steps[],5,FALSE),"")</f>
        <v>-</v>
      </c>
      <c r="J73" s="251"/>
    </row>
    <row r="74" spans="2:10" ht="15.95" hidden="1" customHeight="1" outlineLevel="1">
      <c r="B74" s="16"/>
      <c r="C74" s="69" t="s">
        <v>943</v>
      </c>
      <c r="D74" s="246">
        <v>2</v>
      </c>
      <c r="E74" s="342" t="str">
        <f>IF(ISBLANK(C74),"",IFERROR(IF(fnStepCostHourly=0,fnStepNotAvail,IF(ISBLANK(D74),"",fnStepCostHourly*$D74*VLOOKUP(BasisYear,ChemPPI[],14,FALSE)/VLOOKUP(2017,ChemPPI[],14,FALSE))),""))</f>
        <v/>
      </c>
      <c r="F74" s="342" t="str">
        <f t="shared" si="2"/>
        <v/>
      </c>
      <c r="G74" s="341" t="str">
        <f t="shared" si="3"/>
        <v/>
      </c>
      <c r="H74" s="248"/>
      <c r="I74" s="247" t="str">
        <f>IFERROR(VLOOKUP($C74,Steps[],5,FALSE),"")</f>
        <v>Muller</v>
      </c>
      <c r="J74" s="251"/>
    </row>
    <row r="75" spans="2:10" ht="15.95" hidden="1" customHeight="1" outlineLevel="1">
      <c r="B75" s="16"/>
      <c r="C75" s="349" t="s">
        <v>933</v>
      </c>
      <c r="D75" s="350">
        <f>1*IF($D$6&lt;5,0,IF($D$6&lt;70,1,1))</f>
        <v>1</v>
      </c>
      <c r="E75" s="342" t="str">
        <f>IF(ISBLANK(C75),"",IFERROR(IF(fnStepCostHourly=0,fnStepNotAvail,IF(ISBLANK(D75),"",fnStepCostHourly*$D75*VLOOKUP(BasisYear,ChemPPI[],14,FALSE)/VLOOKUP(2017,ChemPPI[],14,FALSE))),""))</f>
        <v/>
      </c>
      <c r="F75" s="342" t="str">
        <f t="shared" si="2"/>
        <v/>
      </c>
      <c r="G75" s="341" t="str">
        <f t="shared" si="3"/>
        <v/>
      </c>
      <c r="H75" s="248"/>
      <c r="I75" s="247" t="str">
        <f>IFERROR(VLOOKUP($C75,Steps[],5,FALSE),"")</f>
        <v>Substitute with rotary dryer at small scale</v>
      </c>
      <c r="J75" s="251"/>
    </row>
    <row r="76" spans="2:10" ht="15.95" hidden="1" customHeight="1" outlineLevel="1">
      <c r="B76" s="16"/>
      <c r="C76" s="349" t="s">
        <v>1076</v>
      </c>
      <c r="D76" s="350">
        <f>1*IF($D$6&lt;5,1,IF($D$6&lt;70,0,0))</f>
        <v>0</v>
      </c>
      <c r="E76" s="342" t="str">
        <f>IF(ISBLANK(C76),"",IFERROR(IF(fnStepCostHourly=0,fnStepNotAvail,IF(ISBLANK(D76),"",fnStepCostHourly*$D76*VLOOKUP(BasisYear,ChemPPI[],14,FALSE)/VLOOKUP(2017,ChemPPI[],14,FALSE))),""))</f>
        <v/>
      </c>
      <c r="F76" s="342" t="str">
        <f t="shared" si="2"/>
        <v/>
      </c>
      <c r="G76" s="341" t="str">
        <f t="shared" si="3"/>
        <v/>
      </c>
      <c r="H76" s="248"/>
      <c r="I76" s="247" t="str">
        <f>IFERROR(VLOOKUP($C76,Steps[],5,FALSE),"")</f>
        <v>-</v>
      </c>
      <c r="J76" s="251"/>
    </row>
    <row r="77" spans="2:10" ht="15.95" hidden="1" customHeight="1" outlineLevel="1">
      <c r="B77" s="16"/>
      <c r="C77" s="69" t="s">
        <v>931</v>
      </c>
      <c r="D77" s="246">
        <v>4</v>
      </c>
      <c r="E77" s="342" t="str">
        <f>IF(ISBLANK(C77),"",IFERROR(IF(fnStepCostHourly=0,fnStepNotAvail,IF(ISBLANK(D77),"",fnStepCostHourly*$D77*VLOOKUP(BasisYear,ChemPPI[],14,FALSE)/VLOOKUP(2017,ChemPPI[],14,FALSE))),""))</f>
        <v/>
      </c>
      <c r="F77" s="342" t="str">
        <f t="shared" si="2"/>
        <v/>
      </c>
      <c r="G77" s="341" t="str">
        <f t="shared" si="3"/>
        <v/>
      </c>
      <c r="H77" s="248"/>
      <c r="I77" s="247" t="str">
        <f>IFERROR(VLOOKUP($C77,Steps[],5,FALSE),"")</f>
        <v>-</v>
      </c>
      <c r="J77" s="251"/>
    </row>
    <row r="78" spans="2:10" ht="15.95" hidden="1" customHeight="1" outlineLevel="1">
      <c r="B78" s="16"/>
      <c r="C78" s="349" t="s">
        <v>926</v>
      </c>
      <c r="D78" s="350">
        <f>2*IF($D$6&lt;5,0,IF($D$6&lt;70,1,1))</f>
        <v>2</v>
      </c>
      <c r="E78" s="342" t="str">
        <f>IF(ISBLANK(C78),"",IFERROR(IF(fnStepCostHourly=0,fnStepNotAvail,IF(ISBLANK(D78),"",fnStepCostHourly*$D78*VLOOKUP(BasisYear,ChemPPI[],14,FALSE)/VLOOKUP(2017,ChemPPI[],14,FALSE))),""))</f>
        <v/>
      </c>
      <c r="F78" s="342" t="str">
        <f t="shared" si="2"/>
        <v/>
      </c>
      <c r="G78" s="341" t="str">
        <f t="shared" si="3"/>
        <v/>
      </c>
      <c r="H78" s="248"/>
      <c r="I78" s="247" t="str">
        <f>IFERROR(VLOOKUP($C78,Steps[],5,FALSE),"")</f>
        <v>Substitute with plate and frame at small scale</v>
      </c>
      <c r="J78" s="251"/>
    </row>
    <row r="79" spans="2:10" ht="15.95" hidden="1" customHeight="1" outlineLevel="1">
      <c r="B79" s="16"/>
      <c r="C79" s="349" t="s">
        <v>928</v>
      </c>
      <c r="D79" s="350">
        <f>2*IF($D$6&lt;5,1,IF($D$6&lt;70,0,0))</f>
        <v>0</v>
      </c>
      <c r="E79" s="342" t="str">
        <f>IF(ISBLANK(C79),"",IFERROR(IF(fnStepCostHourly=0,fnStepNotAvail,IF(ISBLANK(D79),"",fnStepCostHourly*$D79*VLOOKUP(BasisYear,ChemPPI[],14,FALSE)/VLOOKUP(2017,ChemPPI[],14,FALSE))),""))</f>
        <v/>
      </c>
      <c r="F79" s="342" t="str">
        <f t="shared" si="2"/>
        <v/>
      </c>
      <c r="G79" s="341" t="str">
        <f t="shared" si="3"/>
        <v/>
      </c>
      <c r="H79" s="248"/>
      <c r="I79" s="247" t="str">
        <f>IFERROR(VLOOKUP($C79,Steps[],5,FALSE),"")</f>
        <v>Substitute with belt or rotary vacuum at M/L scale</v>
      </c>
      <c r="J79" s="251"/>
    </row>
    <row r="80" spans="2:10" ht="15.95" hidden="1" customHeight="1" outlineLevel="1">
      <c r="B80" s="16"/>
      <c r="C80" s="69" t="s">
        <v>1075</v>
      </c>
      <c r="D80" s="246">
        <v>1</v>
      </c>
      <c r="E80" s="342" t="str">
        <f>IF(ISBLANK(C80),"",IFERROR(IF(fnStepCostHourly=0,fnStepNotAvail,IF(ISBLANK(D80),"",fnStepCostHourly*$D80*VLOOKUP(BasisYear,ChemPPI[],14,FALSE)/VLOOKUP(2017,ChemPPI[],14,FALSE))),""))</f>
        <v/>
      </c>
      <c r="F80" s="342" t="str">
        <f t="shared" si="2"/>
        <v/>
      </c>
      <c r="G80" s="341" t="str">
        <f t="shared" si="3"/>
        <v/>
      </c>
      <c r="H80" s="248"/>
      <c r="I80" s="247" t="str">
        <f>IFERROR(VLOOKUP($C80,Steps[],5,FALSE),"")</f>
        <v>For higher temp use kiln</v>
      </c>
      <c r="J80" s="251"/>
    </row>
    <row r="81" spans="1:10" ht="15.95"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5.95"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5.95"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5.95"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6.5" hidden="1" outlineLevel="1" thickBot="1">
      <c r="B85" s="252"/>
      <c r="C85" s="253"/>
      <c r="D85" s="253"/>
      <c r="E85" s="253"/>
      <c r="F85" s="253"/>
      <c r="G85" s="253"/>
      <c r="H85" s="253"/>
      <c r="I85" s="253"/>
      <c r="J85" s="254"/>
    </row>
    <row r="86" spans="1:10" ht="16.5"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1055</v>
      </c>
      <c r="D89" s="256" t="s">
        <v>961</v>
      </c>
      <c r="E89" s="64" t="s">
        <v>953</v>
      </c>
      <c r="F89" s="64" t="s">
        <v>954</v>
      </c>
      <c r="G89" s="64" t="str">
        <f>"Cost ($/"&amp;OutMassUnit&amp;" catalyst)"</f>
        <v>Cost ($/lb catalyst)</v>
      </c>
      <c r="H89" s="250"/>
      <c r="J89" s="201"/>
    </row>
    <row r="90" spans="1:10" ht="15.95" hidden="1" customHeight="1" outlineLevel="1">
      <c r="B90" s="16"/>
      <c r="C90" s="18" t="s">
        <v>1098</v>
      </c>
      <c r="D90" s="256"/>
      <c r="E90" s="344">
        <f>SUM(E98:E117)</f>
        <v>0</v>
      </c>
      <c r="F90" s="344">
        <f>SUM(F98:F117)</f>
        <v>0</v>
      </c>
      <c r="G90" s="343">
        <f>SUM(G98:G117)</f>
        <v>0</v>
      </c>
      <c r="H90" s="336"/>
      <c r="J90" s="201"/>
    </row>
    <row r="91" spans="1:10" ht="15.95" hidden="1" customHeight="1" outlineLevel="1">
      <c r="B91" s="16"/>
      <c r="C91" s="353" t="str">
        <f>"Name: "&amp;C90</f>
        <v>Name: Magnesia/Alumina</v>
      </c>
      <c r="D91" s="256"/>
      <c r="E91" s="347"/>
      <c r="F91" s="347"/>
      <c r="G91" s="348"/>
      <c r="H91" s="336"/>
      <c r="J91" s="201"/>
    </row>
    <row r="92" spans="1:10" ht="15.95" hidden="1" customHeight="1" outlineLevel="1">
      <c r="B92" s="16"/>
      <c r="C92" s="17" t="s">
        <v>1070</v>
      </c>
      <c r="D92" s="256"/>
      <c r="E92" s="347"/>
      <c r="F92" s="347"/>
      <c r="G92" s="348"/>
      <c r="H92" s="336"/>
      <c r="J92" s="201"/>
    </row>
    <row r="93" spans="1:10" ht="15.95" hidden="1" customHeight="1" outlineLevel="1">
      <c r="B93" s="16"/>
      <c r="C93" s="18" t="s">
        <v>1099</v>
      </c>
      <c r="D93" s="256"/>
      <c r="E93" s="347"/>
      <c r="F93" s="347"/>
      <c r="G93" s="348"/>
      <c r="H93" s="336"/>
      <c r="J93" s="201"/>
    </row>
    <row r="94" spans="1:10" hidden="1" outlineLevel="1">
      <c r="B94" s="16"/>
      <c r="C94" s="18" t="s">
        <v>1073</v>
      </c>
      <c r="D94" s="256"/>
      <c r="E94" s="347"/>
      <c r="F94" s="347"/>
      <c r="G94" s="348"/>
      <c r="H94" s="336"/>
      <c r="J94" s="201"/>
    </row>
    <row r="95" spans="1:10" ht="15.95" hidden="1" customHeight="1" outlineLevel="1" thickBot="1">
      <c r="B95" s="21"/>
      <c r="C95" s="22"/>
      <c r="D95" s="22"/>
      <c r="E95" s="22"/>
      <c r="F95" s="22"/>
      <c r="G95" s="22"/>
      <c r="H95" s="23"/>
      <c r="J95" s="201"/>
    </row>
    <row r="96" spans="1:10" ht="15.95" hidden="1" customHeight="1" outlineLevel="1">
      <c r="B96" s="16"/>
      <c r="C96" s="18"/>
      <c r="D96" s="18"/>
      <c r="E96" s="18"/>
      <c r="F96" s="18"/>
      <c r="G96" s="18"/>
      <c r="H96" s="18"/>
      <c r="I96" s="14"/>
      <c r="J96" s="15"/>
    </row>
    <row r="97" spans="2:10" ht="17.100000000000001" hidden="1" customHeight="1" outlineLevel="1">
      <c r="B97" s="16"/>
      <c r="C97" s="339" t="s">
        <v>937</v>
      </c>
      <c r="D97" s="339" t="s">
        <v>309</v>
      </c>
      <c r="E97" s="339" t="s">
        <v>953</v>
      </c>
      <c r="F97" s="339" t="s">
        <v>954</v>
      </c>
      <c r="G97" s="339" t="str">
        <f>"Cost ($/"&amp;OutMassUnit&amp;" catalyst)"</f>
        <v>Cost ($/lb catalyst)</v>
      </c>
      <c r="H97" s="339"/>
      <c r="I97" s="339" t="s">
        <v>207</v>
      </c>
      <c r="J97" s="250"/>
    </row>
    <row r="98" spans="2:10" ht="15.95" hidden="1" customHeight="1" outlineLevel="1">
      <c r="B98" s="16"/>
      <c r="C98" s="69" t="s">
        <v>931</v>
      </c>
      <c r="D98" s="246">
        <v>1</v>
      </c>
      <c r="E98" s="342" t="str">
        <f>IF(ISBLANK(C98),"",IFERROR(IF(fnStepCostHourly=0,fnStepNotAvail,IF(ISBLANK(D98),"",fnStepCostHourly*$D98*VLOOKUP(BasisYear,ChemPPI[],14,FALSE)/VLOOKUP(2017,ChemPPI[],14,FALSE))),""))</f>
        <v/>
      </c>
      <c r="F98" s="342" t="str">
        <f t="shared" ref="F98:F117" si="4">IFERROR($E98*$D$9*24,$E98)</f>
        <v/>
      </c>
      <c r="G98" s="341" t="str">
        <f t="shared" ref="G98:G117" si="5">IFERROR($F98/$D$7,$F98)</f>
        <v/>
      </c>
      <c r="H98" s="248"/>
      <c r="I98" s="247" t="str">
        <f>IFERROR(VLOOKUP($C98,Steps[],5,FALSE),"")</f>
        <v>-</v>
      </c>
      <c r="J98" s="251"/>
    </row>
    <row r="99" spans="2:10" ht="15.95" hidden="1" customHeight="1" outlineLevel="1">
      <c r="B99" s="16"/>
      <c r="C99" s="69" t="s">
        <v>924</v>
      </c>
      <c r="D99" s="246">
        <v>2</v>
      </c>
      <c r="E99" s="342" t="str">
        <f>IF(ISBLANK(C99),"",IFERROR(IF(fnStepCostHourly=0,fnStepNotAvail,IF(ISBLANK(D99),"",fnStepCostHourly*$D99*VLOOKUP(BasisYear,ChemPPI[],14,FALSE)/VLOOKUP(2017,ChemPPI[],14,FALSE))),""))</f>
        <v/>
      </c>
      <c r="F99" s="342" t="str">
        <f t="shared" si="4"/>
        <v/>
      </c>
      <c r="G99" s="341" t="str">
        <f t="shared" si="5"/>
        <v/>
      </c>
      <c r="H99" s="248"/>
      <c r="I99" s="247" t="str">
        <f>IFERROR(VLOOKUP($C99,Steps[],5,FALSE),"")</f>
        <v>-</v>
      </c>
      <c r="J99" s="251"/>
    </row>
    <row r="100" spans="2:10" ht="15.95" hidden="1" customHeight="1" outlineLevel="1">
      <c r="B100" s="16"/>
      <c r="C100" s="349" t="s">
        <v>926</v>
      </c>
      <c r="D100" s="350">
        <f>1*IF($D$6&lt;5,0,IF($D$6&lt;70,1,1))</f>
        <v>1</v>
      </c>
      <c r="E100" s="342" t="str">
        <f>IF(ISBLANK(C100),"",IFERROR(IF(fnStepCostHourly=0,fnStepNotAvail,IF(ISBLANK(D100),"",fnStepCostHourly*$D100*VLOOKUP(BasisYear,ChemPPI[],14,FALSE)/VLOOKUP(2017,ChemPPI[],14,FALSE))),""))</f>
        <v/>
      </c>
      <c r="F100" s="342" t="str">
        <f t="shared" si="4"/>
        <v/>
      </c>
      <c r="G100" s="341" t="str">
        <f t="shared" si="5"/>
        <v/>
      </c>
      <c r="H100" s="248"/>
      <c r="I100" s="247" t="str">
        <f>IFERROR(VLOOKUP($C100,Steps[],5,FALSE),"")</f>
        <v>Substitute with plate and frame at small scale</v>
      </c>
      <c r="J100" s="251"/>
    </row>
    <row r="101" spans="2:10" ht="15.95" hidden="1" customHeight="1" outlineLevel="1">
      <c r="B101" s="16"/>
      <c r="C101" s="349" t="s">
        <v>928</v>
      </c>
      <c r="D101" s="350">
        <f>1*IF($D$6&lt;5,1,IF($D$6&lt;70,0,0))</f>
        <v>0</v>
      </c>
      <c r="E101" s="342" t="str">
        <f>IF(ISBLANK(C101),"",IFERROR(IF(fnStepCostHourly=0,fnStepNotAvail,IF(ISBLANK(D101),"",fnStepCostHourly*$D101*VLOOKUP(BasisYear,ChemPPI[],14,FALSE)/VLOOKUP(2017,ChemPPI[],14,FALSE))),""))</f>
        <v/>
      </c>
      <c r="F101" s="342" t="str">
        <f t="shared" si="4"/>
        <v/>
      </c>
      <c r="G101" s="341" t="str">
        <f t="shared" si="5"/>
        <v/>
      </c>
      <c r="H101" s="248"/>
      <c r="I101" s="247" t="str">
        <f>IFERROR(VLOOKUP($C101,Steps[],5,FALSE),"")</f>
        <v>Substitute with belt or rotary vacuum at M/L scale</v>
      </c>
      <c r="J101" s="251"/>
    </row>
    <row r="102" spans="2:10" ht="15.95" hidden="1" customHeight="1" outlineLevel="1">
      <c r="B102" s="16"/>
      <c r="C102" s="69" t="s">
        <v>1075</v>
      </c>
      <c r="D102" s="246">
        <v>1</v>
      </c>
      <c r="E102" s="342" t="str">
        <f>IF(ISBLANK(C102),"",IFERROR(IF(fnStepCostHourly=0,fnStepNotAvail,IF(ISBLANK(D102),"",fnStepCostHourly*$D102*VLOOKUP(BasisYear,ChemPPI[],14,FALSE)/VLOOKUP(2017,ChemPPI[],14,FALSE))),""))</f>
        <v/>
      </c>
      <c r="F102" s="342" t="str">
        <f t="shared" si="4"/>
        <v/>
      </c>
      <c r="G102" s="341" t="str">
        <f t="shared" si="5"/>
        <v/>
      </c>
      <c r="H102" s="248"/>
      <c r="I102" s="247" t="str">
        <f>IFERROR(VLOOKUP($C102,Steps[],5,FALSE),"")</f>
        <v>For higher temp use kiln</v>
      </c>
      <c r="J102" s="251"/>
    </row>
    <row r="103" spans="2:10" ht="15.95" hidden="1" customHeight="1" outlineLevel="1">
      <c r="B103" s="16"/>
      <c r="C103" s="349" t="s">
        <v>946</v>
      </c>
      <c r="D103" s="350">
        <f>1*IF($D$6&lt;5,0,IF($D$6&lt;70,1,1))</f>
        <v>1</v>
      </c>
      <c r="E103" s="342" t="str">
        <f>IF(ISBLANK(C103),"",IFERROR(IF(fnStepCostHourly=0,fnStepNotAvail,IF(ISBLANK(D103),"",fnStepCostHourly*$D103*VLOOKUP(BasisYear,ChemPPI[],14,FALSE)/VLOOKUP(2017,ChemPPI[],14,FALSE))),""))</f>
        <v/>
      </c>
      <c r="F103" s="342" t="str">
        <f t="shared" si="4"/>
        <v/>
      </c>
      <c r="G103" s="341" t="str">
        <f t="shared" si="5"/>
        <v/>
      </c>
      <c r="H103" s="248"/>
      <c r="I103" s="247" t="str">
        <f>IFERROR(VLOOKUP($C103,Steps[],5,FALSE),"")</f>
        <v>A.k.a. calciner. Sub with batch kiln at small scale</v>
      </c>
      <c r="J103" s="251"/>
    </row>
    <row r="104" spans="2:10" ht="15.95" hidden="1" customHeight="1" outlineLevel="1">
      <c r="B104" s="16"/>
      <c r="C104" s="349" t="s">
        <v>948</v>
      </c>
      <c r="D104" s="350">
        <f>1*IF($D$6&lt;5,1,IF($D$6&lt;70,0,0))</f>
        <v>0</v>
      </c>
      <c r="E104" s="342" t="str">
        <f>IF(ISBLANK(C104),"",IFERROR(IF(fnStepCostHourly=0,fnStepNotAvail,IF(ISBLANK(D104),"",fnStepCostHourly*$D104*VLOOKUP(BasisYear,ChemPPI[],14,FALSE)/VLOOKUP(2017,ChemPPI[],14,FALSE))),""))</f>
        <v/>
      </c>
      <c r="F104" s="342" t="str">
        <f t="shared" si="4"/>
        <v/>
      </c>
      <c r="G104" s="341" t="str">
        <f t="shared" si="5"/>
        <v/>
      </c>
      <c r="H104" s="248"/>
      <c r="I104" s="247" t="str">
        <f>IFERROR(VLOOKUP($C104,Steps[],5,FALSE),"")</f>
        <v>A.k.a. calciner. Sub with continuous kiln at M/L scale</v>
      </c>
      <c r="J104" s="251"/>
    </row>
    <row r="105" spans="2:10" ht="15.95" hidden="1" customHeight="1" outlineLevel="1">
      <c r="B105" s="16"/>
      <c r="C105" s="69" t="s">
        <v>939</v>
      </c>
      <c r="D105" s="246">
        <v>1</v>
      </c>
      <c r="E105" s="342" t="str">
        <f>IF(ISBLANK(C105),"",IFERROR(IF(fnStepCostHourly=0,fnStepNotAvail,IF(ISBLANK(D105),"",fnStepCostHourly*$D105*VLOOKUP(BasisYear,ChemPPI[],14,FALSE)/VLOOKUP(2017,ChemPPI[],14,FALSE))),""))</f>
        <v/>
      </c>
      <c r="F105" s="342" t="str">
        <f t="shared" si="4"/>
        <v/>
      </c>
      <c r="G105" s="341" t="str">
        <f t="shared" si="5"/>
        <v/>
      </c>
      <c r="H105" s="248"/>
      <c r="I105" s="247" t="str">
        <f>IFERROR(VLOOKUP($C105,Steps[],5,FALSE),"")</f>
        <v>-</v>
      </c>
      <c r="J105" s="251"/>
    </row>
    <row r="106" spans="2:10" ht="15.95" hidden="1" customHeight="1" outlineLevel="1">
      <c r="B106" s="16"/>
      <c r="C106" s="69" t="s">
        <v>924</v>
      </c>
      <c r="D106" s="246">
        <v>1</v>
      </c>
      <c r="E106" s="342" t="str">
        <f>IF(ISBLANK(C106),"",IFERROR(IF(fnStepCostHourly=0,fnStepNotAvail,IF(ISBLANK(D106),"",fnStepCostHourly*$D106*VLOOKUP(BasisYear,ChemPPI[],14,FALSE)/VLOOKUP(2017,ChemPPI[],14,FALSE))),""))</f>
        <v/>
      </c>
      <c r="F106" s="342" t="str">
        <f t="shared" si="4"/>
        <v/>
      </c>
      <c r="G106" s="341" t="str">
        <f t="shared" si="5"/>
        <v/>
      </c>
      <c r="H106" s="248"/>
      <c r="I106" s="247" t="str">
        <f>IFERROR(VLOOKUP($C106,Steps[],5,FALSE),"")</f>
        <v>-</v>
      </c>
      <c r="J106" s="251"/>
    </row>
    <row r="107" spans="2:10" ht="15.95" hidden="1" customHeight="1" outlineLevel="1">
      <c r="B107" s="16"/>
      <c r="C107" s="349" t="s">
        <v>926</v>
      </c>
      <c r="D107" s="350">
        <f>1*IF($D$6&lt;5,0,IF($D$6&lt;70,1,1))</f>
        <v>1</v>
      </c>
      <c r="E107" s="342" t="str">
        <f>IF(ISBLANK(C107),"",IFERROR(IF(fnStepCostHourly=0,fnStepNotAvail,IF(ISBLANK(D107),"",fnStepCostHourly*$D107*VLOOKUP(BasisYear,ChemPPI[],14,FALSE)/VLOOKUP(2017,ChemPPI[],14,FALSE))),""))</f>
        <v/>
      </c>
      <c r="F107" s="342" t="str">
        <f t="shared" si="4"/>
        <v/>
      </c>
      <c r="G107" s="341" t="str">
        <f t="shared" si="5"/>
        <v/>
      </c>
      <c r="H107" s="248"/>
      <c r="I107" s="247" t="str">
        <f>IFERROR(VLOOKUP($C107,Steps[],5,FALSE),"")</f>
        <v>Substitute with plate and frame at small scale</v>
      </c>
      <c r="J107" s="251"/>
    </row>
    <row r="108" spans="2:10" ht="15.95" hidden="1" customHeight="1" outlineLevel="1">
      <c r="B108" s="16"/>
      <c r="C108" s="349" t="s">
        <v>928</v>
      </c>
      <c r="D108" s="350">
        <f>1*IF($D$6&lt;5,1,IF($D$6&lt;70,0,0))</f>
        <v>0</v>
      </c>
      <c r="E108" s="342" t="str">
        <f>IF(ISBLANK(C108),"",IFERROR(IF(fnStepCostHourly=0,fnStepNotAvail,IF(ISBLANK(D108),"",fnStepCostHourly*$D108*VLOOKUP(BasisYear,ChemPPI[],14,FALSE)/VLOOKUP(2017,ChemPPI[],14,FALSE))),""))</f>
        <v/>
      </c>
      <c r="F108" s="342" t="str">
        <f t="shared" si="4"/>
        <v/>
      </c>
      <c r="G108" s="341" t="str">
        <f t="shared" si="5"/>
        <v/>
      </c>
      <c r="H108" s="248"/>
      <c r="I108" s="247" t="str">
        <f>IFERROR(VLOOKUP($C108,Steps[],5,FALSE),"")</f>
        <v>Substitute with belt or rotary vacuum at M/L scale</v>
      </c>
      <c r="J108" s="251"/>
    </row>
    <row r="109" spans="2:10" ht="15.95" hidden="1" customHeight="1" outlineLevel="1">
      <c r="B109" s="16"/>
      <c r="C109" s="69" t="s">
        <v>1076</v>
      </c>
      <c r="D109" s="246">
        <v>1</v>
      </c>
      <c r="E109" s="342" t="str">
        <f>IF(ISBLANK(C109),"",IFERROR(IF(fnStepCostHourly=0,fnStepNotAvail,IF(ISBLANK(D109),"",fnStepCostHourly*$D109*VLOOKUP(BasisYear,ChemPPI[],14,FALSE)/VLOOKUP(2017,ChemPPI[],14,FALSE))),""))</f>
        <v/>
      </c>
      <c r="F109" s="342" t="str">
        <f t="shared" si="4"/>
        <v/>
      </c>
      <c r="G109" s="341" t="str">
        <f t="shared" si="5"/>
        <v/>
      </c>
      <c r="H109" s="248"/>
      <c r="I109" s="247" t="str">
        <f>IFERROR(VLOOKUP($C109,Steps[],5,FALSE),"")</f>
        <v>-</v>
      </c>
      <c r="J109" s="251"/>
    </row>
    <row r="110" spans="2:10" ht="15.95" hidden="1" customHeight="1" outlineLevel="1">
      <c r="B110" s="16"/>
      <c r="C110" s="69" t="s">
        <v>929</v>
      </c>
      <c r="D110" s="246">
        <v>1</v>
      </c>
      <c r="E110" s="342" t="str">
        <f>IF(ISBLANK(C110),"",IFERROR(IF(fnStepCostHourly=0,fnStepNotAvail,IF(ISBLANK(D110),"",fnStepCostHourly*$D110*VLOOKUP(BasisYear,ChemPPI[],14,FALSE)/VLOOKUP(2017,ChemPPI[],14,FALSE))),""))</f>
        <v/>
      </c>
      <c r="F110" s="342" t="str">
        <f t="shared" si="4"/>
        <v/>
      </c>
      <c r="G110" s="341" t="str">
        <f t="shared" si="5"/>
        <v/>
      </c>
      <c r="H110" s="248"/>
      <c r="I110" s="247" t="str">
        <f>IFERROR(VLOOKUP($C110,Steps[],5,FALSE),"")</f>
        <v>-</v>
      </c>
      <c r="J110" s="251"/>
    </row>
    <row r="111" spans="2:10" ht="15.95"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5.95"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5.95"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5.95"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5.95"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5.95"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5.95"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6.5" hidden="1" outlineLevel="1" thickBot="1">
      <c r="B118" s="252"/>
      <c r="C118" s="253"/>
      <c r="D118" s="253"/>
      <c r="E118" s="253"/>
      <c r="F118" s="253"/>
      <c r="G118" s="253"/>
      <c r="H118" s="253"/>
      <c r="I118" s="253"/>
      <c r="J118" s="254"/>
    </row>
    <row r="119" spans="1:10" ht="16.5"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1055</v>
      </c>
      <c r="D122" s="256" t="s">
        <v>961</v>
      </c>
      <c r="E122" s="64" t="s">
        <v>953</v>
      </c>
      <c r="F122" s="64" t="s">
        <v>954</v>
      </c>
      <c r="G122" s="64" t="str">
        <f>"Cost ($/"&amp;OutMassUnit&amp;" catalyst)"</f>
        <v>Cost ($/lb catalyst)</v>
      </c>
      <c r="H122" s="250"/>
      <c r="J122" s="201"/>
    </row>
    <row r="123" spans="1:10" ht="15.95" hidden="1" customHeight="1" outlineLevel="1">
      <c r="B123" s="16"/>
      <c r="C123" s="18" t="s">
        <v>1062</v>
      </c>
      <c r="D123" s="256"/>
      <c r="E123" s="344">
        <f>SUM(E131:E150)</f>
        <v>0</v>
      </c>
      <c r="F123" s="344">
        <f>SUM(F131:F150)</f>
        <v>0</v>
      </c>
      <c r="G123" s="343">
        <f>SUM(G131:G150)</f>
        <v>0</v>
      </c>
      <c r="H123" s="336"/>
      <c r="J123" s="201"/>
    </row>
    <row r="124" spans="1:10" ht="15.95" hidden="1" customHeight="1" outlineLevel="1">
      <c r="B124" s="16"/>
      <c r="C124" s="353" t="str">
        <f>"Name: "&amp;C123</f>
        <v>Name: Metal Carbide (Bulk)</v>
      </c>
      <c r="D124" s="256"/>
      <c r="E124" s="347"/>
      <c r="F124" s="347"/>
      <c r="G124" s="348"/>
      <c r="H124" s="336"/>
      <c r="J124" s="201"/>
    </row>
    <row r="125" spans="1:10" ht="15.95" hidden="1" customHeight="1" outlineLevel="1">
      <c r="B125" s="16"/>
      <c r="C125" s="17" t="s">
        <v>1070</v>
      </c>
      <c r="D125" s="256"/>
      <c r="E125" s="347"/>
      <c r="F125" s="347"/>
      <c r="G125" s="348"/>
      <c r="H125" s="336"/>
      <c r="J125" s="201"/>
    </row>
    <row r="126" spans="1:10" ht="15.95" hidden="1" customHeight="1" outlineLevel="1">
      <c r="B126" s="16"/>
      <c r="C126" s="18" t="s">
        <v>1071</v>
      </c>
      <c r="D126" s="256"/>
      <c r="E126" s="347"/>
      <c r="F126" s="347"/>
      <c r="G126" s="348"/>
      <c r="H126" s="336"/>
      <c r="J126" s="201"/>
    </row>
    <row r="127" spans="1:10" ht="15.95" hidden="1" customHeight="1" outlineLevel="1">
      <c r="B127" s="16"/>
      <c r="C127" s="18" t="s">
        <v>1073</v>
      </c>
      <c r="D127" s="256"/>
      <c r="E127" s="347"/>
      <c r="F127" s="347"/>
      <c r="G127" s="348"/>
      <c r="H127" s="336"/>
      <c r="J127" s="201"/>
    </row>
    <row r="128" spans="1:10" ht="16.5" hidden="1" outlineLevel="1" thickBot="1">
      <c r="B128" s="21"/>
      <c r="C128" s="22"/>
      <c r="D128" s="22"/>
      <c r="E128" s="22"/>
      <c r="F128" s="22"/>
      <c r="G128" s="22"/>
      <c r="H128" s="23"/>
      <c r="J128" s="201"/>
    </row>
    <row r="129" spans="2:10" ht="15.95" hidden="1" customHeight="1" outlineLevel="1">
      <c r="B129" s="16"/>
      <c r="C129" s="18"/>
      <c r="D129" s="18"/>
      <c r="E129" s="18"/>
      <c r="F129" s="18"/>
      <c r="G129" s="18"/>
      <c r="H129" s="18"/>
      <c r="I129" s="14"/>
      <c r="J129" s="15"/>
    </row>
    <row r="130" spans="2:10" ht="17.100000000000001" hidden="1" customHeight="1" outlineLevel="1">
      <c r="B130" s="16"/>
      <c r="C130" s="339" t="s">
        <v>937</v>
      </c>
      <c r="D130" s="339" t="s">
        <v>309</v>
      </c>
      <c r="E130" s="339" t="s">
        <v>953</v>
      </c>
      <c r="F130" s="339" t="s">
        <v>954</v>
      </c>
      <c r="G130" s="339" t="str">
        <f>"Cost ($/"&amp;OutMassUnit&amp;" catalyst)"</f>
        <v>Cost ($/lb catalyst)</v>
      </c>
      <c r="H130" s="339"/>
      <c r="I130" s="339" t="s">
        <v>207</v>
      </c>
      <c r="J130" s="250"/>
    </row>
    <row r="131" spans="2:10" ht="15.95" hidden="1" customHeight="1" outlineLevel="1">
      <c r="B131" s="16"/>
      <c r="C131" s="337" t="s">
        <v>929</v>
      </c>
      <c r="D131" s="338">
        <v>1</v>
      </c>
      <c r="E131" s="342" t="str">
        <f>IF(ISBLANK(C131),"",IFERROR(IF(fnStepCostHourly=0,fnStepNotAvail,IF(ISBLANK(D131),"",fnStepCostHourly*$D131*VLOOKUP(BasisYear,ChemPPI[],14,FALSE)/VLOOKUP(2017,ChemPPI[],14,FALSE))),""))</f>
        <v/>
      </c>
      <c r="F131" s="342" t="str">
        <f t="shared" ref="F131:F150" si="6">IFERROR($E131*$D$9*24,$E131)</f>
        <v/>
      </c>
      <c r="G131" s="341" t="str">
        <f t="shared" ref="G131:G150" si="7">IFERROR($F131/$D$7,$F131)</f>
        <v/>
      </c>
      <c r="H131" s="248"/>
      <c r="I131" s="247" t="str">
        <f>IFERROR(VLOOKUP($C131,Steps[],5,FALSE),"")</f>
        <v>-</v>
      </c>
      <c r="J131" s="251"/>
    </row>
    <row r="132" spans="2:10" ht="15.95" hidden="1" customHeight="1" outlineLevel="1">
      <c r="B132" s="16"/>
      <c r="C132" s="349" t="s">
        <v>946</v>
      </c>
      <c r="D132" s="350">
        <f>2*IF($D$6&lt;5,0,IF($D$6&lt;70,1,1))</f>
        <v>2</v>
      </c>
      <c r="E132" s="342" t="str">
        <f>IF(ISBLANK(C132),"",IFERROR(IF(fnStepCostHourly=0,fnStepNotAvail,IF(ISBLANK(D132),"",fnStepCostHourly*$D132*VLOOKUP(BasisYear,ChemPPI[],14,FALSE)/VLOOKUP(2017,ChemPPI[],14,FALSE))),""))</f>
        <v/>
      </c>
      <c r="F132" s="342" t="str">
        <f t="shared" si="6"/>
        <v/>
      </c>
      <c r="G132" s="341" t="str">
        <f t="shared" si="7"/>
        <v/>
      </c>
      <c r="H132" s="248"/>
      <c r="I132" s="247" t="str">
        <f>IFERROR(VLOOKUP($C132,Steps[],5,FALSE),"")</f>
        <v>A.k.a. calciner. Sub with batch kiln at small scale</v>
      </c>
      <c r="J132" s="251"/>
    </row>
    <row r="133" spans="2:10" ht="15.95" hidden="1" customHeight="1" outlineLevel="1">
      <c r="B133" s="16"/>
      <c r="C133" s="349" t="s">
        <v>948</v>
      </c>
      <c r="D133" s="350">
        <f>2*IF($D$6&lt;5,1,IF($D$6&lt;70,0,0))</f>
        <v>0</v>
      </c>
      <c r="E133" s="342" t="str">
        <f>IF(ISBLANK(C133),"",IFERROR(IF(fnStepCostHourly=0,fnStepNotAvail,IF(ISBLANK(D133),"",fnStepCostHourly*$D133*VLOOKUP(BasisYear,ChemPPI[],14,FALSE)/VLOOKUP(2017,ChemPPI[],14,FALSE))),""))</f>
        <v/>
      </c>
      <c r="F133" s="342" t="str">
        <f t="shared" si="6"/>
        <v/>
      </c>
      <c r="G133" s="341" t="str">
        <f t="shared" si="7"/>
        <v/>
      </c>
      <c r="H133" s="248"/>
      <c r="I133" s="247" t="str">
        <f>IFERROR(VLOOKUP($C133,Steps[],5,FALSE),"")</f>
        <v>A.k.a. calciner. Sub with continuous kiln at M/L scale</v>
      </c>
      <c r="J133" s="251"/>
    </row>
    <row r="134" spans="2:10" ht="15.95" hidden="1" customHeight="1" outlineLevel="1">
      <c r="B134" s="16"/>
      <c r="C134" s="69" t="s">
        <v>939</v>
      </c>
      <c r="D134" s="246">
        <v>1</v>
      </c>
      <c r="E134" s="342" t="str">
        <f>IF(ISBLANK(C134),"",IFERROR(IF(fnStepCostHourly=0,fnStepNotAvail,IF(ISBLANK(D134),"",fnStepCostHourly*$D134*VLOOKUP(BasisYear,ChemPPI[],14,FALSE)/VLOOKUP(2017,ChemPPI[],14,FALSE))),""))</f>
        <v/>
      </c>
      <c r="F134" s="342" t="str">
        <f t="shared" si="6"/>
        <v/>
      </c>
      <c r="G134" s="341" t="str">
        <f t="shared" si="7"/>
        <v/>
      </c>
      <c r="H134" s="248"/>
      <c r="I134" s="247" t="str">
        <f>IFERROR(VLOOKUP($C134,Steps[],5,FALSE),"")</f>
        <v>-</v>
      </c>
      <c r="J134" s="251"/>
    </row>
    <row r="135" spans="2:10" ht="15.95" hidden="1" customHeight="1" outlineLevel="1">
      <c r="B135" s="16" t="s">
        <v>1072</v>
      </c>
      <c r="C135" s="69" t="s">
        <v>924</v>
      </c>
      <c r="D135" s="246">
        <v>1</v>
      </c>
      <c r="E135" s="342" t="str">
        <f>IF(ISBLANK(C135),"",IFERROR(IF(fnStepCostHourly=0,fnStepNotAvail,IF(ISBLANK(D135),"",fnStepCostHourly*$D135*VLOOKUP(BasisYear,ChemPPI[],14,FALSE)/VLOOKUP(2017,ChemPPI[],14,FALSE))),""))</f>
        <v/>
      </c>
      <c r="F135" s="342" t="str">
        <f t="shared" si="6"/>
        <v/>
      </c>
      <c r="G135" s="341" t="str">
        <f t="shared" si="7"/>
        <v/>
      </c>
      <c r="H135" s="248"/>
      <c r="I135" s="247" t="str">
        <f>IFERROR(VLOOKUP($C135,Steps[],5,FALSE),"")</f>
        <v>-</v>
      </c>
      <c r="J135" s="251"/>
    </row>
    <row r="136" spans="2:10" ht="15.95" hidden="1" customHeight="1" outlineLevel="1">
      <c r="B136" s="16" t="s">
        <v>1072</v>
      </c>
      <c r="C136" s="349" t="s">
        <v>926</v>
      </c>
      <c r="D136" s="350">
        <f>1*IF($D$6&lt;5,0,IF($D$6&lt;70,1,1))</f>
        <v>1</v>
      </c>
      <c r="E136" s="342" t="str">
        <f>IF(ISBLANK(C136),"",IFERROR(IF(fnStepCostHourly=0,fnStepNotAvail,IF(ISBLANK(D136),"",fnStepCostHourly*$D136*VLOOKUP(BasisYear,ChemPPI[],14,FALSE)/VLOOKUP(2017,ChemPPI[],14,FALSE))),""))</f>
        <v/>
      </c>
      <c r="F136" s="342" t="str">
        <f t="shared" si="6"/>
        <v/>
      </c>
      <c r="G136" s="341" t="str">
        <f t="shared" si="7"/>
        <v/>
      </c>
      <c r="H136" s="248"/>
      <c r="I136" s="247" t="str">
        <f>IFERROR(VLOOKUP($C136,Steps[],5,FALSE),"")</f>
        <v>Substitute with plate and frame at small scale</v>
      </c>
      <c r="J136" s="251"/>
    </row>
    <row r="137" spans="2:10" ht="15.95" hidden="1" customHeight="1" outlineLevel="1">
      <c r="B137" s="16" t="s">
        <v>1072</v>
      </c>
      <c r="C137" s="349" t="s">
        <v>928</v>
      </c>
      <c r="D137" s="350">
        <f>1*IF($D$6&lt;5,1,IF($D$6&lt;70,0,0))</f>
        <v>0</v>
      </c>
      <c r="E137" s="342" t="str">
        <f>IF(ISBLANK(C137),"",IFERROR(IF(fnStepCostHourly=0,fnStepNotAvail,IF(ISBLANK(D137),"",fnStepCostHourly*$D137*VLOOKUP(BasisYear,ChemPPI[],14,FALSE)/VLOOKUP(2017,ChemPPI[],14,FALSE))),""))</f>
        <v/>
      </c>
      <c r="F137" s="342" t="str">
        <f t="shared" si="6"/>
        <v/>
      </c>
      <c r="G137" s="341" t="str">
        <f t="shared" si="7"/>
        <v/>
      </c>
      <c r="H137" s="248"/>
      <c r="I137" s="247" t="str">
        <f>IFERROR(VLOOKUP($C137,Steps[],5,FALSE),"")</f>
        <v>Substitute with belt or rotary vacuum at M/L scale</v>
      </c>
      <c r="J137" s="251"/>
    </row>
    <row r="138" spans="2:10" ht="15.95" hidden="1" customHeight="1" outlineLevel="1">
      <c r="B138" s="16"/>
      <c r="C138" s="69" t="s">
        <v>1076</v>
      </c>
      <c r="D138" s="246">
        <v>1</v>
      </c>
      <c r="E138" s="342" t="str">
        <f>IF(ISBLANK(C138),"",IFERROR(IF(fnStepCostHourly=0,fnStepNotAvail,IF(ISBLANK(D138),"",fnStepCostHourly*$D138*VLOOKUP(BasisYear,ChemPPI[],14,FALSE)/VLOOKUP(2017,ChemPPI[],14,FALSE))),""))</f>
        <v/>
      </c>
      <c r="F138" s="342" t="str">
        <f t="shared" si="6"/>
        <v/>
      </c>
      <c r="G138" s="341" t="str">
        <f t="shared" si="7"/>
        <v/>
      </c>
      <c r="H138" s="248"/>
      <c r="I138" s="247" t="str">
        <f>IFERROR(VLOOKUP($C138,Steps[],5,FALSE),"")</f>
        <v>-</v>
      </c>
      <c r="J138" s="251"/>
    </row>
    <row r="139" spans="2:10" ht="15.95" hidden="1" customHeight="1" outlineLevel="1">
      <c r="B139" s="16"/>
      <c r="C139" s="69" t="s">
        <v>925</v>
      </c>
      <c r="D139" s="246">
        <v>1</v>
      </c>
      <c r="E139" s="342" t="str">
        <f>IF(ISBLANK(C139),"",IFERROR(IF(fnStepCostHourly=0,fnStepNotAvail,IF(ISBLANK(D139),"",fnStepCostHourly*$D139*VLOOKUP(BasisYear,ChemPPI[],14,FALSE)/VLOOKUP(2017,ChemPPI[],14,FALSE))),""))</f>
        <v/>
      </c>
      <c r="F139" s="342" t="str">
        <f t="shared" si="6"/>
        <v/>
      </c>
      <c r="G139" s="341" t="str">
        <f t="shared" si="7"/>
        <v/>
      </c>
      <c r="H139" s="248"/>
      <c r="I139" s="247" t="str">
        <f>IFERROR(VLOOKUP($C139,Steps[],5,FALSE),"")</f>
        <v>-</v>
      </c>
      <c r="J139" s="251"/>
    </row>
    <row r="140" spans="2:10" ht="15.95" hidden="1" customHeight="1" outlineLevel="1">
      <c r="B140" s="16"/>
      <c r="C140" s="69" t="s">
        <v>1075</v>
      </c>
      <c r="D140" s="246">
        <v>1</v>
      </c>
      <c r="E140" s="342" t="str">
        <f>IF(ISBLANK(C140),"",IFERROR(IF(fnStepCostHourly=0,fnStepNotAvail,IF(ISBLANK(D140),"",fnStepCostHourly*$D140*VLOOKUP(BasisYear,ChemPPI[],14,FALSE)/VLOOKUP(2017,ChemPPI[],14,FALSE))),""))</f>
        <v/>
      </c>
      <c r="F140" s="342" t="str">
        <f t="shared" si="6"/>
        <v/>
      </c>
      <c r="G140" s="341" t="str">
        <f t="shared" si="7"/>
        <v/>
      </c>
      <c r="H140" s="248"/>
      <c r="I140" s="247" t="str">
        <f>IFERROR(VLOOKUP($C140,Steps[],5,FALSE),"")</f>
        <v>For higher temp use kiln</v>
      </c>
      <c r="J140" s="251"/>
    </row>
    <row r="141" spans="2:10" ht="15.95"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5.95"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5.95"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5.95"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5.95"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5.95"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5.95"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5.95"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5.95"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5.95"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6.5" hidden="1" outlineLevel="1" thickBot="1">
      <c r="B151" s="252"/>
      <c r="C151" s="253"/>
      <c r="D151" s="253"/>
      <c r="E151" s="253"/>
      <c r="F151" s="253"/>
      <c r="G151" s="253"/>
      <c r="H151" s="253"/>
      <c r="I151" s="253"/>
      <c r="J151" s="254"/>
    </row>
    <row r="152" spans="1:10" ht="16.5"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1055</v>
      </c>
      <c r="D155" s="256" t="s">
        <v>961</v>
      </c>
      <c r="E155" s="64" t="s">
        <v>953</v>
      </c>
      <c r="F155" s="64" t="s">
        <v>954</v>
      </c>
      <c r="G155" s="64" t="str">
        <f>"Cost ($/"&amp;OutMassUnit&amp;" catalyst)"</f>
        <v>Cost ($/lb catalyst)</v>
      </c>
      <c r="H155" s="250"/>
      <c r="J155" s="201"/>
    </row>
    <row r="156" spans="1:10" ht="15.95" hidden="1" customHeight="1" outlineLevel="1">
      <c r="B156" s="16"/>
      <c r="C156" s="18" t="s">
        <v>1002</v>
      </c>
      <c r="D156" s="256"/>
      <c r="E156" s="344">
        <f>SUM(E164:E183)</f>
        <v>0</v>
      </c>
      <c r="F156" s="344">
        <f>SUM(F164:F183)</f>
        <v>0</v>
      </c>
      <c r="G156" s="343">
        <f>SUM(G164:G183)</f>
        <v>0</v>
      </c>
      <c r="H156" s="336"/>
      <c r="J156" s="201"/>
    </row>
    <row r="157" spans="1:10" ht="15.95" hidden="1" customHeight="1" outlineLevel="1">
      <c r="B157" s="16"/>
      <c r="C157" s="353" t="str">
        <f>"Name: "&amp;C156</f>
        <v>Name: Metal Carbide on Metal Oxide</v>
      </c>
      <c r="D157" s="256"/>
      <c r="E157" s="347"/>
      <c r="F157" s="347"/>
      <c r="G157" s="348"/>
      <c r="H157" s="336"/>
      <c r="J157" s="201"/>
    </row>
    <row r="158" spans="1:10" ht="15.95" hidden="1" customHeight="1" outlineLevel="1">
      <c r="B158" s="16"/>
      <c r="C158" s="17" t="s">
        <v>1070</v>
      </c>
      <c r="D158" s="256"/>
      <c r="E158" s="347"/>
      <c r="F158" s="347"/>
      <c r="G158" s="348"/>
      <c r="H158" s="336"/>
      <c r="J158" s="201"/>
    </row>
    <row r="159" spans="1:10" ht="15.95" hidden="1" customHeight="1" outlineLevel="1">
      <c r="B159" s="16"/>
      <c r="C159" s="18" t="s">
        <v>1074</v>
      </c>
      <c r="D159" s="256"/>
      <c r="E159" s="347"/>
      <c r="F159" s="347"/>
      <c r="G159" s="348"/>
      <c r="H159" s="336"/>
      <c r="J159" s="201"/>
    </row>
    <row r="160" spans="1:10" ht="15.95" hidden="1" customHeight="1" outlineLevel="1">
      <c r="B160" s="16"/>
      <c r="C160" s="18" t="s">
        <v>1073</v>
      </c>
      <c r="D160" s="256"/>
      <c r="E160" s="347"/>
      <c r="F160" s="347"/>
      <c r="G160" s="348"/>
      <c r="H160" s="336"/>
      <c r="J160" s="201"/>
    </row>
    <row r="161" spans="2:10" ht="16.5" hidden="1" outlineLevel="1" thickBot="1">
      <c r="B161" s="21"/>
      <c r="C161" s="22"/>
      <c r="D161" s="22"/>
      <c r="E161" s="22"/>
      <c r="F161" s="22"/>
      <c r="G161" s="22"/>
      <c r="H161" s="23"/>
      <c r="J161" s="201"/>
    </row>
    <row r="162" spans="2:10" ht="15.95" hidden="1" customHeight="1" outlineLevel="1">
      <c r="B162" s="16"/>
      <c r="C162" s="18"/>
      <c r="D162" s="18"/>
      <c r="E162" s="18"/>
      <c r="F162" s="18"/>
      <c r="G162" s="18"/>
      <c r="H162" s="18"/>
      <c r="I162" s="14"/>
      <c r="J162" s="15"/>
    </row>
    <row r="163" spans="2:10" ht="17.100000000000001" hidden="1" customHeight="1" outlineLevel="1">
      <c r="B163" s="16"/>
      <c r="C163" s="339" t="s">
        <v>937</v>
      </c>
      <c r="D163" s="339" t="s">
        <v>309</v>
      </c>
      <c r="E163" s="339" t="s">
        <v>953</v>
      </c>
      <c r="F163" s="339" t="s">
        <v>954</v>
      </c>
      <c r="G163" s="339" t="str">
        <f>"Cost ($/"&amp;OutMassUnit&amp;" catalyst)"</f>
        <v>Cost ($/lb catalyst)</v>
      </c>
      <c r="H163" s="339"/>
      <c r="I163" s="339" t="s">
        <v>207</v>
      </c>
      <c r="J163" s="250"/>
    </row>
    <row r="164" spans="2:10" ht="15.95" hidden="1" customHeight="1" outlineLevel="1">
      <c r="B164" s="16"/>
      <c r="C164" s="337" t="s">
        <v>931</v>
      </c>
      <c r="D164" s="338">
        <v>1</v>
      </c>
      <c r="E164" s="342" t="str">
        <f>IF(ISBLANK(C164),"",IFERROR(IF(fnStepCostHourly=0,fnStepNotAvail,IF(ISBLANK(D164),"",fnStepCostHourly*$D164*VLOOKUP(BasisYear,ChemPPI[],14,FALSE)/VLOOKUP(2017,ChemPPI[],14,FALSE))),""))</f>
        <v/>
      </c>
      <c r="F164" s="342" t="str">
        <f t="shared" ref="F164:F183" si="8">IFERROR($E164*$D$9*24,$E164)</f>
        <v/>
      </c>
      <c r="G164" s="341" t="str">
        <f t="shared" ref="G164:G183" si="9">IFERROR($F164/$D$7,$F164)</f>
        <v/>
      </c>
      <c r="H164" s="248"/>
      <c r="I164" s="247" t="str">
        <f>IFERROR(VLOOKUP($C164,Steps[],5,FALSE),"")</f>
        <v>-</v>
      </c>
      <c r="J164" s="251"/>
    </row>
    <row r="165" spans="2:10" ht="15.95" hidden="1" customHeight="1" outlineLevel="1">
      <c r="B165" s="16"/>
      <c r="C165" s="69" t="s">
        <v>923</v>
      </c>
      <c r="D165" s="246">
        <v>1</v>
      </c>
      <c r="E165" s="342" t="str">
        <f>IF(ISBLANK(C165),"",IFERROR(IF(fnStepCostHourly=0,fnStepNotAvail,IF(ISBLANK(D165),"",fnStepCostHourly*$D165*VLOOKUP(BasisYear,ChemPPI[],14,FALSE)/VLOOKUP(2017,ChemPPI[],14,FALSE))),""))</f>
        <v/>
      </c>
      <c r="F165" s="342" t="str">
        <f t="shared" si="8"/>
        <v/>
      </c>
      <c r="G165" s="341" t="str">
        <f t="shared" si="9"/>
        <v/>
      </c>
      <c r="H165" s="248"/>
      <c r="I165" s="247" t="str">
        <f>IFERROR(VLOOKUP($C165,Steps[],5,FALSE),"")</f>
        <v>-</v>
      </c>
      <c r="J165" s="251"/>
    </row>
    <row r="166" spans="2:10" ht="15.95" hidden="1" customHeight="1" outlineLevel="1">
      <c r="B166" s="16"/>
      <c r="C166" s="349" t="s">
        <v>946</v>
      </c>
      <c r="D166" s="350">
        <f>1*IF($D$6&lt;5,0,IF($D$6&lt;70,1,1))</f>
        <v>1</v>
      </c>
      <c r="E166" s="342" t="str">
        <f>IF(ISBLANK(C166),"",IFERROR(IF(fnStepCostHourly=0,fnStepNotAvail,IF(ISBLANK(D166),"",fnStepCostHourly*$D166*VLOOKUP(BasisYear,ChemPPI[],14,FALSE)/VLOOKUP(2017,ChemPPI[],14,FALSE))),""))</f>
        <v/>
      </c>
      <c r="F166" s="342" t="str">
        <f t="shared" si="8"/>
        <v/>
      </c>
      <c r="G166" s="341" t="str">
        <f t="shared" si="9"/>
        <v/>
      </c>
      <c r="H166" s="248"/>
      <c r="I166" s="247" t="str">
        <f>IFERROR(VLOOKUP($C166,Steps[],5,FALSE),"")</f>
        <v>A.k.a. calciner. Sub with batch kiln at small scale</v>
      </c>
      <c r="J166" s="251"/>
    </row>
    <row r="167" spans="2:10" ht="15.95" hidden="1" customHeight="1" outlineLevel="1">
      <c r="B167" s="16"/>
      <c r="C167" s="349" t="s">
        <v>948</v>
      </c>
      <c r="D167" s="350">
        <f>1*IF($D$6&lt;5,1,IF($D$6&lt;70,0,0))</f>
        <v>0</v>
      </c>
      <c r="E167" s="342" t="str">
        <f>IF(ISBLANK(C167),"",IFERROR(IF(fnStepCostHourly=0,fnStepNotAvail,IF(ISBLANK(D167),"",fnStepCostHourly*$D167*VLOOKUP(BasisYear,ChemPPI[],14,FALSE)/VLOOKUP(2017,ChemPPI[],14,FALSE))),""))</f>
        <v/>
      </c>
      <c r="F167" s="342" t="str">
        <f t="shared" si="8"/>
        <v/>
      </c>
      <c r="G167" s="341" t="str">
        <f t="shared" si="9"/>
        <v/>
      </c>
      <c r="H167" s="248"/>
      <c r="I167" s="247" t="str">
        <f>IFERROR(VLOOKUP($C167,Steps[],5,FALSE),"")</f>
        <v>A.k.a. calciner. Sub with continuous kiln at M/L scale</v>
      </c>
      <c r="J167" s="251"/>
    </row>
    <row r="168" spans="2:10" ht="15.95" hidden="1" customHeight="1" outlineLevel="1">
      <c r="B168" s="16"/>
      <c r="C168" s="69" t="s">
        <v>939</v>
      </c>
      <c r="D168" s="246">
        <v>1</v>
      </c>
      <c r="E168" s="342" t="str">
        <f>IF(ISBLANK(C168),"",IFERROR(IF(fnStepCostHourly=0,fnStepNotAvail,IF(ISBLANK(D168),"",fnStepCostHourly*$D168*VLOOKUP(BasisYear,ChemPPI[],14,FALSE)/VLOOKUP(2017,ChemPPI[],14,FALSE))),""))</f>
        <v/>
      </c>
      <c r="F168" s="342" t="str">
        <f t="shared" si="8"/>
        <v/>
      </c>
      <c r="G168" s="341" t="str">
        <f t="shared" si="9"/>
        <v/>
      </c>
      <c r="H168" s="248"/>
      <c r="I168" s="247" t="str">
        <f>IFERROR(VLOOKUP($C168,Steps[],5,FALSE),"")</f>
        <v>-</v>
      </c>
      <c r="J168" s="251"/>
    </row>
    <row r="169" spans="2:10" ht="15.95" hidden="1" customHeight="1" outlineLevel="1">
      <c r="B169" s="16" t="s">
        <v>1079</v>
      </c>
      <c r="C169" s="69" t="s">
        <v>924</v>
      </c>
      <c r="D169" s="246">
        <v>1</v>
      </c>
      <c r="E169" s="342" t="str">
        <f>IF(ISBLANK(C169),"",IFERROR(IF(fnStepCostHourly=0,fnStepNotAvail,IF(ISBLANK(D169),"",fnStepCostHourly*$D169*VLOOKUP(BasisYear,ChemPPI[],14,FALSE)/VLOOKUP(2017,ChemPPI[],14,FALSE))),""))</f>
        <v/>
      </c>
      <c r="F169" s="342" t="str">
        <f t="shared" si="8"/>
        <v/>
      </c>
      <c r="G169" s="341" t="str">
        <f t="shared" si="9"/>
        <v/>
      </c>
      <c r="H169" s="248"/>
      <c r="I169" s="247" t="str">
        <f>IFERROR(VLOOKUP($C169,Steps[],5,FALSE),"")</f>
        <v>-</v>
      </c>
      <c r="J169" s="251"/>
    </row>
    <row r="170" spans="2:10" ht="15.95" hidden="1" customHeight="1" outlineLevel="1">
      <c r="B170" s="16" t="s">
        <v>1072</v>
      </c>
      <c r="C170" s="349" t="s">
        <v>926</v>
      </c>
      <c r="D170" s="350">
        <f>1*IF($D$6&lt;5,0,IF($D$6&lt;70,1,1))</f>
        <v>1</v>
      </c>
      <c r="E170" s="342" t="str">
        <f>IF(ISBLANK(C170),"",IFERROR(IF(fnStepCostHourly=0,fnStepNotAvail,IF(ISBLANK(D170),"",fnStepCostHourly*$D170*VLOOKUP(BasisYear,ChemPPI[],14,FALSE)/VLOOKUP(2017,ChemPPI[],14,FALSE))),""))</f>
        <v/>
      </c>
      <c r="F170" s="342" t="str">
        <f t="shared" si="8"/>
        <v/>
      </c>
      <c r="G170" s="341" t="str">
        <f t="shared" si="9"/>
        <v/>
      </c>
      <c r="H170" s="248"/>
      <c r="I170" s="247" t="str">
        <f>IFERROR(VLOOKUP($C170,Steps[],5,FALSE),"")</f>
        <v>Substitute with plate and frame at small scale</v>
      </c>
      <c r="J170" s="251"/>
    </row>
    <row r="171" spans="2:10" ht="15.95" hidden="1" customHeight="1" outlineLevel="1">
      <c r="B171" s="351" t="s">
        <v>1080</v>
      </c>
      <c r="C171" s="349" t="s">
        <v>928</v>
      </c>
      <c r="D171" s="350">
        <f>1*IF($D$6&lt;5,1,IF($D$6&lt;70,0,0))</f>
        <v>0</v>
      </c>
      <c r="E171" s="342" t="str">
        <f>IF(ISBLANK(C171),"",IFERROR(IF(fnStepCostHourly=0,fnStepNotAvail,IF(ISBLANK(D171),"",fnStepCostHourly*$D171*VLOOKUP(BasisYear,ChemPPI[],14,FALSE)/VLOOKUP(2017,ChemPPI[],14,FALSE))),""))</f>
        <v/>
      </c>
      <c r="F171" s="342" t="str">
        <f t="shared" si="8"/>
        <v/>
      </c>
      <c r="G171" s="341" t="str">
        <f t="shared" si="9"/>
        <v/>
      </c>
      <c r="H171" s="248"/>
      <c r="I171" s="247" t="str">
        <f>IFERROR(VLOOKUP($C171,Steps[],5,FALSE),"")</f>
        <v>Substitute with belt or rotary vacuum at M/L scale</v>
      </c>
      <c r="J171" s="251"/>
    </row>
    <row r="172" spans="2:10" ht="15.95" hidden="1" customHeight="1" outlineLevel="1">
      <c r="B172" s="16" t="s">
        <v>1079</v>
      </c>
      <c r="C172" s="69" t="s">
        <v>1076</v>
      </c>
      <c r="D172" s="246">
        <v>1</v>
      </c>
      <c r="E172" s="342" t="str">
        <f>IF(ISBLANK(C172),"",IFERROR(IF(fnStepCostHourly=0,fnStepNotAvail,IF(ISBLANK(D172),"",fnStepCostHourly*$D172*VLOOKUP(BasisYear,ChemPPI[],14,FALSE)/VLOOKUP(2017,ChemPPI[],14,FALSE))),""))</f>
        <v/>
      </c>
      <c r="F172" s="342" t="str">
        <f t="shared" si="8"/>
        <v/>
      </c>
      <c r="G172" s="341" t="str">
        <f t="shared" si="9"/>
        <v/>
      </c>
      <c r="H172" s="248"/>
      <c r="I172" s="247" t="str">
        <f>IFERROR(VLOOKUP($C172,Steps[],5,FALSE),"")</f>
        <v>-</v>
      </c>
      <c r="J172" s="251"/>
    </row>
    <row r="173" spans="2:10" ht="15.95" hidden="1" customHeight="1" outlineLevel="1">
      <c r="B173" s="16"/>
      <c r="C173" s="349" t="s">
        <v>946</v>
      </c>
      <c r="D173" s="350">
        <f>1*IF($D$6&lt;5,0,IF($D$6&lt;70,1,1))</f>
        <v>1</v>
      </c>
      <c r="E173" s="342" t="str">
        <f>IF(ISBLANK(C173),"",IFERROR(IF(fnStepCostHourly=0,fnStepNotAvail,IF(ISBLANK(D173),"",fnStepCostHourly*$D173*VLOOKUP(BasisYear,ChemPPI[],14,FALSE)/VLOOKUP(2017,ChemPPI[],14,FALSE))),""))</f>
        <v/>
      </c>
      <c r="F173" s="342" t="str">
        <f t="shared" si="8"/>
        <v/>
      </c>
      <c r="G173" s="341" t="str">
        <f t="shared" si="9"/>
        <v/>
      </c>
      <c r="H173" s="248"/>
      <c r="I173" s="247" t="str">
        <f>IFERROR(VLOOKUP($C173,Steps[],5,FALSE),"")</f>
        <v>A.k.a. calciner. Sub with batch kiln at small scale</v>
      </c>
      <c r="J173" s="251"/>
    </row>
    <row r="174" spans="2:10" ht="15.95" hidden="1" customHeight="1" outlineLevel="1">
      <c r="B174" s="16"/>
      <c r="C174" s="349" t="s">
        <v>948</v>
      </c>
      <c r="D174" s="350">
        <f>1*IF($D$6&lt;5,1,IF($D$6&lt;70,0,0))</f>
        <v>0</v>
      </c>
      <c r="E174" s="342" t="str">
        <f>IF(ISBLANK(C174),"",IFERROR(IF(fnStepCostHourly=0,fnStepNotAvail,IF(ISBLANK(D174),"",fnStepCostHourly*$D174*VLOOKUP(BasisYear,ChemPPI[],14,FALSE)/VLOOKUP(2017,ChemPPI[],14,FALSE))),""))</f>
        <v/>
      </c>
      <c r="F174" s="342" t="str">
        <f t="shared" si="8"/>
        <v/>
      </c>
      <c r="G174" s="341" t="str">
        <f t="shared" si="9"/>
        <v/>
      </c>
      <c r="H174" s="248"/>
      <c r="I174" s="247" t="str">
        <f>IFERROR(VLOOKUP($C174,Steps[],5,FALSE),"")</f>
        <v>A.k.a. calciner. Sub with continuous kiln at M/L scale</v>
      </c>
      <c r="J174" s="251"/>
    </row>
    <row r="175" spans="2:10" ht="15.95" hidden="1" customHeight="1" outlineLevel="1">
      <c r="B175" s="16"/>
      <c r="C175" s="69" t="s">
        <v>925</v>
      </c>
      <c r="D175" s="246">
        <v>1</v>
      </c>
      <c r="E175" s="342" t="str">
        <f>IF(ISBLANK(C175),"",IFERROR(IF(fnStepCostHourly=0,fnStepNotAvail,IF(ISBLANK(D175),"",fnStepCostHourly*$D175*VLOOKUP(BasisYear,ChemPPI[],14,FALSE)/VLOOKUP(2017,ChemPPI[],14,FALSE))),""))</f>
        <v/>
      </c>
      <c r="F175" s="342" t="str">
        <f t="shared" si="8"/>
        <v/>
      </c>
      <c r="G175" s="341" t="str">
        <f t="shared" si="9"/>
        <v/>
      </c>
      <c r="H175" s="248"/>
      <c r="I175" s="247" t="str">
        <f>IFERROR(VLOOKUP($C175,Steps[],5,FALSE),"")</f>
        <v>-</v>
      </c>
      <c r="J175" s="251"/>
    </row>
    <row r="176" spans="2:10" ht="15.95" hidden="1" customHeight="1" outlineLevel="1">
      <c r="B176" s="16"/>
      <c r="C176" s="69" t="s">
        <v>1075</v>
      </c>
      <c r="D176" s="246">
        <v>1</v>
      </c>
      <c r="E176" s="342" t="str">
        <f>IF(ISBLANK(C176),"",IFERROR(IF(fnStepCostHourly=0,fnStepNotAvail,IF(ISBLANK(D176),"",fnStepCostHourly*$D176*VLOOKUP(BasisYear,ChemPPI[],14,FALSE)/VLOOKUP(2017,ChemPPI[],14,FALSE))),""))</f>
        <v/>
      </c>
      <c r="F176" s="342" t="str">
        <f t="shared" si="8"/>
        <v/>
      </c>
      <c r="G176" s="341" t="str">
        <f t="shared" si="9"/>
        <v/>
      </c>
      <c r="H176" s="248"/>
      <c r="I176" s="247" t="str">
        <f>IFERROR(VLOOKUP($C176,Steps[],5,FALSE),"")</f>
        <v>For higher temp use kiln</v>
      </c>
      <c r="J176" s="251"/>
    </row>
    <row r="177" spans="1:10" ht="15.95"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5.95"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5.95"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5.95"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5.95"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5.95"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5.95"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6.5" hidden="1" outlineLevel="1" thickBot="1">
      <c r="B184" s="252"/>
      <c r="C184" s="253"/>
      <c r="D184" s="253"/>
      <c r="E184" s="253"/>
      <c r="F184" s="253"/>
      <c r="G184" s="253"/>
      <c r="H184" s="253"/>
      <c r="I184" s="253"/>
      <c r="J184" s="254"/>
    </row>
    <row r="185" spans="1:10" ht="16.5"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hidden="1" outlineLevel="1">
      <c r="B187" s="13"/>
      <c r="C187" s="14"/>
      <c r="D187" s="14"/>
      <c r="E187" s="14"/>
      <c r="F187" s="14"/>
      <c r="G187" s="14"/>
      <c r="H187" s="15"/>
      <c r="J187" s="201"/>
    </row>
    <row r="188" spans="1:10" hidden="1" outlineLevel="1">
      <c r="B188" s="16"/>
      <c r="C188" s="17" t="s">
        <v>1055</v>
      </c>
      <c r="D188" s="256" t="s">
        <v>961</v>
      </c>
      <c r="E188" s="64" t="s">
        <v>953</v>
      </c>
      <c r="F188" s="64" t="s">
        <v>954</v>
      </c>
      <c r="G188" s="64" t="str">
        <f>"Cost ($/"&amp;OutMassUnit&amp;" catalyst)"</f>
        <v>Cost ($/lb catalyst)</v>
      </c>
      <c r="H188" s="250"/>
      <c r="J188" s="201"/>
    </row>
    <row r="189" spans="1:10" ht="15.95" hidden="1" customHeight="1" outlineLevel="1">
      <c r="B189" s="16"/>
      <c r="C189" s="18" t="s">
        <v>1103</v>
      </c>
      <c r="D189" s="256"/>
      <c r="E189" s="344">
        <f>SUM(E197:E216)</f>
        <v>0</v>
      </c>
      <c r="F189" s="344">
        <f>SUM(F197:F216)</f>
        <v>0</v>
      </c>
      <c r="G189" s="343">
        <f>SUM(G197:G216)</f>
        <v>0</v>
      </c>
      <c r="H189" s="336"/>
      <c r="J189" s="201"/>
    </row>
    <row r="190" spans="1:10" ht="15.95" hidden="1" customHeight="1" outlineLevel="1">
      <c r="B190" s="16"/>
      <c r="C190" s="353" t="str">
        <f>"Name: "&amp;C189</f>
        <v>Name: Metal (Earth Abundant) on Metal Oxide</v>
      </c>
      <c r="D190" s="256"/>
      <c r="E190" s="347"/>
      <c r="F190" s="347"/>
      <c r="G190" s="348"/>
      <c r="H190" s="336"/>
      <c r="J190" s="201"/>
    </row>
    <row r="191" spans="1:10" ht="15.95" hidden="1" customHeight="1" outlineLevel="1">
      <c r="B191" s="16"/>
      <c r="C191" s="17" t="s">
        <v>1070</v>
      </c>
      <c r="D191" s="256"/>
      <c r="E191" s="347"/>
      <c r="F191" s="347"/>
      <c r="G191" s="348"/>
      <c r="H191" s="336"/>
      <c r="J191" s="201"/>
    </row>
    <row r="192" spans="1:10" ht="15.95" hidden="1" customHeight="1" outlineLevel="1">
      <c r="B192" s="16"/>
      <c r="C192" s="18" t="s">
        <v>1104</v>
      </c>
      <c r="D192" s="256"/>
      <c r="E192" s="347"/>
      <c r="F192" s="347"/>
      <c r="G192" s="348"/>
      <c r="H192" s="336"/>
      <c r="J192" s="201"/>
    </row>
    <row r="193" spans="2:10" ht="15.95" hidden="1" customHeight="1" outlineLevel="1">
      <c r="B193" s="16"/>
      <c r="C193" s="18" t="s">
        <v>1073</v>
      </c>
      <c r="D193" s="256"/>
      <c r="E193" s="347"/>
      <c r="F193" s="347"/>
      <c r="G193" s="348"/>
      <c r="H193" s="336"/>
      <c r="J193" s="201"/>
    </row>
    <row r="194" spans="2:10" ht="16.5" hidden="1" outlineLevel="1" thickBot="1">
      <c r="B194" s="21"/>
      <c r="C194" s="22"/>
      <c r="D194" s="22"/>
      <c r="E194" s="22"/>
      <c r="F194" s="22"/>
      <c r="G194" s="22"/>
      <c r="H194" s="23"/>
      <c r="J194" s="201"/>
    </row>
    <row r="195" spans="2:10" ht="15.95" hidden="1" customHeight="1" outlineLevel="1">
      <c r="B195" s="16"/>
      <c r="C195" s="18"/>
      <c r="D195" s="18"/>
      <c r="E195" s="18"/>
      <c r="F195" s="18"/>
      <c r="G195" s="18"/>
      <c r="H195" s="18"/>
      <c r="I195" s="14"/>
      <c r="J195" s="15"/>
    </row>
    <row r="196" spans="2:10" ht="17.100000000000001" hidden="1" customHeight="1" outlineLevel="1">
      <c r="B196" s="16"/>
      <c r="C196" s="339" t="s">
        <v>937</v>
      </c>
      <c r="D196" s="339" t="s">
        <v>309</v>
      </c>
      <c r="E196" s="339" t="s">
        <v>953</v>
      </c>
      <c r="F196" s="339" t="s">
        <v>954</v>
      </c>
      <c r="G196" s="339" t="str">
        <f>"Cost ($/"&amp;OutMassUnit&amp;" catalyst)"</f>
        <v>Cost ($/lb catalyst)</v>
      </c>
      <c r="H196" s="339"/>
      <c r="I196" s="339" t="s">
        <v>207</v>
      </c>
      <c r="J196" s="250"/>
    </row>
    <row r="197" spans="2:10" ht="15.95" hidden="1" customHeight="1" outlineLevel="1">
      <c r="B197" s="16"/>
      <c r="C197" s="69" t="s">
        <v>923</v>
      </c>
      <c r="D197" s="246">
        <v>1</v>
      </c>
      <c r="E197" s="342" t="str">
        <f>IF(ISBLANK(C197),"",IFERROR(IF(fnStepCostHourly=0,fnStepNotAvail,IF(ISBLANK(D197),"",fnStepCostHourly*$D197*VLOOKUP(BasisYear,ChemPPI[],14,FALSE)/VLOOKUP(2017,ChemPPI[],14,FALSE))),""))</f>
        <v/>
      </c>
      <c r="F197" s="342" t="str">
        <f t="shared" ref="F197:F216" si="10">IFERROR($E197*$D$9*24,$E197)</f>
        <v/>
      </c>
      <c r="G197" s="341" t="str">
        <f t="shared" ref="G197:G216" si="11">IFERROR($F197/$D$7,$F197)</f>
        <v/>
      </c>
      <c r="H197" s="248"/>
      <c r="I197" s="247" t="str">
        <f>IFERROR(VLOOKUP($C197,Steps[],5,FALSE),"")</f>
        <v>-</v>
      </c>
      <c r="J197" s="251"/>
    </row>
    <row r="198" spans="2:10" ht="15.95" hidden="1" customHeight="1" outlineLevel="1">
      <c r="B198" s="16"/>
      <c r="C198" s="69" t="s">
        <v>1076</v>
      </c>
      <c r="D198" s="246">
        <v>1</v>
      </c>
      <c r="E198" s="342" t="str">
        <f>IF(ISBLANK(C198),"",IFERROR(IF(fnStepCostHourly=0,fnStepNotAvail,IF(ISBLANK(D198),"",fnStepCostHourly*$D198*VLOOKUP(BasisYear,ChemPPI[],14,FALSE)/VLOOKUP(2017,ChemPPI[],14,FALSE))),""))</f>
        <v/>
      </c>
      <c r="F198" s="342" t="str">
        <f t="shared" si="10"/>
        <v/>
      </c>
      <c r="G198" s="341" t="str">
        <f t="shared" si="11"/>
        <v/>
      </c>
      <c r="H198" s="248"/>
      <c r="I198" s="247" t="str">
        <f>IFERROR(VLOOKUP($C198,Steps[],5,FALSE),"")</f>
        <v>-</v>
      </c>
      <c r="J198" s="251"/>
    </row>
    <row r="199" spans="2:10" ht="15.95" hidden="1" customHeight="1" outlineLevel="1">
      <c r="B199" s="16"/>
      <c r="C199" s="349" t="s">
        <v>946</v>
      </c>
      <c r="D199" s="350">
        <f>1*IF($D$6&lt;5,0,IF($D$6&lt;70,1,1))</f>
        <v>1</v>
      </c>
      <c r="E199" s="342" t="str">
        <f>IF(ISBLANK(C199),"",IFERROR(IF(fnStepCostHourly=0,fnStepNotAvail,IF(ISBLANK(D199),"",fnStepCostHourly*$D199*VLOOKUP(BasisYear,ChemPPI[],14,FALSE)/VLOOKUP(2017,ChemPPI[],14,FALSE))),""))</f>
        <v/>
      </c>
      <c r="F199" s="342" t="str">
        <f t="shared" si="10"/>
        <v/>
      </c>
      <c r="G199" s="341" t="str">
        <f t="shared" si="11"/>
        <v/>
      </c>
      <c r="H199" s="248"/>
      <c r="I199" s="247" t="str">
        <f>IFERROR(VLOOKUP($C199,Steps[],5,FALSE),"")</f>
        <v>A.k.a. calciner. Sub with batch kiln at small scale</v>
      </c>
      <c r="J199" s="251"/>
    </row>
    <row r="200" spans="2:10" ht="15.95" hidden="1" customHeight="1" outlineLevel="1">
      <c r="B200" s="16"/>
      <c r="C200" s="349" t="s">
        <v>948</v>
      </c>
      <c r="D200" s="350">
        <f>1*IF($D$6&lt;5,1,IF($D$6&lt;70,0,0))</f>
        <v>0</v>
      </c>
      <c r="E200" s="342" t="str">
        <f>IF(ISBLANK(C200),"",IFERROR(IF(fnStepCostHourly=0,fnStepNotAvail,IF(ISBLANK(D200),"",fnStepCostHourly*$D200*VLOOKUP(BasisYear,ChemPPI[],14,FALSE)/VLOOKUP(2017,ChemPPI[],14,FALSE))),""))</f>
        <v/>
      </c>
      <c r="F200" s="342" t="str">
        <f t="shared" si="10"/>
        <v/>
      </c>
      <c r="G200" s="341" t="str">
        <f t="shared" si="11"/>
        <v/>
      </c>
      <c r="H200" s="248"/>
      <c r="I200" s="247" t="str">
        <f>IFERROR(VLOOKUP($C200,Steps[],5,FALSE),"")</f>
        <v>A.k.a. calciner. Sub with continuous kiln at M/L scale</v>
      </c>
      <c r="J200" s="251"/>
    </row>
    <row r="201" spans="2:10" ht="15.95" hidden="1" customHeight="1" outlineLevel="1">
      <c r="B201" s="16"/>
      <c r="C201" s="69" t="s">
        <v>939</v>
      </c>
      <c r="D201" s="246">
        <v>1</v>
      </c>
      <c r="E201" s="342" t="str">
        <f>IF(ISBLANK(C201),"",IFERROR(IF(fnStepCostHourly=0,fnStepNotAvail,IF(ISBLANK(D201),"",fnStepCostHourly*$D201*VLOOKUP(BasisYear,ChemPPI[],14,FALSE)/VLOOKUP(2017,ChemPPI[],14,FALSE))),""))</f>
        <v/>
      </c>
      <c r="F201" s="342" t="str">
        <f t="shared" si="10"/>
        <v/>
      </c>
      <c r="G201" s="341" t="str">
        <f t="shared" si="11"/>
        <v/>
      </c>
      <c r="H201" s="248"/>
      <c r="I201" s="247" t="str">
        <f>IFERROR(VLOOKUP($C201,Steps[],5,FALSE),"")</f>
        <v>-</v>
      </c>
      <c r="J201" s="251"/>
    </row>
    <row r="202" spans="2:10" ht="15.95" hidden="1" customHeight="1" outlineLevel="1">
      <c r="B202" s="16"/>
      <c r="C202" s="69" t="s">
        <v>924</v>
      </c>
      <c r="D202" s="246">
        <v>1</v>
      </c>
      <c r="E202" s="342" t="str">
        <f>IF(ISBLANK(C202),"",IFERROR(IF(fnStepCostHourly=0,fnStepNotAvail,IF(ISBLANK(D202),"",fnStepCostHourly*$D202*VLOOKUP(BasisYear,ChemPPI[],14,FALSE)/VLOOKUP(2017,ChemPPI[],14,FALSE))),""))</f>
        <v/>
      </c>
      <c r="F202" s="342" t="str">
        <f t="shared" si="10"/>
        <v/>
      </c>
      <c r="G202" s="341" t="str">
        <f t="shared" si="11"/>
        <v/>
      </c>
      <c r="H202" s="248"/>
      <c r="I202" s="247" t="str">
        <f>IFERROR(VLOOKUP($C202,Steps[],5,FALSE),"")</f>
        <v>-</v>
      </c>
      <c r="J202" s="251"/>
    </row>
    <row r="203" spans="2:10" ht="15.95" hidden="1" customHeight="1" outlineLevel="1">
      <c r="B203" s="16"/>
      <c r="C203" s="349" t="s">
        <v>926</v>
      </c>
      <c r="D203" s="350">
        <f>1*IF($D$6&lt;5,0,IF($D$6&lt;70,1,1))</f>
        <v>1</v>
      </c>
      <c r="E203" s="342" t="str">
        <f>IF(ISBLANK(C203),"",IFERROR(IF(fnStepCostHourly=0,fnStepNotAvail,IF(ISBLANK(D203),"",fnStepCostHourly*$D203*VLOOKUP(BasisYear,ChemPPI[],14,FALSE)/VLOOKUP(2017,ChemPPI[],14,FALSE))),""))</f>
        <v/>
      </c>
      <c r="F203" s="342" t="str">
        <f t="shared" si="10"/>
        <v/>
      </c>
      <c r="G203" s="341" t="str">
        <f t="shared" si="11"/>
        <v/>
      </c>
      <c r="H203" s="248"/>
      <c r="I203" s="247" t="str">
        <f>IFERROR(VLOOKUP($C203,Steps[],5,FALSE),"")</f>
        <v>Substitute with plate and frame at small scale</v>
      </c>
      <c r="J203" s="251"/>
    </row>
    <row r="204" spans="2:10" ht="15.95" hidden="1" customHeight="1" outlineLevel="1">
      <c r="B204" s="16"/>
      <c r="C204" s="349" t="s">
        <v>928</v>
      </c>
      <c r="D204" s="350">
        <f>1*IF($D$6&lt;5,1,IF($D$6&lt;70,0,0))</f>
        <v>0</v>
      </c>
      <c r="E204" s="342" t="str">
        <f>IF(ISBLANK(C204),"",IFERROR(IF(fnStepCostHourly=0,fnStepNotAvail,IF(ISBLANK(D204),"",fnStepCostHourly*$D204*VLOOKUP(BasisYear,ChemPPI[],14,FALSE)/VLOOKUP(2017,ChemPPI[],14,FALSE))),""))</f>
        <v/>
      </c>
      <c r="F204" s="342" t="str">
        <f t="shared" si="10"/>
        <v/>
      </c>
      <c r="G204" s="341" t="str">
        <f t="shared" si="11"/>
        <v/>
      </c>
      <c r="H204" s="248"/>
      <c r="I204" s="247" t="str">
        <f>IFERROR(VLOOKUP($C204,Steps[],5,FALSE),"")</f>
        <v>Substitute with belt or rotary vacuum at M/L scale</v>
      </c>
      <c r="J204" s="251"/>
    </row>
    <row r="205" spans="2:10" ht="15.95" hidden="1" customHeight="1" outlineLevel="1">
      <c r="B205" s="16"/>
      <c r="C205" s="69" t="s">
        <v>1076</v>
      </c>
      <c r="D205" s="246">
        <v>1</v>
      </c>
      <c r="E205" s="342" t="str">
        <f>IF(ISBLANK(C205),"",IFERROR(IF(fnStepCostHourly=0,fnStepNotAvail,IF(ISBLANK(D205),"",fnStepCostHourly*$D205*VLOOKUP(BasisYear,ChemPPI[],14,FALSE)/VLOOKUP(2017,ChemPPI[],14,FALSE))),""))</f>
        <v/>
      </c>
      <c r="F205" s="342" t="str">
        <f t="shared" si="10"/>
        <v/>
      </c>
      <c r="G205" s="341" t="str">
        <f t="shared" si="11"/>
        <v/>
      </c>
      <c r="H205" s="248"/>
      <c r="I205" s="247" t="str">
        <f>IFERROR(VLOOKUP($C205,Steps[],5,FALSE),"")</f>
        <v>-</v>
      </c>
      <c r="J205" s="251"/>
    </row>
    <row r="206" spans="2:10" ht="15.95" hidden="1" customHeight="1" outlineLevel="1">
      <c r="B206" s="16"/>
      <c r="C206" s="349" t="s">
        <v>946</v>
      </c>
      <c r="D206" s="350">
        <f>2*IF($D$6&lt;5,0,IF($D$6&lt;70,1,1))</f>
        <v>2</v>
      </c>
      <c r="E206" s="342" t="str">
        <f>IF(ISBLANK(C206),"",IFERROR(IF(fnStepCostHourly=0,fnStepNotAvail,IF(ISBLANK(D206),"",fnStepCostHourly*$D206*VLOOKUP(BasisYear,ChemPPI[],14,FALSE)/VLOOKUP(2017,ChemPPI[],14,FALSE))),""))</f>
        <v/>
      </c>
      <c r="F206" s="342" t="str">
        <f t="shared" si="10"/>
        <v/>
      </c>
      <c r="G206" s="341" t="str">
        <f t="shared" si="11"/>
        <v/>
      </c>
      <c r="H206" s="248"/>
      <c r="I206" s="247" t="str">
        <f>IFERROR(VLOOKUP($C206,Steps[],5,FALSE),"")</f>
        <v>A.k.a. calciner. Sub with batch kiln at small scale</v>
      </c>
      <c r="J206" s="251"/>
    </row>
    <row r="207" spans="2:10" ht="15.95" hidden="1" customHeight="1" outlineLevel="1">
      <c r="B207" s="16"/>
      <c r="C207" s="349" t="s">
        <v>948</v>
      </c>
      <c r="D207" s="350">
        <f>2*IF($D$6&lt;5,1,IF($D$6&lt;70,0,0))</f>
        <v>0</v>
      </c>
      <c r="E207" s="342" t="str">
        <f>IF(ISBLANK(C207),"",IFERROR(IF(fnStepCostHourly=0,fnStepNotAvail,IF(ISBLANK(D207),"",fnStepCostHourly*$D207*VLOOKUP(BasisYear,ChemPPI[],14,FALSE)/VLOOKUP(2017,ChemPPI[],14,FALSE))),""))</f>
        <v/>
      </c>
      <c r="F207" s="342" t="str">
        <f t="shared" si="10"/>
        <v/>
      </c>
      <c r="G207" s="341" t="str">
        <f t="shared" si="11"/>
        <v/>
      </c>
      <c r="H207" s="248"/>
      <c r="I207" s="247" t="str">
        <f>IFERROR(VLOOKUP($C207,Steps[],5,FALSE),"")</f>
        <v>A.k.a. calciner. Sub with continuous kiln at M/L scale</v>
      </c>
      <c r="J207" s="251"/>
    </row>
    <row r="208" spans="2:10" ht="15.95" hidden="1"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5.95" hidden="1"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5.95" hidden="1"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5.95" hidden="1"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5.95" hidden="1"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5.95" hidden="1"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5.95" hidden="1"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5.95" hidden="1"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5.95" hidden="1"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6.5" hidden="1" outlineLevel="1" thickBot="1">
      <c r="B217" s="252"/>
      <c r="C217" s="253"/>
      <c r="D217" s="253"/>
      <c r="E217" s="253"/>
      <c r="F217" s="253"/>
      <c r="G217" s="253"/>
      <c r="H217" s="253"/>
      <c r="I217" s="253"/>
      <c r="J217" s="254"/>
    </row>
    <row r="218" spans="1:10" ht="16.5" collapsed="1"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hidden="1" outlineLevel="1">
      <c r="B220" s="13"/>
      <c r="C220" s="14"/>
      <c r="D220" s="14"/>
      <c r="E220" s="14"/>
      <c r="F220" s="14"/>
      <c r="G220" s="14"/>
      <c r="H220" s="15"/>
      <c r="J220" s="201"/>
    </row>
    <row r="221" spans="1:10" hidden="1" outlineLevel="1">
      <c r="B221" s="16"/>
      <c r="C221" s="17" t="s">
        <v>1055</v>
      </c>
      <c r="D221" s="256" t="s">
        <v>961</v>
      </c>
      <c r="E221" s="64" t="s">
        <v>953</v>
      </c>
      <c r="F221" s="64" t="s">
        <v>954</v>
      </c>
      <c r="G221" s="64" t="str">
        <f>"Cost ($/"&amp;OutMassUnit&amp;" catalyst)"</f>
        <v>Cost ($/lb catalyst)</v>
      </c>
      <c r="H221" s="250"/>
      <c r="J221" s="201"/>
    </row>
    <row r="222" spans="1:10" ht="15.95" hidden="1" customHeight="1" outlineLevel="1">
      <c r="B222" s="16"/>
      <c r="C222" s="18" t="s">
        <v>1101</v>
      </c>
      <c r="D222" s="256"/>
      <c r="E222" s="344">
        <f>SUM(E230:E249)</f>
        <v>0</v>
      </c>
      <c r="F222" s="344">
        <f>SUM(F230:F249)</f>
        <v>0</v>
      </c>
      <c r="G222" s="343">
        <f>SUM(G230:G249)</f>
        <v>0</v>
      </c>
      <c r="H222" s="336"/>
      <c r="J222" s="201"/>
    </row>
    <row r="223" spans="1:10" ht="15.95" hidden="1" customHeight="1" outlineLevel="1">
      <c r="B223" s="16"/>
      <c r="C223" s="353" t="str">
        <f>"Name: "&amp;C222</f>
        <v>Name: Metal (PGM) on Carbon</v>
      </c>
      <c r="D223" s="256"/>
      <c r="E223" s="347"/>
      <c r="F223" s="347"/>
      <c r="G223" s="348"/>
      <c r="H223" s="336"/>
      <c r="J223" s="201"/>
    </row>
    <row r="224" spans="1:10" ht="15.95" hidden="1" customHeight="1" outlineLevel="1">
      <c r="B224" s="16"/>
      <c r="C224" s="17" t="s">
        <v>1070</v>
      </c>
      <c r="D224" s="256"/>
      <c r="E224" s="347"/>
      <c r="F224" s="347"/>
      <c r="G224" s="348"/>
      <c r="H224" s="336"/>
      <c r="J224" s="201"/>
    </row>
    <row r="225" spans="2:10" ht="15.95" hidden="1" customHeight="1" outlineLevel="1">
      <c r="B225" s="16"/>
      <c r="C225" s="18" t="s">
        <v>1102</v>
      </c>
      <c r="D225" s="256"/>
      <c r="E225" s="347"/>
      <c r="F225" s="347"/>
      <c r="G225" s="348"/>
      <c r="H225" s="336"/>
      <c r="J225" s="201"/>
    </row>
    <row r="226" spans="2:10" ht="15.95" hidden="1" customHeight="1" outlineLevel="1">
      <c r="B226" s="16"/>
      <c r="C226" s="18" t="s">
        <v>1073</v>
      </c>
      <c r="D226" s="256"/>
      <c r="E226" s="347"/>
      <c r="F226" s="347"/>
      <c r="G226" s="348"/>
      <c r="H226" s="336"/>
      <c r="J226" s="201"/>
    </row>
    <row r="227" spans="2:10" ht="16.5" hidden="1" outlineLevel="1" thickBot="1">
      <c r="B227" s="21"/>
      <c r="C227" s="22"/>
      <c r="D227" s="22"/>
      <c r="E227" s="22"/>
      <c r="F227" s="22"/>
      <c r="G227" s="22"/>
      <c r="H227" s="23"/>
      <c r="J227" s="201"/>
    </row>
    <row r="228" spans="2:10" ht="15.95" hidden="1" customHeight="1" outlineLevel="1">
      <c r="B228" s="16"/>
      <c r="C228" s="18"/>
      <c r="D228" s="18"/>
      <c r="E228" s="18"/>
      <c r="F228" s="18"/>
      <c r="G228" s="18"/>
      <c r="H228" s="18"/>
      <c r="I228" s="14"/>
      <c r="J228" s="15"/>
    </row>
    <row r="229" spans="2:10" ht="17.100000000000001" hidden="1" customHeight="1" outlineLevel="1">
      <c r="B229" s="16"/>
      <c r="C229" s="339" t="s">
        <v>937</v>
      </c>
      <c r="D229" s="339" t="s">
        <v>309</v>
      </c>
      <c r="E229" s="339" t="s">
        <v>953</v>
      </c>
      <c r="F229" s="339" t="s">
        <v>954</v>
      </c>
      <c r="G229" s="339" t="str">
        <f>"Cost ($/"&amp;OutMassUnit&amp;" catalyst)"</f>
        <v>Cost ($/lb catalyst)</v>
      </c>
      <c r="H229" s="339"/>
      <c r="I229" s="339" t="s">
        <v>207</v>
      </c>
      <c r="J229" s="250"/>
    </row>
    <row r="230" spans="2:10" ht="15.95" hidden="1" customHeight="1" outlineLevel="1">
      <c r="B230" s="16"/>
      <c r="C230" s="69" t="s">
        <v>923</v>
      </c>
      <c r="D230" s="246">
        <v>1</v>
      </c>
      <c r="E230" s="342" t="str">
        <f>IF(ISBLANK(C230),"",IFERROR(IF(fnStepCostHourly=0,fnStepNotAvail,IF(ISBLANK(D230),"",fnStepCostHourly*$D230*VLOOKUP(BasisYear,ChemPPI[],14,FALSE)/VLOOKUP(2017,ChemPPI[],14,FALSE))),""))</f>
        <v/>
      </c>
      <c r="F230" s="342" t="str">
        <f t="shared" ref="F230:F249" si="12">IFERROR($E230*$D$9*24,$E230)</f>
        <v/>
      </c>
      <c r="G230" s="341" t="str">
        <f t="shared" ref="G230:G249" si="13">IFERROR($F230/$D$7,$F230)</f>
        <v/>
      </c>
      <c r="H230" s="248"/>
      <c r="I230" s="247" t="str">
        <f>IFERROR(VLOOKUP($C230,Steps[],5,FALSE),"")</f>
        <v>-</v>
      </c>
      <c r="J230" s="251"/>
    </row>
    <row r="231" spans="2:10" ht="15.95" hidden="1" customHeight="1" outlineLevel="1">
      <c r="B231" s="16"/>
      <c r="C231" s="69" t="s">
        <v>932</v>
      </c>
      <c r="D231" s="246">
        <v>1</v>
      </c>
      <c r="E231" s="342" t="str">
        <f>IF(ISBLANK(C231),"",IFERROR(IF(fnStepCostHourly=0,fnStepNotAvail,IF(ISBLANK(D231),"",fnStepCostHourly*$D231*VLOOKUP(BasisYear,ChemPPI[],14,FALSE)/VLOOKUP(2017,ChemPPI[],14,FALSE))),""))</f>
        <v/>
      </c>
      <c r="F231" s="342" t="str">
        <f t="shared" si="12"/>
        <v/>
      </c>
      <c r="G231" s="341" t="str">
        <f t="shared" si="13"/>
        <v/>
      </c>
      <c r="H231" s="248"/>
      <c r="I231" s="247" t="str">
        <f>IFERROR(VLOOKUP($C231,Steps[],5,FALSE),"")</f>
        <v>-</v>
      </c>
      <c r="J231" s="251"/>
    </row>
    <row r="232" spans="2:10" ht="15.95" hidden="1" customHeight="1" outlineLevel="1">
      <c r="B232" s="16"/>
      <c r="C232" s="69" t="s">
        <v>939</v>
      </c>
      <c r="D232" s="246">
        <v>1</v>
      </c>
      <c r="E232" s="342" t="str">
        <f>IF(ISBLANK(C232),"",IFERROR(IF(fnStepCostHourly=0,fnStepNotAvail,IF(ISBLANK(D232),"",fnStepCostHourly*$D232*VLOOKUP(BasisYear,ChemPPI[],14,FALSE)/VLOOKUP(2017,ChemPPI[],14,FALSE))),""))</f>
        <v/>
      </c>
      <c r="F232" s="342" t="str">
        <f t="shared" si="12"/>
        <v/>
      </c>
      <c r="G232" s="341" t="str">
        <f t="shared" si="13"/>
        <v/>
      </c>
      <c r="H232" s="248"/>
      <c r="I232" s="247" t="str">
        <f>IFERROR(VLOOKUP($C232,Steps[],5,FALSE),"")</f>
        <v>-</v>
      </c>
      <c r="J232" s="251"/>
    </row>
    <row r="233" spans="2:10" ht="15.95" hidden="1" customHeight="1" outlineLevel="1">
      <c r="B233" s="16"/>
      <c r="C233" s="349" t="s">
        <v>928</v>
      </c>
      <c r="D233" s="350">
        <f>1*IF($D$6&lt;5,1,IF($D$6&lt;70,0,0))</f>
        <v>0</v>
      </c>
      <c r="E233" s="342" t="str">
        <f>IF(ISBLANK(C233),"",IFERROR(IF(fnStepCostHourly=0,fnStepNotAvail,IF(ISBLANK(D233),"",fnStepCostHourly*$D233*VLOOKUP(BasisYear,ChemPPI[],14,FALSE)/VLOOKUP(2017,ChemPPI[],14,FALSE))),""))</f>
        <v/>
      </c>
      <c r="F233" s="342" t="str">
        <f t="shared" si="12"/>
        <v/>
      </c>
      <c r="G233" s="341" t="str">
        <f t="shared" si="13"/>
        <v/>
      </c>
      <c r="H233" s="248"/>
      <c r="I233" s="247" t="str">
        <f>IFERROR(VLOOKUP($C233,Steps[],5,FALSE),"")</f>
        <v>Substitute with belt or rotary vacuum at M/L scale</v>
      </c>
      <c r="J233" s="251"/>
    </row>
    <row r="234" spans="2:10" ht="15.95" hidden="1" customHeight="1" outlineLevel="1">
      <c r="B234" s="16"/>
      <c r="C234" s="349" t="s">
        <v>926</v>
      </c>
      <c r="D234" s="350">
        <f>1*IF($D$6&lt;5,0,IF($D$6&lt;70,1,1))</f>
        <v>1</v>
      </c>
      <c r="E234" s="342" t="str">
        <f>IF(ISBLANK(C234),"",IFERROR(IF(fnStepCostHourly=0,fnStepNotAvail,IF(ISBLANK(D234),"",fnStepCostHourly*$D234*VLOOKUP(BasisYear,ChemPPI[],14,FALSE)/VLOOKUP(2017,ChemPPI[],14,FALSE))),""))</f>
        <v/>
      </c>
      <c r="F234" s="342" t="str">
        <f t="shared" si="12"/>
        <v/>
      </c>
      <c r="G234" s="341" t="str">
        <f t="shared" si="13"/>
        <v/>
      </c>
      <c r="H234" s="248"/>
      <c r="I234" s="247" t="str">
        <f>IFERROR(VLOOKUP($C234,Steps[],5,FALSE),"")</f>
        <v>Substitute with plate and frame at small scale</v>
      </c>
      <c r="J234" s="251"/>
    </row>
    <row r="235" spans="2:10" ht="15.95" hidden="1" customHeight="1" outlineLevel="1">
      <c r="B235" s="16"/>
      <c r="C235" s="69" t="s">
        <v>931</v>
      </c>
      <c r="D235" s="246">
        <v>1</v>
      </c>
      <c r="E235" s="342" t="str">
        <f>IF(ISBLANK(C235),"",IFERROR(IF(fnStepCostHourly=0,fnStepNotAvail,IF(ISBLANK(D235),"",fnStepCostHourly*$D235*VLOOKUP(BasisYear,ChemPPI[],14,FALSE)/VLOOKUP(2017,ChemPPI[],14,FALSE))),""))</f>
        <v/>
      </c>
      <c r="F235" s="342" t="str">
        <f t="shared" si="12"/>
        <v/>
      </c>
      <c r="G235" s="341" t="str">
        <f t="shared" si="13"/>
        <v/>
      </c>
      <c r="H235" s="248"/>
      <c r="I235" s="247" t="str">
        <f>IFERROR(VLOOKUP($C235,Steps[],5,FALSE),"")</f>
        <v>-</v>
      </c>
      <c r="J235" s="251"/>
    </row>
    <row r="236" spans="2:10" ht="15.95" hidden="1" customHeight="1" outlineLevel="1">
      <c r="B236" s="16"/>
      <c r="C236" s="69" t="s">
        <v>1076</v>
      </c>
      <c r="D236" s="246">
        <v>1</v>
      </c>
      <c r="E236" s="342" t="str">
        <f>IF(ISBLANK(C236),"",IFERROR(IF(fnStepCostHourly=0,fnStepNotAvail,IF(ISBLANK(D236),"",fnStepCostHourly*$D236*VLOOKUP(BasisYear,ChemPPI[],14,FALSE)/VLOOKUP(2017,ChemPPI[],14,FALSE))),""))</f>
        <v/>
      </c>
      <c r="F236" s="342" t="str">
        <f t="shared" si="12"/>
        <v/>
      </c>
      <c r="G236" s="341" t="str">
        <f t="shared" si="13"/>
        <v/>
      </c>
      <c r="H236" s="248"/>
      <c r="I236" s="247" t="str">
        <f>IFERROR(VLOOKUP($C236,Steps[],5,FALSE),"")</f>
        <v>-</v>
      </c>
      <c r="J236" s="251"/>
    </row>
    <row r="237" spans="2:10" ht="15.95" hidden="1"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5.95" hidden="1"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5.95" hidden="1"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5.95" hidden="1"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5.95" hidden="1"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5.95" hidden="1"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5.95" hidden="1"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5.95" hidden="1"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5.95" hidden="1"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5.95" hidden="1"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5.95" hidden="1"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5.95" hidden="1"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5.95" hidden="1"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6.5" hidden="1" outlineLevel="1" thickBot="1">
      <c r="B250" s="252"/>
      <c r="C250" s="253"/>
      <c r="D250" s="253"/>
      <c r="E250" s="253"/>
      <c r="F250" s="253"/>
      <c r="G250" s="253"/>
      <c r="H250" s="253"/>
      <c r="I250" s="253"/>
      <c r="J250" s="254"/>
    </row>
    <row r="251" spans="1:10" ht="16.5" collapsed="1"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hidden="1" outlineLevel="1">
      <c r="B253" s="13"/>
      <c r="C253" s="14"/>
      <c r="D253" s="14"/>
      <c r="E253" s="14"/>
      <c r="F253" s="14"/>
      <c r="G253" s="14"/>
      <c r="H253" s="15"/>
      <c r="J253" s="201"/>
    </row>
    <row r="254" spans="1:10" hidden="1" outlineLevel="1">
      <c r="B254" s="16"/>
      <c r="C254" s="17" t="s">
        <v>1055</v>
      </c>
      <c r="D254" s="256" t="s">
        <v>961</v>
      </c>
      <c r="E254" s="64" t="s">
        <v>953</v>
      </c>
      <c r="F254" s="64" t="s">
        <v>954</v>
      </c>
      <c r="G254" s="64" t="str">
        <f>"Cost ($/"&amp;OutMassUnit&amp;" catalyst)"</f>
        <v>Cost ($/lb catalyst)</v>
      </c>
      <c r="H254" s="250"/>
      <c r="J254" s="201"/>
    </row>
    <row r="255" spans="1:10" ht="15.95" hidden="1" customHeight="1" outlineLevel="1">
      <c r="B255" s="16"/>
      <c r="C255" s="18" t="s">
        <v>1100</v>
      </c>
      <c r="D255" s="256"/>
      <c r="E255" s="344">
        <f>SUM(E263:E282)</f>
        <v>0</v>
      </c>
      <c r="F255" s="344">
        <f>SUM(F263:F282)</f>
        <v>0</v>
      </c>
      <c r="G255" s="343">
        <f>SUM(G263:G282)</f>
        <v>0</v>
      </c>
      <c r="H255" s="336"/>
      <c r="J255" s="201"/>
    </row>
    <row r="256" spans="1:10" ht="15.95" hidden="1" customHeight="1" outlineLevel="1">
      <c r="B256" s="16"/>
      <c r="C256" s="353" t="str">
        <f>"Name: "&amp;C255</f>
        <v>Name: Metal (PGM) on Metal Oxide</v>
      </c>
      <c r="D256" s="256"/>
      <c r="E256" s="347"/>
      <c r="F256" s="347"/>
      <c r="G256" s="348"/>
      <c r="H256" s="336"/>
      <c r="J256" s="201"/>
    </row>
    <row r="257" spans="2:10" ht="15.95" hidden="1" customHeight="1" outlineLevel="1">
      <c r="B257" s="16"/>
      <c r="C257" s="17" t="s">
        <v>1070</v>
      </c>
      <c r="D257" s="256"/>
      <c r="E257" s="347"/>
      <c r="F257" s="347"/>
      <c r="G257" s="348"/>
      <c r="H257" s="336"/>
      <c r="J257" s="201"/>
    </row>
    <row r="258" spans="2:10" ht="15.95" hidden="1" customHeight="1" outlineLevel="1">
      <c r="B258" s="16"/>
      <c r="C258" s="18" t="s">
        <v>1081</v>
      </c>
      <c r="D258" s="256"/>
      <c r="E258" s="347"/>
      <c r="F258" s="347"/>
      <c r="G258" s="348"/>
      <c r="H258" s="336"/>
      <c r="J258" s="201"/>
    </row>
    <row r="259" spans="2:10" ht="15.95" hidden="1" customHeight="1" outlineLevel="1">
      <c r="B259" s="16"/>
      <c r="C259" s="18" t="s">
        <v>1073</v>
      </c>
      <c r="D259" s="256"/>
      <c r="E259" s="347"/>
      <c r="F259" s="347"/>
      <c r="G259" s="348"/>
      <c r="H259" s="336"/>
      <c r="J259" s="201"/>
    </row>
    <row r="260" spans="2:10" ht="16.5" hidden="1" outlineLevel="1" thickBot="1">
      <c r="B260" s="21"/>
      <c r="C260" s="22"/>
      <c r="D260" s="22"/>
      <c r="E260" s="22"/>
      <c r="F260" s="22"/>
      <c r="G260" s="22"/>
      <c r="H260" s="23"/>
      <c r="J260" s="201"/>
    </row>
    <row r="261" spans="2:10" ht="15.95" hidden="1" customHeight="1" outlineLevel="1">
      <c r="B261" s="16"/>
      <c r="C261" s="18"/>
      <c r="D261" s="18"/>
      <c r="E261" s="18"/>
      <c r="F261" s="18"/>
      <c r="G261" s="18"/>
      <c r="H261" s="18"/>
      <c r="I261" s="14"/>
      <c r="J261" s="15"/>
    </row>
    <row r="262" spans="2:10" ht="17.100000000000001" hidden="1" customHeight="1" outlineLevel="1">
      <c r="B262" s="16"/>
      <c r="C262" s="339" t="s">
        <v>937</v>
      </c>
      <c r="D262" s="339" t="s">
        <v>309</v>
      </c>
      <c r="E262" s="339" t="s">
        <v>953</v>
      </c>
      <c r="F262" s="339" t="s">
        <v>954</v>
      </c>
      <c r="G262" s="339" t="str">
        <f>"Cost ($/"&amp;OutMassUnit&amp;" catalyst)"</f>
        <v>Cost ($/lb catalyst)</v>
      </c>
      <c r="H262" s="339"/>
      <c r="I262" s="339" t="s">
        <v>207</v>
      </c>
      <c r="J262" s="250"/>
    </row>
    <row r="263" spans="2:10" ht="15.95" hidden="1" customHeight="1" outlineLevel="1">
      <c r="B263" s="16"/>
      <c r="C263" s="69" t="s">
        <v>923</v>
      </c>
      <c r="D263" s="246">
        <v>1</v>
      </c>
      <c r="E263" s="342" t="str">
        <f>IF(ISBLANK(C263),"",IFERROR(IF(fnStepCostHourly=0,fnStepNotAvail,IF(ISBLANK(D263),"",fnStepCostHourly*$D263*VLOOKUP(BasisYear,ChemPPI[],14,FALSE)/VLOOKUP(2017,ChemPPI[],14,FALSE))),""))</f>
        <v/>
      </c>
      <c r="F263" s="342" t="str">
        <f t="shared" ref="F263:F282" si="14">IFERROR($E263*$D$9*24,$E263)</f>
        <v/>
      </c>
      <c r="G263" s="341" t="str">
        <f t="shared" ref="G263:G282" si="15">IFERROR($F263/$D$7,$F263)</f>
        <v/>
      </c>
      <c r="H263" s="248"/>
      <c r="I263" s="247" t="str">
        <f>IFERROR(VLOOKUP($C263,Steps[],5,FALSE),"")</f>
        <v>-</v>
      </c>
      <c r="J263" s="251"/>
    </row>
    <row r="264" spans="2:10" ht="15.95" hidden="1" customHeight="1" outlineLevel="1">
      <c r="B264" s="16"/>
      <c r="C264" s="349" t="s">
        <v>946</v>
      </c>
      <c r="D264" s="350">
        <f>1*IF($D$6&lt;5,0,IF($D$6&lt;70,1,1))</f>
        <v>1</v>
      </c>
      <c r="E264" s="342" t="str">
        <f>IF(ISBLANK(C264),"",IFERROR(IF(fnStepCostHourly=0,fnStepNotAvail,IF(ISBLANK(D264),"",fnStepCostHourly*$D264*VLOOKUP(BasisYear,ChemPPI[],14,FALSE)/VLOOKUP(2017,ChemPPI[],14,FALSE))),""))</f>
        <v/>
      </c>
      <c r="F264" s="342" t="str">
        <f t="shared" si="14"/>
        <v/>
      </c>
      <c r="G264" s="341" t="str">
        <f t="shared" si="15"/>
        <v/>
      </c>
      <c r="H264" s="248"/>
      <c r="I264" s="247" t="str">
        <f>IFERROR(VLOOKUP($C264,Steps[],5,FALSE),"")</f>
        <v>A.k.a. calciner. Sub with batch kiln at small scale</v>
      </c>
      <c r="J264" s="251"/>
    </row>
    <row r="265" spans="2:10" ht="15.95" hidden="1" customHeight="1" outlineLevel="1">
      <c r="B265" s="16"/>
      <c r="C265" s="349" t="s">
        <v>948</v>
      </c>
      <c r="D265" s="350">
        <f>1*IF($D$6&lt;5,1,IF($D$6&lt;70,0,0))</f>
        <v>0</v>
      </c>
      <c r="E265" s="342" t="str">
        <f>IF(ISBLANK(C265),"",IFERROR(IF(fnStepCostHourly=0,fnStepNotAvail,IF(ISBLANK(D265),"",fnStepCostHourly*$D265*VLOOKUP(BasisYear,ChemPPI[],14,FALSE)/VLOOKUP(2017,ChemPPI[],14,FALSE))),""))</f>
        <v/>
      </c>
      <c r="F265" s="342" t="str">
        <f t="shared" si="14"/>
        <v/>
      </c>
      <c r="G265" s="341" t="str">
        <f t="shared" si="15"/>
        <v/>
      </c>
      <c r="H265" s="248"/>
      <c r="I265" s="247" t="str">
        <f>IFERROR(VLOOKUP($C265,Steps[],5,FALSE),"")</f>
        <v>A.k.a. calciner. Sub with continuous kiln at M/L scale</v>
      </c>
      <c r="J265" s="251"/>
    </row>
    <row r="266" spans="2:10" ht="15.95" hidden="1" customHeight="1" outlineLevel="1">
      <c r="B266" s="16"/>
      <c r="C266" s="69" t="s">
        <v>939</v>
      </c>
      <c r="D266" s="246">
        <v>1</v>
      </c>
      <c r="E266" s="342" t="str">
        <f>IF(ISBLANK(C266),"",IFERROR(IF(fnStepCostHourly=0,fnStepNotAvail,IF(ISBLANK(D266),"",fnStepCostHourly*$D266*VLOOKUP(BasisYear,ChemPPI[],14,FALSE)/VLOOKUP(2017,ChemPPI[],14,FALSE))),""))</f>
        <v/>
      </c>
      <c r="F266" s="342" t="str">
        <f t="shared" si="14"/>
        <v/>
      </c>
      <c r="G266" s="341" t="str">
        <f t="shared" si="15"/>
        <v/>
      </c>
      <c r="H266" s="248"/>
      <c r="I266" s="247" t="str">
        <f>IFERROR(VLOOKUP($C266,Steps[],5,FALSE),"")</f>
        <v>-</v>
      </c>
      <c r="J266" s="251"/>
    </row>
    <row r="267" spans="2:10" ht="15.95" hidden="1" customHeight="1" outlineLevel="1">
      <c r="B267" s="16" t="s">
        <v>1072</v>
      </c>
      <c r="C267" s="69" t="s">
        <v>924</v>
      </c>
      <c r="D267" s="246">
        <v>1</v>
      </c>
      <c r="E267" s="342" t="str">
        <f>IF(ISBLANK(C267),"",IFERROR(IF(fnStepCostHourly=0,fnStepNotAvail,IF(ISBLANK(D267),"",fnStepCostHourly*$D267*VLOOKUP(BasisYear,ChemPPI[],14,FALSE)/VLOOKUP(2017,ChemPPI[],14,FALSE))),""))</f>
        <v/>
      </c>
      <c r="F267" s="342" t="str">
        <f t="shared" si="14"/>
        <v/>
      </c>
      <c r="G267" s="341" t="str">
        <f t="shared" si="15"/>
        <v/>
      </c>
      <c r="H267" s="248"/>
      <c r="I267" s="247" t="str">
        <f>IFERROR(VLOOKUP($C267,Steps[],5,FALSE),"")</f>
        <v>-</v>
      </c>
      <c r="J267" s="251"/>
    </row>
    <row r="268" spans="2:10" ht="15.95" hidden="1" customHeight="1" outlineLevel="1">
      <c r="B268" s="16" t="s">
        <v>1072</v>
      </c>
      <c r="C268" s="349" t="s">
        <v>926</v>
      </c>
      <c r="D268" s="350">
        <f>1*IF($D$6&lt;5,0,IF($D$6&lt;70,1,1))</f>
        <v>1</v>
      </c>
      <c r="E268" s="342" t="str">
        <f>IF(ISBLANK(C268),"",IFERROR(IF(fnStepCostHourly=0,fnStepNotAvail,IF(ISBLANK(D268),"",fnStepCostHourly*$D268*VLOOKUP(BasisYear,ChemPPI[],14,FALSE)/VLOOKUP(2017,ChemPPI[],14,FALSE))),""))</f>
        <v/>
      </c>
      <c r="F268" s="342" t="str">
        <f t="shared" si="14"/>
        <v/>
      </c>
      <c r="G268" s="341" t="str">
        <f t="shared" si="15"/>
        <v/>
      </c>
      <c r="H268" s="248"/>
      <c r="I268" s="247" t="str">
        <f>IFERROR(VLOOKUP($C268,Steps[],5,FALSE),"")</f>
        <v>Substitute with plate and frame at small scale</v>
      </c>
      <c r="J268" s="251"/>
    </row>
    <row r="269" spans="2:10" ht="15.95" hidden="1" customHeight="1" outlineLevel="1">
      <c r="B269" s="351" t="s">
        <v>1080</v>
      </c>
      <c r="C269" s="349" t="s">
        <v>928</v>
      </c>
      <c r="D269" s="350">
        <f>1*IF($D$6&lt;5,1,IF($D$6&lt;70,0,0))</f>
        <v>0</v>
      </c>
      <c r="E269" s="342" t="str">
        <f>IF(ISBLANK(C269),"",IFERROR(IF(fnStepCostHourly=0,fnStepNotAvail,IF(ISBLANK(D269),"",fnStepCostHourly*$D269*VLOOKUP(BasisYear,ChemPPI[],14,FALSE)/VLOOKUP(2017,ChemPPI[],14,FALSE))),""))</f>
        <v/>
      </c>
      <c r="F269" s="342" t="str">
        <f t="shared" si="14"/>
        <v/>
      </c>
      <c r="G269" s="341" t="str">
        <f t="shared" si="15"/>
        <v/>
      </c>
      <c r="H269" s="248"/>
      <c r="I269" s="247" t="str">
        <f>IFERROR(VLOOKUP($C269,Steps[],5,FALSE),"")</f>
        <v>Substitute with belt or rotary vacuum at M/L scale</v>
      </c>
      <c r="J269" s="251"/>
    </row>
    <row r="270" spans="2:10" ht="15.95" hidden="1" customHeight="1" outlineLevel="1">
      <c r="B270" s="16" t="s">
        <v>1072</v>
      </c>
      <c r="C270" s="69" t="s">
        <v>1076</v>
      </c>
      <c r="D270" s="246">
        <v>1</v>
      </c>
      <c r="E270" s="342" t="str">
        <f>IF(ISBLANK(C270),"",IFERROR(IF(fnStepCostHourly=0,fnStepNotAvail,IF(ISBLANK(D270),"",fnStepCostHourly*$D270*VLOOKUP(BasisYear,ChemPPI[],14,FALSE)/VLOOKUP(2017,ChemPPI[],14,FALSE))),""))</f>
        <v/>
      </c>
      <c r="F270" s="342" t="str">
        <f t="shared" si="14"/>
        <v/>
      </c>
      <c r="G270" s="341" t="str">
        <f t="shared" si="15"/>
        <v/>
      </c>
      <c r="H270" s="248"/>
      <c r="I270" s="247" t="str">
        <f>IFERROR(VLOOKUP($C270,Steps[],5,FALSE),"")</f>
        <v>-</v>
      </c>
      <c r="J270" s="251"/>
    </row>
    <row r="271" spans="2:10" ht="15.95" hidden="1" customHeight="1" outlineLevel="1">
      <c r="B271" s="16" t="s">
        <v>1072</v>
      </c>
      <c r="C271" s="69" t="s">
        <v>1075</v>
      </c>
      <c r="D271" s="246">
        <v>2</v>
      </c>
      <c r="E271" s="342" t="str">
        <f>IF(ISBLANK(C271),"",IFERROR(IF(fnStepCostHourly=0,fnStepNotAvail,IF(ISBLANK(D271),"",fnStepCostHourly*$D271*VLOOKUP(BasisYear,ChemPPI[],14,FALSE)/VLOOKUP(2017,ChemPPI[],14,FALSE))),""))</f>
        <v/>
      </c>
      <c r="F271" s="342" t="str">
        <f t="shared" si="14"/>
        <v/>
      </c>
      <c r="G271" s="341" t="str">
        <f t="shared" si="15"/>
        <v/>
      </c>
      <c r="H271" s="248"/>
      <c r="I271" s="247" t="str">
        <f>IFERROR(VLOOKUP($C271,Steps[],5,FALSE),"")</f>
        <v>For higher temp use kiln</v>
      </c>
      <c r="J271" s="251"/>
    </row>
    <row r="272" spans="2:10" ht="15.95" hidden="1"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5.95" hidden="1"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5.95" hidden="1"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5.95" hidden="1"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5.95" hidden="1"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5.95" hidden="1"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5.95" hidden="1"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5.95" hidden="1"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5.95" hidden="1"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5.95" hidden="1"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5.95" hidden="1"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6.5" hidden="1" outlineLevel="1" thickBot="1">
      <c r="B283" s="252"/>
      <c r="C283" s="253"/>
      <c r="D283" s="253"/>
      <c r="E283" s="253"/>
      <c r="F283" s="253"/>
      <c r="G283" s="253"/>
      <c r="H283" s="253"/>
      <c r="I283" s="253"/>
      <c r="J283" s="254"/>
    </row>
    <row r="284" spans="1:10" ht="16.5" collapsed="1"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1055</v>
      </c>
      <c r="D287" s="256" t="s">
        <v>961</v>
      </c>
      <c r="E287" s="64" t="s">
        <v>953</v>
      </c>
      <c r="F287" s="64" t="s">
        <v>954</v>
      </c>
      <c r="G287" s="64" t="str">
        <f>"Cost ($/"&amp;OutMassUnit&amp;" catalyst)"</f>
        <v>Cost ($/lb catalyst)</v>
      </c>
      <c r="H287" s="250"/>
      <c r="J287" s="201"/>
    </row>
    <row r="288" spans="1:10" ht="15.95" hidden="1" customHeight="1" outlineLevel="1">
      <c r="B288" s="16"/>
      <c r="C288" s="18" t="s">
        <v>1096</v>
      </c>
      <c r="D288" s="256"/>
      <c r="E288" s="344">
        <f>SUM(E296:E315)</f>
        <v>0</v>
      </c>
      <c r="F288" s="344">
        <f>SUM(F296:F315)</f>
        <v>0</v>
      </c>
      <c r="G288" s="343">
        <f>SUM(G296:G315)</f>
        <v>0</v>
      </c>
      <c r="H288" s="336"/>
      <c r="J288" s="201"/>
    </row>
    <row r="289" spans="2:10" ht="15.95" hidden="1" customHeight="1" outlineLevel="1">
      <c r="B289" s="16"/>
      <c r="C289" s="353" t="str">
        <f>"Name: "&amp;C288</f>
        <v>Name: Red Mud</v>
      </c>
      <c r="D289" s="256"/>
      <c r="E289" s="347"/>
      <c r="F289" s="347"/>
      <c r="G289" s="348"/>
      <c r="H289" s="336"/>
      <c r="J289" s="201"/>
    </row>
    <row r="290" spans="2:10" ht="15.95" hidden="1" customHeight="1" outlineLevel="1">
      <c r="B290" s="16"/>
      <c r="C290" s="17" t="s">
        <v>1070</v>
      </c>
      <c r="D290" s="256"/>
      <c r="E290" s="347"/>
      <c r="F290" s="347"/>
      <c r="G290" s="348"/>
      <c r="H290" s="336"/>
      <c r="J290" s="201"/>
    </row>
    <row r="291" spans="2:10" ht="15.95" hidden="1" customHeight="1" outlineLevel="1">
      <c r="B291" s="16"/>
      <c r="C291" s="18" t="s">
        <v>1097</v>
      </c>
      <c r="D291" s="256"/>
      <c r="E291" s="347"/>
      <c r="F291" s="347"/>
      <c r="G291" s="348"/>
      <c r="H291" s="336"/>
      <c r="J291" s="201"/>
    </row>
    <row r="292" spans="2:10" ht="15.95" hidden="1" customHeight="1" outlineLevel="1">
      <c r="B292" s="16"/>
      <c r="C292" s="18" t="s">
        <v>1073</v>
      </c>
      <c r="D292" s="256"/>
      <c r="E292" s="347"/>
      <c r="F292" s="347"/>
      <c r="G292" s="348"/>
      <c r="H292" s="336"/>
      <c r="J292" s="201"/>
    </row>
    <row r="293" spans="2:10" ht="16.5" hidden="1" outlineLevel="1" thickBot="1">
      <c r="B293" s="21"/>
      <c r="C293" s="22"/>
      <c r="D293" s="22"/>
      <c r="E293" s="22"/>
      <c r="F293" s="22"/>
      <c r="G293" s="22"/>
      <c r="H293" s="23"/>
      <c r="J293" s="201"/>
    </row>
    <row r="294" spans="2:10" ht="15.95" hidden="1" customHeight="1" outlineLevel="1">
      <c r="B294" s="16"/>
      <c r="C294" s="18"/>
      <c r="D294" s="18"/>
      <c r="E294" s="18"/>
      <c r="F294" s="18"/>
      <c r="G294" s="18"/>
      <c r="H294" s="18"/>
      <c r="I294" s="14"/>
      <c r="J294" s="15"/>
    </row>
    <row r="295" spans="2:10" ht="17.100000000000001" hidden="1" customHeight="1" outlineLevel="1">
      <c r="B295" s="16"/>
      <c r="C295" s="339" t="s">
        <v>937</v>
      </c>
      <c r="D295" s="339" t="s">
        <v>309</v>
      </c>
      <c r="E295" s="339" t="s">
        <v>953</v>
      </c>
      <c r="F295" s="339" t="s">
        <v>954</v>
      </c>
      <c r="G295" s="339" t="str">
        <f>"Cost ($/"&amp;OutMassUnit&amp;" catalyst)"</f>
        <v>Cost ($/lb catalyst)</v>
      </c>
      <c r="H295" s="339"/>
      <c r="I295" s="339" t="s">
        <v>207</v>
      </c>
      <c r="J295" s="250"/>
    </row>
    <row r="296" spans="2:10" ht="15.95" hidden="1" customHeight="1" outlineLevel="1">
      <c r="B296" s="16"/>
      <c r="C296" s="349" t="s">
        <v>926</v>
      </c>
      <c r="D296" s="350">
        <f>1*IF($D$6&lt;5,0,IF($D$6&lt;70,1,1))</f>
        <v>1</v>
      </c>
      <c r="E296" s="342" t="str">
        <f>IF(ISBLANK(C296),"",IFERROR(IF(fnStepCostHourly=0,fnStepNotAvail,IF(ISBLANK(D296),"",fnStepCostHourly*$D296*VLOOKUP(BasisYear,ChemPPI[],14,FALSE)/VLOOKUP(2017,ChemPPI[],14,FALSE))),""))</f>
        <v/>
      </c>
      <c r="F296" s="342" t="str">
        <f t="shared" ref="F296:F315" si="16">IFERROR($E296*$D$9*24,$E296)</f>
        <v/>
      </c>
      <c r="G296" s="341" t="str">
        <f t="shared" ref="G296:G315" si="17">IFERROR($F296/$D$7,$F296)</f>
        <v/>
      </c>
      <c r="H296" s="248"/>
      <c r="I296" s="247" t="str">
        <f>IFERROR(VLOOKUP($C296,Steps[],5,FALSE),"")</f>
        <v>Substitute with plate and frame at small scale</v>
      </c>
      <c r="J296" s="251"/>
    </row>
    <row r="297" spans="2:10" ht="15.95" hidden="1" customHeight="1" outlineLevel="1">
      <c r="B297" s="16"/>
      <c r="C297" s="349" t="s">
        <v>928</v>
      </c>
      <c r="D297" s="350">
        <f>1*IF($D$6&lt;5,1,IF($D$6&lt;70,0,0))</f>
        <v>0</v>
      </c>
      <c r="E297" s="342" t="str">
        <f>IF(ISBLANK(C297),"",IFERROR(IF(fnStepCostHourly=0,fnStepNotAvail,IF(ISBLANK(D297),"",fnStepCostHourly*$D297*VLOOKUP(BasisYear,ChemPPI[],14,FALSE)/VLOOKUP(2017,ChemPPI[],14,FALSE))),""))</f>
        <v/>
      </c>
      <c r="F297" s="342" t="str">
        <f t="shared" si="16"/>
        <v/>
      </c>
      <c r="G297" s="341" t="str">
        <f t="shared" si="17"/>
        <v/>
      </c>
      <c r="H297" s="248"/>
      <c r="I297" s="247" t="str">
        <f>IFERROR(VLOOKUP($C297,Steps[],5,FALSE),"")</f>
        <v>Substitute with belt or rotary vacuum at M/L scale</v>
      </c>
      <c r="J297" s="251"/>
    </row>
    <row r="298" spans="2:10" ht="15.95" hidden="1" customHeight="1" outlineLevel="1">
      <c r="B298" s="16"/>
      <c r="C298" s="69" t="s">
        <v>943</v>
      </c>
      <c r="D298" s="246">
        <v>1</v>
      </c>
      <c r="E298" s="342" t="str">
        <f>IF(ISBLANK(C298),"",IFERROR(IF(fnStepCostHourly=0,fnStepNotAvail,IF(ISBLANK(D298),"",fnStepCostHourly*$D298*VLOOKUP(BasisYear,ChemPPI[],14,FALSE)/VLOOKUP(2017,ChemPPI[],14,FALSE))),""))</f>
        <v/>
      </c>
      <c r="F298" s="342" t="str">
        <f t="shared" si="16"/>
        <v/>
      </c>
      <c r="G298" s="341" t="str">
        <f t="shared" si="17"/>
        <v/>
      </c>
      <c r="H298" s="248"/>
      <c r="I298" s="247" t="str">
        <f>IFERROR(VLOOKUP($C298,Steps[],5,FALSE),"")</f>
        <v>Muller</v>
      </c>
      <c r="J298" s="251"/>
    </row>
    <row r="299" spans="2:10" ht="15.95" hidden="1" customHeight="1" outlineLevel="1">
      <c r="B299" s="16"/>
      <c r="C299" s="349" t="s">
        <v>933</v>
      </c>
      <c r="D299" s="350">
        <f>1*IF($D$6&lt;5,0,IF($D$6&lt;70,1,1))</f>
        <v>1</v>
      </c>
      <c r="E299" s="342" t="str">
        <f>IF(ISBLANK(C299),"",IFERROR(IF(fnStepCostHourly=0,fnStepNotAvail,IF(ISBLANK(D299),"",fnStepCostHourly*$D299*VLOOKUP(BasisYear,ChemPPI[],14,FALSE)/VLOOKUP(2017,ChemPPI[],14,FALSE))),""))</f>
        <v/>
      </c>
      <c r="F299" s="342" t="str">
        <f t="shared" si="16"/>
        <v/>
      </c>
      <c r="G299" s="341" t="str">
        <f t="shared" si="17"/>
        <v/>
      </c>
      <c r="H299" s="248"/>
      <c r="I299" s="247" t="str">
        <f>IFERROR(VLOOKUP($C299,Steps[],5,FALSE),"")</f>
        <v>Substitute with rotary dryer at small scale</v>
      </c>
      <c r="J299" s="251"/>
    </row>
    <row r="300" spans="2:10" ht="15.95" hidden="1" customHeight="1" outlineLevel="1">
      <c r="B300" s="16"/>
      <c r="C300" s="349" t="s">
        <v>1076</v>
      </c>
      <c r="D300" s="350">
        <f>1*IF($D$6&lt;5,1,IF($D$6&lt;70,0,0))</f>
        <v>0</v>
      </c>
      <c r="E300" s="342" t="str">
        <f>IF(ISBLANK(C300),"",IFERROR(IF(fnStepCostHourly=0,fnStepNotAvail,IF(ISBLANK(D300),"",fnStepCostHourly*$D300*VLOOKUP(BasisYear,ChemPPI[],14,FALSE)/VLOOKUP(2017,ChemPPI[],14,FALSE))),""))</f>
        <v/>
      </c>
      <c r="F300" s="342" t="str">
        <f t="shared" si="16"/>
        <v/>
      </c>
      <c r="G300" s="341" t="str">
        <f t="shared" si="17"/>
        <v/>
      </c>
      <c r="H300" s="248"/>
      <c r="I300" s="247" t="str">
        <f>IFERROR(VLOOKUP($C300,Steps[],5,FALSE),"")</f>
        <v>-</v>
      </c>
      <c r="J300" s="251"/>
    </row>
    <row r="301" spans="2:10" ht="15.95" hidden="1" customHeight="1" outlineLevel="1">
      <c r="B301" s="16"/>
      <c r="C301" s="69" t="s">
        <v>944</v>
      </c>
      <c r="D301" s="246">
        <v>1</v>
      </c>
      <c r="E301" s="342" t="str">
        <f>IF(ISBLANK(C301),"",IFERROR(IF(fnStepCostHourly=0,fnStepNotAvail,IF(ISBLANK(D301),"",fnStepCostHourly*$D301*VLOOKUP(BasisYear,ChemPPI[],14,FALSE)/VLOOKUP(2017,ChemPPI[],14,FALSE))),""))</f>
        <v/>
      </c>
      <c r="F301" s="342" t="str">
        <f t="shared" si="16"/>
        <v/>
      </c>
      <c r="G301" s="341" t="str">
        <f t="shared" si="17"/>
        <v/>
      </c>
      <c r="H301" s="248"/>
      <c r="I301" s="247" t="str">
        <f>IFERROR(VLOOKUP($C301,Steps[],5,FALSE),"")</f>
        <v>Bonnot</v>
      </c>
      <c r="J301" s="251"/>
    </row>
    <row r="302" spans="2:10" ht="15.95" hidden="1" customHeight="1" outlineLevel="1">
      <c r="B302" s="351"/>
      <c r="C302" s="349" t="s">
        <v>946</v>
      </c>
      <c r="D302" s="350">
        <f>1*IF($D$6&lt;5,0,IF($D$6&lt;70,1,1))</f>
        <v>1</v>
      </c>
      <c r="E302" s="342" t="str">
        <f>IF(ISBLANK(C302),"",IFERROR(IF(fnStepCostHourly=0,fnStepNotAvail,IF(ISBLANK(D302),"",fnStepCostHourly*$D302*VLOOKUP(BasisYear,ChemPPI[],14,FALSE)/VLOOKUP(2017,ChemPPI[],14,FALSE))),""))</f>
        <v/>
      </c>
      <c r="F302" s="342" t="str">
        <f t="shared" si="16"/>
        <v/>
      </c>
      <c r="G302" s="341" t="str">
        <f t="shared" si="17"/>
        <v/>
      </c>
      <c r="H302" s="248"/>
      <c r="I302" s="247" t="str">
        <f>IFERROR(VLOOKUP($C302,Steps[],5,FALSE),"")</f>
        <v>A.k.a. calciner. Sub with batch kiln at small scale</v>
      </c>
      <c r="J302" s="251"/>
    </row>
    <row r="303" spans="2:10" ht="15.95" hidden="1" customHeight="1" outlineLevel="1">
      <c r="B303" s="16"/>
      <c r="C303" s="349" t="s">
        <v>948</v>
      </c>
      <c r="D303" s="350">
        <f>1*IF($D$6&lt;5,1,IF($D$6&lt;70,0,0))</f>
        <v>0</v>
      </c>
      <c r="E303" s="342" t="str">
        <f>IF(ISBLANK(C303),"",IFERROR(IF(fnStepCostHourly=0,fnStepNotAvail,IF(ISBLANK(D303),"",fnStepCostHourly*$D303*VLOOKUP(BasisYear,ChemPPI[],14,FALSE)/VLOOKUP(2017,ChemPPI[],14,FALSE))),""))</f>
        <v/>
      </c>
      <c r="F303" s="342" t="str">
        <f t="shared" si="16"/>
        <v/>
      </c>
      <c r="G303" s="341" t="str">
        <f t="shared" si="17"/>
        <v/>
      </c>
      <c r="H303" s="248"/>
      <c r="I303" s="247" t="str">
        <f>IFERROR(VLOOKUP($C303,Steps[],5,FALSE),"")</f>
        <v>A.k.a. calciner. Sub with continuous kiln at M/L scale</v>
      </c>
      <c r="J303" s="251"/>
    </row>
    <row r="304" spans="2:10" ht="15.95"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5.95"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5.95"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5.95"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5.95"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5.95"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5.95"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5.95"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5.95"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5.95"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5.95"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5.95"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6.5" hidden="1" outlineLevel="1" thickBot="1">
      <c r="B316" s="252"/>
      <c r="C316" s="253"/>
      <c r="D316" s="253"/>
      <c r="E316" s="253"/>
      <c r="F316" s="253"/>
      <c r="G316" s="253"/>
      <c r="H316" s="253"/>
      <c r="I316" s="253"/>
      <c r="J316" s="254"/>
    </row>
    <row r="317" spans="1:10" ht="16.5"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1055</v>
      </c>
      <c r="D320" s="256" t="s">
        <v>961</v>
      </c>
      <c r="E320" s="64" t="s">
        <v>953</v>
      </c>
      <c r="F320" s="64" t="s">
        <v>954</v>
      </c>
      <c r="G320" s="64" t="str">
        <f>"Cost ($/"&amp;OutMassUnit&amp;" catalyst)"</f>
        <v>Cost ($/lb catalyst)</v>
      </c>
      <c r="H320" s="250"/>
      <c r="J320" s="201"/>
    </row>
    <row r="321" spans="2:10" ht="15.95" hidden="1" customHeight="1" outlineLevel="1">
      <c r="B321" s="16"/>
      <c r="C321" s="18" t="s">
        <v>1092</v>
      </c>
      <c r="D321" s="256"/>
      <c r="E321" s="344">
        <f>SUM(E329:E350)</f>
        <v>0</v>
      </c>
      <c r="F321" s="344">
        <f>SUM(F329:F350)</f>
        <v>0</v>
      </c>
      <c r="G321" s="343">
        <f>SUM(G329:G350)</f>
        <v>0</v>
      </c>
      <c r="H321" s="336"/>
      <c r="J321" s="201"/>
    </row>
    <row r="322" spans="2:10" ht="15.95" hidden="1" customHeight="1" outlineLevel="1">
      <c r="B322" s="16"/>
      <c r="C322" s="353" t="str">
        <f>"Name: "&amp;C321</f>
        <v>Name: Zeolite Beta (Bulk)</v>
      </c>
      <c r="D322" s="256"/>
      <c r="E322" s="347"/>
      <c r="F322" s="347"/>
      <c r="G322" s="348"/>
      <c r="H322" s="336"/>
      <c r="J322" s="201"/>
    </row>
    <row r="323" spans="2:10" ht="15.95" hidden="1" customHeight="1" outlineLevel="1">
      <c r="B323" s="16"/>
      <c r="C323" s="17" t="s">
        <v>1070</v>
      </c>
      <c r="D323" s="256"/>
      <c r="E323" s="347"/>
      <c r="F323" s="347"/>
      <c r="G323" s="348"/>
      <c r="H323" s="336"/>
      <c r="J323" s="201"/>
    </row>
    <row r="324" spans="2:10" ht="15.95" hidden="1" customHeight="1" outlineLevel="1">
      <c r="B324" s="16"/>
      <c r="C324" s="18" t="s">
        <v>1093</v>
      </c>
      <c r="D324" s="256"/>
      <c r="E324" s="347"/>
      <c r="F324" s="347"/>
      <c r="G324" s="348"/>
      <c r="H324" s="336"/>
      <c r="J324" s="201"/>
    </row>
    <row r="325" spans="2:10" ht="15.95" hidden="1" customHeight="1" outlineLevel="1">
      <c r="B325" s="16"/>
      <c r="C325" s="18" t="s">
        <v>1073</v>
      </c>
      <c r="D325" s="256"/>
      <c r="E325" s="347"/>
      <c r="F325" s="347"/>
      <c r="G325" s="348"/>
      <c r="H325" s="336"/>
      <c r="J325" s="201"/>
    </row>
    <row r="326" spans="2:10" ht="16.5" hidden="1" outlineLevel="1" thickBot="1">
      <c r="B326" s="21"/>
      <c r="C326" s="22"/>
      <c r="D326" s="22"/>
      <c r="E326" s="22"/>
      <c r="F326" s="22"/>
      <c r="G326" s="22"/>
      <c r="H326" s="23"/>
      <c r="J326" s="201"/>
    </row>
    <row r="327" spans="2:10" ht="15.95" hidden="1" customHeight="1" outlineLevel="1">
      <c r="B327" s="16"/>
      <c r="C327" s="18"/>
      <c r="D327" s="18"/>
      <c r="E327" s="18"/>
      <c r="F327" s="18"/>
      <c r="G327" s="18"/>
      <c r="H327" s="18"/>
      <c r="I327" s="14"/>
      <c r="J327" s="15"/>
    </row>
    <row r="328" spans="2:10" ht="17.100000000000001" hidden="1" customHeight="1" outlineLevel="1">
      <c r="B328" s="16"/>
      <c r="C328" s="339" t="s">
        <v>937</v>
      </c>
      <c r="D328" s="339" t="s">
        <v>309</v>
      </c>
      <c r="E328" s="339" t="s">
        <v>953</v>
      </c>
      <c r="F328" s="339" t="s">
        <v>954</v>
      </c>
      <c r="G328" s="339" t="str">
        <f>"Cost ($/"&amp;OutMassUnit&amp;" catalyst)"</f>
        <v>Cost ($/lb catalyst)</v>
      </c>
      <c r="H328" s="339"/>
      <c r="I328" s="339" t="s">
        <v>207</v>
      </c>
      <c r="J328" s="250"/>
    </row>
    <row r="329" spans="2:10" ht="15.95" hidden="1" customHeight="1" outlineLevel="1">
      <c r="B329" s="16"/>
      <c r="C329" s="69" t="s">
        <v>931</v>
      </c>
      <c r="D329" s="246">
        <v>1</v>
      </c>
      <c r="E329" s="342" t="str">
        <f>IF(ISBLANK(C329),"",IFERROR(IF(fnStepCostHourly=0,fnStepNotAvail,IF(ISBLANK(D329),"",fnStepCostHourly*$D329*VLOOKUP(BasisYear,ChemPPI[],14,FALSE)/VLOOKUP(2017,ChemPPI[],14,FALSE))),""))</f>
        <v/>
      </c>
      <c r="F329" s="342" t="str">
        <f t="shared" ref="F329:F350" si="18">IFERROR($E329*$D$9*24,$E329)</f>
        <v/>
      </c>
      <c r="G329" s="341" t="str">
        <f t="shared" ref="G329:G350" si="19">IFERROR($F329/$D$7,$F329)</f>
        <v/>
      </c>
      <c r="H329" s="248"/>
      <c r="I329" s="247" t="str">
        <f>IFERROR(VLOOKUP($C329,Steps[],5,FALSE),"")</f>
        <v>-</v>
      </c>
      <c r="J329" s="251"/>
    </row>
    <row r="330" spans="2:10" ht="15.95" hidden="1" customHeight="1" outlineLevel="1">
      <c r="B330" s="16"/>
      <c r="C330" s="69" t="s">
        <v>924</v>
      </c>
      <c r="D330" s="246">
        <v>2</v>
      </c>
      <c r="E330" s="342" t="str">
        <f>IF(ISBLANK(C330),"",IFERROR(IF(fnStepCostHourly=0,fnStepNotAvail,IF(ISBLANK(D330),"",fnStepCostHourly*$D330*VLOOKUP(BasisYear,ChemPPI[],14,FALSE)/VLOOKUP(2017,ChemPPI[],14,FALSE))),""))</f>
        <v/>
      </c>
      <c r="F330" s="342" t="str">
        <f t="shared" si="18"/>
        <v/>
      </c>
      <c r="G330" s="341" t="str">
        <f t="shared" si="19"/>
        <v/>
      </c>
      <c r="H330" s="248"/>
      <c r="I330" s="247" t="str">
        <f>IFERROR(VLOOKUP($C330,Steps[],5,FALSE),"")</f>
        <v>-</v>
      </c>
      <c r="J330" s="251"/>
    </row>
    <row r="331" spans="2:10" ht="15.95" hidden="1" customHeight="1" outlineLevel="1">
      <c r="B331" s="16"/>
      <c r="C331" s="69" t="s">
        <v>931</v>
      </c>
      <c r="D331" s="246">
        <v>1</v>
      </c>
      <c r="E331" s="342" t="str">
        <f>IF(ISBLANK(C331),"",IFERROR(IF(fnStepCostHourly=0,fnStepNotAvail,IF(ISBLANK(D331),"",fnStepCostHourly*$D331*VLOOKUP(BasisYear,ChemPPI[],14,FALSE)/VLOOKUP(2017,ChemPPI[],14,FALSE))),""))</f>
        <v/>
      </c>
      <c r="F331" s="342" t="str">
        <f t="shared" si="18"/>
        <v/>
      </c>
      <c r="G331" s="341" t="str">
        <f t="shared" si="19"/>
        <v/>
      </c>
      <c r="H331" s="248"/>
      <c r="I331" s="247" t="str">
        <f>IFERROR(VLOOKUP($C331,Steps[],5,FALSE),"")</f>
        <v>-</v>
      </c>
      <c r="J331" s="251"/>
    </row>
    <row r="332" spans="2:10" ht="15.95" hidden="1" customHeight="1" outlineLevel="1">
      <c r="B332" s="16"/>
      <c r="C332" s="349" t="s">
        <v>926</v>
      </c>
      <c r="D332" s="350">
        <f>1*IF($D$6&lt;5,0,IF($D$6&lt;70,1,1))</f>
        <v>1</v>
      </c>
      <c r="E332" s="342" t="str">
        <f>IF(ISBLANK(C332),"",IFERROR(IF(fnStepCostHourly=0,fnStepNotAvail,IF(ISBLANK(D332),"",fnStepCostHourly*$D332*VLOOKUP(BasisYear,ChemPPI[],14,FALSE)/VLOOKUP(2017,ChemPPI[],14,FALSE))),""))</f>
        <v/>
      </c>
      <c r="F332" s="342" t="str">
        <f t="shared" si="18"/>
        <v/>
      </c>
      <c r="G332" s="341" t="str">
        <f t="shared" si="19"/>
        <v/>
      </c>
      <c r="H332" s="248"/>
      <c r="I332" s="247" t="str">
        <f>IFERROR(VLOOKUP($C332,Steps[],5,FALSE),"")</f>
        <v>Substitute with plate and frame at small scale</v>
      </c>
      <c r="J332" s="251"/>
    </row>
    <row r="333" spans="2:10" ht="15.95" hidden="1" customHeight="1" outlineLevel="1">
      <c r="B333" s="16"/>
      <c r="C333" s="349" t="s">
        <v>928</v>
      </c>
      <c r="D333" s="350">
        <f>1*IF($D$6&lt;5,1,IF($D$6&lt;70,0,0))</f>
        <v>0</v>
      </c>
      <c r="E333" s="342" t="str">
        <f>IF(ISBLANK(C333),"",IFERROR(IF(fnStepCostHourly=0,fnStepNotAvail,IF(ISBLANK(D333),"",fnStepCostHourly*$D333*VLOOKUP(BasisYear,ChemPPI[],14,FALSE)/VLOOKUP(2017,ChemPPI[],14,FALSE))),""))</f>
        <v/>
      </c>
      <c r="F333" s="342" t="str">
        <f t="shared" si="18"/>
        <v/>
      </c>
      <c r="G333" s="341" t="str">
        <f t="shared" si="19"/>
        <v/>
      </c>
      <c r="H333" s="248"/>
      <c r="I333" s="247" t="str">
        <f>IFERROR(VLOOKUP($C333,Steps[],5,FALSE),"")</f>
        <v>Substitute with belt or rotary vacuum at M/L scale</v>
      </c>
      <c r="J333" s="251"/>
    </row>
    <row r="334" spans="2:10" ht="15.95" hidden="1" customHeight="1" outlineLevel="1">
      <c r="B334" s="16"/>
      <c r="C334" s="69" t="s">
        <v>1075</v>
      </c>
      <c r="D334" s="246">
        <v>1</v>
      </c>
      <c r="E334" s="342" t="str">
        <f>IF(ISBLANK(C334),"",IFERROR(IF(fnStepCostHourly=0,fnStepNotAvail,IF(ISBLANK(D334),"",fnStepCostHourly*$D334*VLOOKUP(BasisYear,ChemPPI[],14,FALSE)/VLOOKUP(2017,ChemPPI[],14,FALSE))),""))</f>
        <v/>
      </c>
      <c r="F334" s="342" t="str">
        <f t="shared" si="18"/>
        <v/>
      </c>
      <c r="G334" s="341" t="str">
        <f t="shared" si="19"/>
        <v/>
      </c>
      <c r="H334" s="248"/>
      <c r="I334" s="247" t="str">
        <f>IFERROR(VLOOKUP($C334,Steps[],5,FALSE),"")</f>
        <v>For higher temp use kiln</v>
      </c>
      <c r="J334" s="251"/>
    </row>
    <row r="335" spans="2:10" ht="15.95" hidden="1" customHeight="1" outlineLevel="1">
      <c r="B335" s="16"/>
      <c r="C335" s="349" t="s">
        <v>946</v>
      </c>
      <c r="D335" s="350">
        <f>1*IF($D$6&lt;5,0,IF($D$6&lt;70,1,1))</f>
        <v>1</v>
      </c>
      <c r="E335" s="342" t="str">
        <f>IF(ISBLANK(C335),"",IFERROR(IF(fnStepCostHourly=0,fnStepNotAvail,IF(ISBLANK(D335),"",fnStepCostHourly*$D335*VLOOKUP(BasisYear,ChemPPI[],14,FALSE)/VLOOKUP(2017,ChemPPI[],14,FALSE))),""))</f>
        <v/>
      </c>
      <c r="F335" s="342" t="str">
        <f t="shared" si="18"/>
        <v/>
      </c>
      <c r="G335" s="341" t="str">
        <f t="shared" si="19"/>
        <v/>
      </c>
      <c r="H335" s="248"/>
      <c r="I335" s="247" t="str">
        <f>IFERROR(VLOOKUP($C335,Steps[],5,FALSE),"")</f>
        <v>A.k.a. calciner. Sub with batch kiln at small scale</v>
      </c>
      <c r="J335" s="251"/>
    </row>
    <row r="336" spans="2:10" ht="15.95" hidden="1" customHeight="1" outlineLevel="1">
      <c r="B336" s="16"/>
      <c r="C336" s="349" t="s">
        <v>948</v>
      </c>
      <c r="D336" s="350">
        <f>1*IF($D$6&lt;5,1,IF($D$6&lt;70,0,0))</f>
        <v>0</v>
      </c>
      <c r="E336" s="342" t="str">
        <f>IF(ISBLANK(C336),"",IFERROR(IF(fnStepCostHourly=0,fnStepNotAvail,IF(ISBLANK(D336),"",fnStepCostHourly*$D336*VLOOKUP(BasisYear,ChemPPI[],14,FALSE)/VLOOKUP(2017,ChemPPI[],14,FALSE))),""))</f>
        <v/>
      </c>
      <c r="F336" s="342" t="str">
        <f t="shared" si="18"/>
        <v/>
      </c>
      <c r="G336" s="341" t="str">
        <f t="shared" si="19"/>
        <v/>
      </c>
      <c r="H336" s="248"/>
      <c r="I336" s="247" t="str">
        <f>IFERROR(VLOOKUP($C336,Steps[],5,FALSE),"")</f>
        <v>A.k.a. calciner. Sub with continuous kiln at M/L scale</v>
      </c>
      <c r="J336" s="251"/>
    </row>
    <row r="337" spans="1:10" ht="15.95" hidden="1" customHeight="1" outlineLevel="1">
      <c r="B337" s="16"/>
      <c r="C337" s="69" t="s">
        <v>932</v>
      </c>
      <c r="D337" s="246">
        <v>1</v>
      </c>
      <c r="E337" s="342" t="str">
        <f>IF(ISBLANK(C337),"",IFERROR(IF(fnStepCostHourly=0,fnStepNotAvail,IF(ISBLANK(D337),"",fnStepCostHourly*$D337*VLOOKUP(BasisYear,ChemPPI[],14,FALSE)/VLOOKUP(2017,ChemPPI[],14,FALSE))),""))</f>
        <v/>
      </c>
      <c r="F337" s="342" t="str">
        <f t="shared" si="18"/>
        <v/>
      </c>
      <c r="G337" s="341" t="str">
        <f t="shared" si="19"/>
        <v/>
      </c>
      <c r="H337" s="248"/>
      <c r="I337" s="247" t="str">
        <f>IFERROR(VLOOKUP($C337,Steps[],5,FALSE),"")</f>
        <v>-</v>
      </c>
      <c r="J337" s="251"/>
    </row>
    <row r="338" spans="1:10" ht="15.95" hidden="1" customHeight="1" outlineLevel="1">
      <c r="B338" s="16"/>
      <c r="C338" s="349" t="s">
        <v>926</v>
      </c>
      <c r="D338" s="350">
        <f>1*IF($D$6&lt;5,0,IF($D$6&lt;70,1,1))</f>
        <v>1</v>
      </c>
      <c r="E338" s="342" t="str">
        <f>IF(ISBLANK(C338),"",IFERROR(IF(fnStepCostHourly=0,fnStepNotAvail,IF(ISBLANK(D338),"",fnStepCostHourly*$D338*VLOOKUP(BasisYear,ChemPPI[],14,FALSE)/VLOOKUP(2017,ChemPPI[],14,FALSE))),""))</f>
        <v/>
      </c>
      <c r="F338" s="342" t="str">
        <f t="shared" si="18"/>
        <v/>
      </c>
      <c r="G338" s="341" t="str">
        <f t="shared" si="19"/>
        <v/>
      </c>
      <c r="H338" s="248"/>
      <c r="I338" s="247" t="str">
        <f>IFERROR(VLOOKUP($C338,Steps[],5,FALSE),"")</f>
        <v>Substitute with plate and frame at small scale</v>
      </c>
      <c r="J338" s="251"/>
    </row>
    <row r="339" spans="1:10" ht="15.95" hidden="1" customHeight="1" outlineLevel="1">
      <c r="B339" s="16"/>
      <c r="C339" s="349" t="s">
        <v>928</v>
      </c>
      <c r="D339" s="350">
        <f>1*IF($D$6&lt;5,1,IF($D$6&lt;70,0,0))</f>
        <v>0</v>
      </c>
      <c r="E339" s="342" t="str">
        <f>IF(ISBLANK(C339),"",IFERROR(IF(fnStepCostHourly=0,fnStepNotAvail,IF(ISBLANK(D339),"",fnStepCostHourly*$D339*VLOOKUP(BasisYear,ChemPPI[],14,FALSE)/VLOOKUP(2017,ChemPPI[],14,FALSE))),""))</f>
        <v/>
      </c>
      <c r="F339" s="342" t="str">
        <f t="shared" si="18"/>
        <v/>
      </c>
      <c r="G339" s="341" t="str">
        <f t="shared" si="19"/>
        <v/>
      </c>
      <c r="H339" s="248"/>
      <c r="I339" s="247" t="str">
        <f>IFERROR(VLOOKUP($C339,Steps[],5,FALSE),"")</f>
        <v>Substitute with belt or rotary vacuum at M/L scale</v>
      </c>
      <c r="J339" s="251"/>
    </row>
    <row r="340" spans="1:10" ht="15.95" hidden="1" customHeight="1" outlineLevel="1">
      <c r="B340" s="16"/>
      <c r="C340" s="349" t="s">
        <v>946</v>
      </c>
      <c r="D340" s="350">
        <f>1*IF($D$6&lt;5,0,IF($D$6&lt;70,1,1))</f>
        <v>1</v>
      </c>
      <c r="E340" s="342" t="str">
        <f>IF(ISBLANK(C340),"",IFERROR(IF(fnStepCostHourly=0,fnStepNotAvail,IF(ISBLANK(D340),"",fnStepCostHourly*$D340*VLOOKUP(BasisYear,ChemPPI[],14,FALSE)/VLOOKUP(2017,ChemPPI[],14,FALSE))),""))</f>
        <v/>
      </c>
      <c r="F340" s="342" t="str">
        <f t="shared" si="18"/>
        <v/>
      </c>
      <c r="G340" s="341" t="str">
        <f t="shared" si="19"/>
        <v/>
      </c>
      <c r="H340" s="248"/>
      <c r="I340" s="247" t="str">
        <f>IFERROR(VLOOKUP($C340,Steps[],5,FALSE),"")</f>
        <v>A.k.a. calciner. Sub with batch kiln at small scale</v>
      </c>
      <c r="J340" s="251"/>
    </row>
    <row r="341" spans="1:10" ht="15.95" hidden="1" customHeight="1" outlineLevel="1">
      <c r="B341" s="16"/>
      <c r="C341" s="349" t="s">
        <v>948</v>
      </c>
      <c r="D341" s="350">
        <f>1*IF($D$6&lt;5,1,IF($D$6&lt;70,0,0))</f>
        <v>0</v>
      </c>
      <c r="E341" s="342" t="str">
        <f>IF(ISBLANK(C341),"",IFERROR(IF(fnStepCostHourly=0,fnStepNotAvail,IF(ISBLANK(D341),"",fnStepCostHourly*$D341*VLOOKUP(BasisYear,ChemPPI[],14,FALSE)/VLOOKUP(2017,ChemPPI[],14,FALSE))),""))</f>
        <v/>
      </c>
      <c r="F341" s="342" t="str">
        <f t="shared" si="18"/>
        <v/>
      </c>
      <c r="G341" s="341" t="str">
        <f t="shared" si="19"/>
        <v/>
      </c>
      <c r="H341" s="248"/>
      <c r="I341" s="247" t="str">
        <f>IFERROR(VLOOKUP($C341,Steps[],5,FALSE),"")</f>
        <v>A.k.a. calciner. Sub with continuous kiln at M/L scale</v>
      </c>
      <c r="J341" s="251"/>
    </row>
    <row r="342" spans="1:10" ht="15.95" hidden="1" customHeight="1" outlineLevel="1">
      <c r="B342" s="16"/>
      <c r="C342" s="69" t="s">
        <v>939</v>
      </c>
      <c r="D342" s="246">
        <v>1</v>
      </c>
      <c r="E342" s="342" t="str">
        <f>IF(ISBLANK(C342),"",IFERROR(IF(fnStepCostHourly=0,fnStepNotAvail,IF(ISBLANK(D342),"",fnStepCostHourly*$D342*VLOOKUP(BasisYear,ChemPPI[],14,FALSE)/VLOOKUP(2017,ChemPPI[],14,FALSE))),""))</f>
        <v/>
      </c>
      <c r="F342" s="342" t="str">
        <f t="shared" si="18"/>
        <v/>
      </c>
      <c r="G342" s="341" t="str">
        <f t="shared" si="19"/>
        <v/>
      </c>
      <c r="H342" s="248"/>
      <c r="I342" s="247" t="str">
        <f>IFERROR(VLOOKUP($C342,Steps[],5,FALSE),"")</f>
        <v>-</v>
      </c>
      <c r="J342" s="251"/>
    </row>
    <row r="343" spans="1:10" ht="15.95" hidden="1" customHeight="1" outlineLevel="1">
      <c r="B343" s="16"/>
      <c r="C343" s="69" t="s">
        <v>929</v>
      </c>
      <c r="D343" s="246">
        <v>1</v>
      </c>
      <c r="E343" s="342" t="str">
        <f>IF(ISBLANK(C343),"",IFERROR(IF(fnStepCostHourly=0,fnStepNotAvail,IF(ISBLANK(D343),"",fnStepCostHourly*$D343*VLOOKUP(BasisYear,ChemPPI[],14,FALSE)/VLOOKUP(2017,ChemPPI[],14,FALSE))),""))</f>
        <v/>
      </c>
      <c r="F343" s="342" t="str">
        <f t="shared" si="18"/>
        <v/>
      </c>
      <c r="G343" s="341" t="str">
        <f t="shared" si="19"/>
        <v/>
      </c>
      <c r="H343" s="248"/>
      <c r="I343" s="247" t="str">
        <f>IFERROR(VLOOKUP($C343,Steps[],5,FALSE),"")</f>
        <v>-</v>
      </c>
      <c r="J343" s="251"/>
    </row>
    <row r="344" spans="1:10" ht="15.95" hidden="1" customHeight="1" outlineLevel="1">
      <c r="B344" s="16"/>
      <c r="C344" s="69" t="s">
        <v>943</v>
      </c>
      <c r="D344" s="246">
        <v>1</v>
      </c>
      <c r="E344" s="342" t="str">
        <f>IF(ISBLANK(C344),"",IFERROR(IF(fnStepCostHourly=0,fnStepNotAvail,IF(ISBLANK(D344),"",fnStepCostHourly*$D344*VLOOKUP(BasisYear,ChemPPI[],14,FALSE)/VLOOKUP(2017,ChemPPI[],14,FALSE))),""))</f>
        <v/>
      </c>
      <c r="F344" s="342" t="str">
        <f t="shared" si="18"/>
        <v/>
      </c>
      <c r="G344" s="341" t="str">
        <f t="shared" si="19"/>
        <v/>
      </c>
      <c r="H344" s="248"/>
      <c r="I344" s="247" t="str">
        <f>IFERROR(VLOOKUP($C344,Steps[],5,FALSE),"")</f>
        <v>Muller</v>
      </c>
      <c r="J344" s="251"/>
    </row>
    <row r="345" spans="1:10" ht="15.95" hidden="1" customHeight="1" outlineLevel="1">
      <c r="B345" s="16"/>
      <c r="C345" s="69" t="s">
        <v>944</v>
      </c>
      <c r="D345" s="246">
        <v>1</v>
      </c>
      <c r="E345" s="342" t="str">
        <f>IF(ISBLANK(C345),"",IFERROR(IF(fnStepCostHourly=0,fnStepNotAvail,IF(ISBLANK(D345),"",fnStepCostHourly*$D345*VLOOKUP(BasisYear,ChemPPI[],14,FALSE)/VLOOKUP(2017,ChemPPI[],14,FALSE))),""))</f>
        <v/>
      </c>
      <c r="F345" s="342" t="str">
        <f t="shared" si="18"/>
        <v/>
      </c>
      <c r="G345" s="341" t="str">
        <f t="shared" si="19"/>
        <v/>
      </c>
      <c r="H345" s="248"/>
      <c r="I345" s="247" t="str">
        <f>IFERROR(VLOOKUP($C345,Steps[],5,FALSE),"")</f>
        <v>Bonnot</v>
      </c>
      <c r="J345" s="251"/>
    </row>
    <row r="346" spans="1:10" ht="15.95"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5.95"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5.95"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5.95"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5.95"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6.5" hidden="1" outlineLevel="1" thickBot="1">
      <c r="B351" s="252"/>
      <c r="C351" s="253"/>
      <c r="D351" s="253"/>
      <c r="E351" s="253"/>
      <c r="F351" s="253"/>
      <c r="G351" s="253"/>
      <c r="H351" s="253"/>
      <c r="I351" s="253"/>
      <c r="J351" s="254"/>
    </row>
    <row r="352" spans="1:10" ht="16.5"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1055</v>
      </c>
      <c r="D355" s="256" t="s">
        <v>961</v>
      </c>
      <c r="E355" s="64" t="s">
        <v>953</v>
      </c>
      <c r="F355" s="64" t="s">
        <v>954</v>
      </c>
      <c r="G355" s="64" t="str">
        <f>"Cost ($/"&amp;OutMassUnit&amp;" catalyst)"</f>
        <v>Cost ($/lb catalyst)</v>
      </c>
      <c r="H355" s="250"/>
      <c r="J355" s="201"/>
    </row>
    <row r="356" spans="2:10" ht="15.95" hidden="1" customHeight="1" outlineLevel="1">
      <c r="B356" s="16"/>
      <c r="C356" s="18" t="s">
        <v>1094</v>
      </c>
      <c r="D356" s="256"/>
      <c r="E356" s="344">
        <f>SUM(E364:E389)</f>
        <v>0</v>
      </c>
      <c r="F356" s="344">
        <f>SUM(F364:F389)</f>
        <v>0</v>
      </c>
      <c r="G356" s="343">
        <f>SUM(G364:G389)</f>
        <v>0</v>
      </c>
      <c r="H356" s="336"/>
      <c r="J356" s="201"/>
    </row>
    <row r="357" spans="2:10" ht="15.95" hidden="1" customHeight="1" outlineLevel="1">
      <c r="B357" s="16"/>
      <c r="C357" s="353" t="str">
        <f>"Name: "&amp;C356</f>
        <v>Name: Zeolite Beta with Metal Active Site</v>
      </c>
      <c r="D357" s="256"/>
      <c r="E357" s="347"/>
      <c r="F357" s="347"/>
      <c r="G357" s="348"/>
      <c r="H357" s="336"/>
      <c r="J357" s="201"/>
    </row>
    <row r="358" spans="2:10" ht="15.95" hidden="1" customHeight="1" outlineLevel="1">
      <c r="B358" s="16"/>
      <c r="C358" s="17" t="s">
        <v>1070</v>
      </c>
      <c r="D358" s="256"/>
      <c r="E358" s="347"/>
      <c r="F358" s="347"/>
      <c r="G358" s="348"/>
      <c r="H358" s="336"/>
      <c r="J358" s="201"/>
    </row>
    <row r="359" spans="2:10" ht="15.95" hidden="1" customHeight="1" outlineLevel="1">
      <c r="B359" s="16"/>
      <c r="C359" s="18" t="s">
        <v>1095</v>
      </c>
      <c r="D359" s="256"/>
      <c r="E359" s="347"/>
      <c r="F359" s="347"/>
      <c r="G359" s="348"/>
      <c r="H359" s="336"/>
      <c r="J359" s="201"/>
    </row>
    <row r="360" spans="2:10" ht="15.95" hidden="1" customHeight="1" outlineLevel="1">
      <c r="B360" s="16"/>
      <c r="C360" s="18" t="s">
        <v>1073</v>
      </c>
      <c r="D360" s="256"/>
      <c r="E360" s="347"/>
      <c r="F360" s="347"/>
      <c r="G360" s="348"/>
      <c r="H360" s="336"/>
      <c r="J360" s="201"/>
    </row>
    <row r="361" spans="2:10" ht="16.5" hidden="1" outlineLevel="1" thickBot="1">
      <c r="B361" s="21"/>
      <c r="C361" s="22"/>
      <c r="D361" s="22"/>
      <c r="E361" s="22"/>
      <c r="F361" s="22"/>
      <c r="G361" s="22"/>
      <c r="H361" s="23"/>
      <c r="J361" s="201"/>
    </row>
    <row r="362" spans="2:10" ht="15.95" hidden="1" customHeight="1" outlineLevel="1">
      <c r="B362" s="16"/>
      <c r="C362" s="18"/>
      <c r="D362" s="18"/>
      <c r="E362" s="18"/>
      <c r="F362" s="18"/>
      <c r="G362" s="18"/>
      <c r="H362" s="18"/>
      <c r="I362" s="14"/>
      <c r="J362" s="15"/>
    </row>
    <row r="363" spans="2:10" ht="17.100000000000001" hidden="1" customHeight="1" outlineLevel="1">
      <c r="B363" s="16"/>
      <c r="C363" s="339" t="s">
        <v>937</v>
      </c>
      <c r="D363" s="339" t="s">
        <v>309</v>
      </c>
      <c r="E363" s="339" t="s">
        <v>953</v>
      </c>
      <c r="F363" s="339" t="s">
        <v>954</v>
      </c>
      <c r="G363" s="339" t="str">
        <f>"Cost ($/"&amp;OutMassUnit&amp;" catalyst)"</f>
        <v>Cost ($/lb catalyst)</v>
      </c>
      <c r="H363" s="339"/>
      <c r="I363" s="339" t="s">
        <v>207</v>
      </c>
      <c r="J363" s="250"/>
    </row>
    <row r="364" spans="2:10" ht="15.95" hidden="1" customHeight="1" outlineLevel="1">
      <c r="B364" s="16"/>
      <c r="C364" s="69" t="s">
        <v>931</v>
      </c>
      <c r="D364" s="246">
        <v>1</v>
      </c>
      <c r="E364" s="342" t="str">
        <f>IF(ISBLANK(C364),"",IFERROR(IF(fnStepCostHourly=0,fnStepNotAvail,IF(ISBLANK(D364),"",fnStepCostHourly*$D364*VLOOKUP(BasisYear,ChemPPI[],14,FALSE)/VLOOKUP(2017,ChemPPI[],14,FALSE))),""))</f>
        <v/>
      </c>
      <c r="F364" s="342" t="str">
        <f t="shared" ref="F364:F389" si="20">IFERROR($E364*$D$9*24,$E364)</f>
        <v/>
      </c>
      <c r="G364" s="341" t="str">
        <f t="shared" ref="G364:G389" si="21">IFERROR($F364/$D$7,$F364)</f>
        <v/>
      </c>
      <c r="H364" s="248"/>
      <c r="I364" s="247" t="str">
        <f>IFERROR(VLOOKUP($C364,Steps[],5,FALSE),"")</f>
        <v>-</v>
      </c>
      <c r="J364" s="251"/>
    </row>
    <row r="365" spans="2:10" ht="15.95" hidden="1" customHeight="1" outlineLevel="1">
      <c r="B365" s="16"/>
      <c r="C365" s="69" t="s">
        <v>924</v>
      </c>
      <c r="D365" s="246">
        <v>2</v>
      </c>
      <c r="E365" s="342" t="str">
        <f>IF(ISBLANK(C365),"",IFERROR(IF(fnStepCostHourly=0,fnStepNotAvail,IF(ISBLANK(D365),"",fnStepCostHourly*$D365*VLOOKUP(BasisYear,ChemPPI[],14,FALSE)/VLOOKUP(2017,ChemPPI[],14,FALSE))),""))</f>
        <v/>
      </c>
      <c r="F365" s="342" t="str">
        <f t="shared" si="20"/>
        <v/>
      </c>
      <c r="G365" s="341" t="str">
        <f t="shared" si="21"/>
        <v/>
      </c>
      <c r="H365" s="248"/>
      <c r="I365" s="247" t="str">
        <f>IFERROR(VLOOKUP($C365,Steps[],5,FALSE),"")</f>
        <v>-</v>
      </c>
      <c r="J365" s="251"/>
    </row>
    <row r="366" spans="2:10" ht="15.95" hidden="1" customHeight="1" outlineLevel="1">
      <c r="B366" s="16"/>
      <c r="C366" s="69" t="s">
        <v>931</v>
      </c>
      <c r="D366" s="246">
        <v>1</v>
      </c>
      <c r="E366" s="342" t="str">
        <f>IF(ISBLANK(C366),"",IFERROR(IF(fnStepCostHourly=0,fnStepNotAvail,IF(ISBLANK(D366),"",fnStepCostHourly*$D366*VLOOKUP(BasisYear,ChemPPI[],14,FALSE)/VLOOKUP(2017,ChemPPI[],14,FALSE))),""))</f>
        <v/>
      </c>
      <c r="F366" s="342" t="str">
        <f t="shared" si="20"/>
        <v/>
      </c>
      <c r="G366" s="341" t="str">
        <f t="shared" si="21"/>
        <v/>
      </c>
      <c r="H366" s="248"/>
      <c r="I366" s="247" t="str">
        <f>IFERROR(VLOOKUP($C366,Steps[],5,FALSE),"")</f>
        <v>-</v>
      </c>
      <c r="J366" s="251"/>
    </row>
    <row r="367" spans="2:10" ht="15.95" hidden="1" customHeight="1" outlineLevel="1">
      <c r="B367" s="16"/>
      <c r="C367" s="349" t="s">
        <v>926</v>
      </c>
      <c r="D367" s="350">
        <f>1*IF($D$6&lt;5,0,IF($D$6&lt;70,1,1))</f>
        <v>1</v>
      </c>
      <c r="E367" s="342" t="str">
        <f>IF(ISBLANK(C367),"",IFERROR(IF(fnStepCostHourly=0,fnStepNotAvail,IF(ISBLANK(D367),"",fnStepCostHourly*$D367*VLOOKUP(BasisYear,ChemPPI[],14,FALSE)/VLOOKUP(2017,ChemPPI[],14,FALSE))),""))</f>
        <v/>
      </c>
      <c r="F367" s="342" t="str">
        <f t="shared" si="20"/>
        <v/>
      </c>
      <c r="G367" s="341" t="str">
        <f t="shared" si="21"/>
        <v/>
      </c>
      <c r="H367" s="248"/>
      <c r="I367" s="247" t="str">
        <f>IFERROR(VLOOKUP($C367,Steps[],5,FALSE),"")</f>
        <v>Substitute with plate and frame at small scale</v>
      </c>
      <c r="J367" s="251"/>
    </row>
    <row r="368" spans="2:10" ht="15.95" hidden="1" customHeight="1" outlineLevel="1">
      <c r="B368" s="16"/>
      <c r="C368" s="349" t="s">
        <v>928</v>
      </c>
      <c r="D368" s="350">
        <f>1*IF($D$6&lt;5,1,IF($D$6&lt;70,0,0))</f>
        <v>0</v>
      </c>
      <c r="E368" s="342" t="str">
        <f>IF(ISBLANK(C368),"",IFERROR(IF(fnStepCostHourly=0,fnStepNotAvail,IF(ISBLANK(D368),"",fnStepCostHourly*$D368*VLOOKUP(BasisYear,ChemPPI[],14,FALSE)/VLOOKUP(2017,ChemPPI[],14,FALSE))),""))</f>
        <v/>
      </c>
      <c r="F368" s="342" t="str">
        <f t="shared" si="20"/>
        <v/>
      </c>
      <c r="G368" s="341" t="str">
        <f t="shared" si="21"/>
        <v/>
      </c>
      <c r="H368" s="248"/>
      <c r="I368" s="247" t="str">
        <f>IFERROR(VLOOKUP($C368,Steps[],5,FALSE),"")</f>
        <v>Substitute with belt or rotary vacuum at M/L scale</v>
      </c>
      <c r="J368" s="251"/>
    </row>
    <row r="369" spans="2:10" ht="15.95" hidden="1" customHeight="1" outlineLevel="1">
      <c r="B369" s="16"/>
      <c r="C369" s="69" t="s">
        <v>1075</v>
      </c>
      <c r="D369" s="246">
        <v>1</v>
      </c>
      <c r="E369" s="342" t="str">
        <f>IF(ISBLANK(C369),"",IFERROR(IF(fnStepCostHourly=0,fnStepNotAvail,IF(ISBLANK(D369),"",fnStepCostHourly*$D369*VLOOKUP(BasisYear,ChemPPI[],14,FALSE)/VLOOKUP(2017,ChemPPI[],14,FALSE))),""))</f>
        <v/>
      </c>
      <c r="F369" s="342" t="str">
        <f t="shared" si="20"/>
        <v/>
      </c>
      <c r="G369" s="341" t="str">
        <f t="shared" si="21"/>
        <v/>
      </c>
      <c r="H369" s="248"/>
      <c r="I369" s="247" t="str">
        <f>IFERROR(VLOOKUP($C369,Steps[],5,FALSE),"")</f>
        <v>For higher temp use kiln</v>
      </c>
      <c r="J369" s="251"/>
    </row>
    <row r="370" spans="2:10" ht="15.95" hidden="1" customHeight="1" outlineLevel="1">
      <c r="B370" s="16"/>
      <c r="C370" s="349" t="s">
        <v>946</v>
      </c>
      <c r="D370" s="350">
        <f>1*IF($D$6&lt;5,0,IF($D$6&lt;70,1,1))</f>
        <v>1</v>
      </c>
      <c r="E370" s="342" t="str">
        <f>IF(ISBLANK(C370),"",IFERROR(IF(fnStepCostHourly=0,fnStepNotAvail,IF(ISBLANK(D370),"",fnStepCostHourly*$D370*VLOOKUP(BasisYear,ChemPPI[],14,FALSE)/VLOOKUP(2017,ChemPPI[],14,FALSE))),""))</f>
        <v/>
      </c>
      <c r="F370" s="342" t="str">
        <f t="shared" si="20"/>
        <v/>
      </c>
      <c r="G370" s="341" t="str">
        <f t="shared" si="21"/>
        <v/>
      </c>
      <c r="H370" s="248"/>
      <c r="I370" s="247" t="str">
        <f>IFERROR(VLOOKUP($C370,Steps[],5,FALSE),"")</f>
        <v>A.k.a. calciner. Sub with batch kiln at small scale</v>
      </c>
      <c r="J370" s="251"/>
    </row>
    <row r="371" spans="2:10" ht="15.95" hidden="1" customHeight="1" outlineLevel="1">
      <c r="B371" s="16"/>
      <c r="C371" s="349" t="s">
        <v>948</v>
      </c>
      <c r="D371" s="350">
        <f>1*IF($D$6&lt;5,1,IF($D$6&lt;70,0,0))</f>
        <v>0</v>
      </c>
      <c r="E371" s="342" t="str">
        <f>IF(ISBLANK(C371),"",IFERROR(IF(fnStepCostHourly=0,fnStepNotAvail,IF(ISBLANK(D371),"",fnStepCostHourly*$D371*VLOOKUP(BasisYear,ChemPPI[],14,FALSE)/VLOOKUP(2017,ChemPPI[],14,FALSE))),""))</f>
        <v/>
      </c>
      <c r="F371" s="342" t="str">
        <f t="shared" si="20"/>
        <v/>
      </c>
      <c r="G371" s="341" t="str">
        <f t="shared" si="21"/>
        <v/>
      </c>
      <c r="H371" s="248"/>
      <c r="I371" s="247" t="str">
        <f>IFERROR(VLOOKUP($C371,Steps[],5,FALSE),"")</f>
        <v>A.k.a. calciner. Sub with continuous kiln at M/L scale</v>
      </c>
      <c r="J371" s="251"/>
    </row>
    <row r="372" spans="2:10" ht="15.95" hidden="1" customHeight="1" outlineLevel="1">
      <c r="B372" s="16"/>
      <c r="C372" s="69" t="s">
        <v>932</v>
      </c>
      <c r="D372" s="246">
        <v>1</v>
      </c>
      <c r="E372" s="342" t="str">
        <f>IF(ISBLANK(C372),"",IFERROR(IF(fnStepCostHourly=0,fnStepNotAvail,IF(ISBLANK(D372),"",fnStepCostHourly*$D372*VLOOKUP(BasisYear,ChemPPI[],14,FALSE)/VLOOKUP(2017,ChemPPI[],14,FALSE))),""))</f>
        <v/>
      </c>
      <c r="F372" s="342" t="str">
        <f t="shared" si="20"/>
        <v/>
      </c>
      <c r="G372" s="341" t="str">
        <f t="shared" si="21"/>
        <v/>
      </c>
      <c r="H372" s="248"/>
      <c r="I372" s="247" t="str">
        <f>IFERROR(VLOOKUP($C372,Steps[],5,FALSE),"")</f>
        <v>-</v>
      </c>
      <c r="J372" s="251"/>
    </row>
    <row r="373" spans="2:10" ht="15.95" hidden="1" customHeight="1" outlineLevel="1">
      <c r="B373" s="16"/>
      <c r="C373" s="349" t="s">
        <v>926</v>
      </c>
      <c r="D373" s="350">
        <f>1*IF($D$6&lt;5,0,IF($D$6&lt;70,1,1))</f>
        <v>1</v>
      </c>
      <c r="E373" s="342" t="str">
        <f>IF(ISBLANK(C373),"",IFERROR(IF(fnStepCostHourly=0,fnStepNotAvail,IF(ISBLANK(D373),"",fnStepCostHourly*$D373*VLOOKUP(BasisYear,ChemPPI[],14,FALSE)/VLOOKUP(2017,ChemPPI[],14,FALSE))),""))</f>
        <v/>
      </c>
      <c r="F373" s="342" t="str">
        <f t="shared" si="20"/>
        <v/>
      </c>
      <c r="G373" s="341" t="str">
        <f t="shared" si="21"/>
        <v/>
      </c>
      <c r="H373" s="248"/>
      <c r="I373" s="247" t="str">
        <f>IFERROR(VLOOKUP($C373,Steps[],5,FALSE),"")</f>
        <v>Substitute with plate and frame at small scale</v>
      </c>
      <c r="J373" s="251"/>
    </row>
    <row r="374" spans="2:10" ht="15.95" hidden="1" customHeight="1" outlineLevel="1">
      <c r="B374" s="16"/>
      <c r="C374" s="349" t="s">
        <v>928</v>
      </c>
      <c r="D374" s="350">
        <f>1*IF($D$6&lt;5,1,IF($D$6&lt;70,0,0))</f>
        <v>0</v>
      </c>
      <c r="E374" s="342" t="str">
        <f>IF(ISBLANK(C374),"",IFERROR(IF(fnStepCostHourly=0,fnStepNotAvail,IF(ISBLANK(D374),"",fnStepCostHourly*$D374*VLOOKUP(BasisYear,ChemPPI[],14,FALSE)/VLOOKUP(2017,ChemPPI[],14,FALSE))),""))</f>
        <v/>
      </c>
      <c r="F374" s="342" t="str">
        <f t="shared" si="20"/>
        <v/>
      </c>
      <c r="G374" s="341" t="str">
        <f t="shared" si="21"/>
        <v/>
      </c>
      <c r="H374" s="248"/>
      <c r="I374" s="247" t="str">
        <f>IFERROR(VLOOKUP($C374,Steps[],5,FALSE),"")</f>
        <v>Substitute with belt or rotary vacuum at M/L scale</v>
      </c>
      <c r="J374" s="251"/>
    </row>
    <row r="375" spans="2:10" ht="15.95" hidden="1" customHeight="1" outlineLevel="1">
      <c r="B375" s="16"/>
      <c r="C375" s="349" t="s">
        <v>946</v>
      </c>
      <c r="D375" s="350">
        <f>1*IF($D$6&lt;5,0,IF($D$6&lt;70,1,1))</f>
        <v>1</v>
      </c>
      <c r="E375" s="342" t="str">
        <f>IF(ISBLANK(C375),"",IFERROR(IF(fnStepCostHourly=0,fnStepNotAvail,IF(ISBLANK(D375),"",fnStepCostHourly*$D375*VLOOKUP(BasisYear,ChemPPI[],14,FALSE)/VLOOKUP(2017,ChemPPI[],14,FALSE))),""))</f>
        <v/>
      </c>
      <c r="F375" s="342" t="str">
        <f t="shared" si="20"/>
        <v/>
      </c>
      <c r="G375" s="341" t="str">
        <f t="shared" si="21"/>
        <v/>
      </c>
      <c r="H375" s="248"/>
      <c r="I375" s="247" t="str">
        <f>IFERROR(VLOOKUP($C375,Steps[],5,FALSE),"")</f>
        <v>A.k.a. calciner. Sub with batch kiln at small scale</v>
      </c>
      <c r="J375" s="251"/>
    </row>
    <row r="376" spans="2:10" ht="15.95" hidden="1" customHeight="1" outlineLevel="1">
      <c r="B376" s="16"/>
      <c r="C376" s="349" t="s">
        <v>948</v>
      </c>
      <c r="D376" s="350">
        <f>1*IF($D$6&lt;5,1,IF($D$6&lt;70,0,0))</f>
        <v>0</v>
      </c>
      <c r="E376" s="342" t="str">
        <f>IF(ISBLANK(C376),"",IFERROR(IF(fnStepCostHourly=0,fnStepNotAvail,IF(ISBLANK(D376),"",fnStepCostHourly*$D376*VLOOKUP(BasisYear,ChemPPI[],14,FALSE)/VLOOKUP(2017,ChemPPI[],14,FALSE))),""))</f>
        <v/>
      </c>
      <c r="F376" s="342" t="str">
        <f t="shared" si="20"/>
        <v/>
      </c>
      <c r="G376" s="341" t="str">
        <f t="shared" si="21"/>
        <v/>
      </c>
      <c r="H376" s="248"/>
      <c r="I376" s="247" t="str">
        <f>IFERROR(VLOOKUP($C376,Steps[],5,FALSE),"")</f>
        <v>A.k.a. calciner. Sub with continuous kiln at M/L scale</v>
      </c>
      <c r="J376" s="251"/>
    </row>
    <row r="377" spans="2:10" ht="15.95" hidden="1" customHeight="1" outlineLevel="1">
      <c r="B377" s="16"/>
      <c r="C377" s="69" t="s">
        <v>939</v>
      </c>
      <c r="D377" s="246">
        <v>1</v>
      </c>
      <c r="E377" s="342" t="str">
        <f>IF(ISBLANK(C377),"",IFERROR(IF(fnStepCostHourly=0,fnStepNotAvail,IF(ISBLANK(D377),"",fnStepCostHourly*$D377*VLOOKUP(BasisYear,ChemPPI[],14,FALSE)/VLOOKUP(2017,ChemPPI[],14,FALSE))),""))</f>
        <v/>
      </c>
      <c r="F377" s="342" t="str">
        <f t="shared" si="20"/>
        <v/>
      </c>
      <c r="G377" s="341" t="str">
        <f t="shared" si="21"/>
        <v/>
      </c>
      <c r="H377" s="248"/>
      <c r="I377" s="247" t="str">
        <f>IFERROR(VLOOKUP($C377,Steps[],5,FALSE),"")</f>
        <v>-</v>
      </c>
      <c r="J377" s="251"/>
    </row>
    <row r="378" spans="2:10" ht="15.95" hidden="1" customHeight="1" outlineLevel="1">
      <c r="B378" s="16"/>
      <c r="C378" s="69" t="s">
        <v>929</v>
      </c>
      <c r="D378" s="246">
        <v>1</v>
      </c>
      <c r="E378" s="342" t="str">
        <f>IF(ISBLANK(C378),"",IFERROR(IF(fnStepCostHourly=0,fnStepNotAvail,IF(ISBLANK(D378),"",fnStepCostHourly*$D378*VLOOKUP(BasisYear,ChemPPI[],14,FALSE)/VLOOKUP(2017,ChemPPI[],14,FALSE))),""))</f>
        <v/>
      </c>
      <c r="F378" s="342" t="str">
        <f t="shared" si="20"/>
        <v/>
      </c>
      <c r="G378" s="341" t="str">
        <f t="shared" si="21"/>
        <v/>
      </c>
      <c r="H378" s="248"/>
      <c r="I378" s="247" t="str">
        <f>IFERROR(VLOOKUP($C378,Steps[],5,FALSE),"")</f>
        <v>-</v>
      </c>
      <c r="J378" s="251"/>
    </row>
    <row r="379" spans="2:10" ht="15.95" hidden="1" customHeight="1" outlineLevel="1">
      <c r="B379" s="16"/>
      <c r="C379" s="69" t="s">
        <v>943</v>
      </c>
      <c r="D379" s="246">
        <v>1</v>
      </c>
      <c r="E379" s="342" t="str">
        <f>IF(ISBLANK(C379),"",IFERROR(IF(fnStepCostHourly=0,fnStepNotAvail,IF(ISBLANK(D379),"",fnStepCostHourly*$D379*VLOOKUP(BasisYear,ChemPPI[],14,FALSE)/VLOOKUP(2017,ChemPPI[],14,FALSE))),""))</f>
        <v/>
      </c>
      <c r="F379" s="342" t="str">
        <f t="shared" si="20"/>
        <v/>
      </c>
      <c r="G379" s="341" t="str">
        <f t="shared" si="21"/>
        <v/>
      </c>
      <c r="H379" s="248"/>
      <c r="I379" s="247" t="str">
        <f>IFERROR(VLOOKUP($C379,Steps[],5,FALSE),"")</f>
        <v>Muller</v>
      </c>
      <c r="J379" s="251"/>
    </row>
    <row r="380" spans="2:10" ht="15.95" hidden="1" customHeight="1" outlineLevel="1">
      <c r="B380" s="16"/>
      <c r="C380" s="69" t="s">
        <v>944</v>
      </c>
      <c r="D380" s="246">
        <v>1</v>
      </c>
      <c r="E380" s="342" t="str">
        <f>IF(ISBLANK(C380),"",IFERROR(IF(fnStepCostHourly=0,fnStepNotAvail,IF(ISBLANK(D380),"",fnStepCostHourly*$D380*VLOOKUP(BasisYear,ChemPPI[],14,FALSE)/VLOOKUP(2017,ChemPPI[],14,FALSE))),""))</f>
        <v/>
      </c>
      <c r="F380" s="342" t="str">
        <f t="shared" si="20"/>
        <v/>
      </c>
      <c r="G380" s="341" t="str">
        <f t="shared" si="21"/>
        <v/>
      </c>
      <c r="H380" s="248"/>
      <c r="I380" s="247" t="str">
        <f>IFERROR(VLOOKUP($C380,Steps[],5,FALSE),"")</f>
        <v>Bonnot</v>
      </c>
      <c r="J380" s="251"/>
    </row>
    <row r="381" spans="2:10" ht="15.95" hidden="1" customHeight="1" outlineLevel="1">
      <c r="B381" s="16"/>
      <c r="C381" s="69" t="s">
        <v>923</v>
      </c>
      <c r="D381" s="246">
        <v>1</v>
      </c>
      <c r="E381" s="342" t="str">
        <f>IF(ISBLANK(C381),"",IFERROR(IF(fnStepCostHourly=0,fnStepNotAvail,IF(ISBLANK(D381),"",fnStepCostHourly*$D381*VLOOKUP(BasisYear,ChemPPI[],14,FALSE)/VLOOKUP(2017,ChemPPI[],14,FALSE))),""))</f>
        <v/>
      </c>
      <c r="F381" s="342" t="str">
        <f t="shared" si="20"/>
        <v/>
      </c>
      <c r="G381" s="341" t="str">
        <f t="shared" si="21"/>
        <v/>
      </c>
      <c r="H381" s="248"/>
      <c r="I381" s="247" t="str">
        <f>IFERROR(VLOOKUP($C381,Steps[],5,FALSE),"")</f>
        <v>-</v>
      </c>
      <c r="J381" s="251"/>
    </row>
    <row r="382" spans="2:10" ht="15.95" hidden="1" customHeight="1" outlineLevel="1">
      <c r="B382" s="16"/>
      <c r="C382" s="69" t="s">
        <v>1075</v>
      </c>
      <c r="D382" s="246">
        <v>1</v>
      </c>
      <c r="E382" s="342" t="str">
        <f>IF(ISBLANK(C382),"",IFERROR(IF(fnStepCostHourly=0,fnStepNotAvail,IF(ISBLANK(D382),"",fnStepCostHourly*$D382*VLOOKUP(BasisYear,ChemPPI[],14,FALSE)/VLOOKUP(2017,ChemPPI[],14,FALSE))),""))</f>
        <v/>
      </c>
      <c r="F382" s="342" t="str">
        <f t="shared" si="20"/>
        <v/>
      </c>
      <c r="G382" s="341" t="str">
        <f t="shared" si="21"/>
        <v/>
      </c>
      <c r="H382" s="248"/>
      <c r="I382" s="247" t="str">
        <f>IFERROR(VLOOKUP($C382,Steps[],5,FALSE),"")</f>
        <v>For higher temp use kiln</v>
      </c>
      <c r="J382" s="251"/>
    </row>
    <row r="383" spans="2:10" ht="15.95" hidden="1" customHeight="1" outlineLevel="1">
      <c r="B383" s="16"/>
      <c r="C383" s="349" t="s">
        <v>946</v>
      </c>
      <c r="D383" s="350">
        <f>1*IF($D$6&lt;5,0,IF($D$6&lt;70,1,1))</f>
        <v>1</v>
      </c>
      <c r="E383" s="342" t="str">
        <f>IF(ISBLANK(C383),"",IFERROR(IF(fnStepCostHourly=0,fnStepNotAvail,IF(ISBLANK(D383),"",fnStepCostHourly*$D383*VLOOKUP(BasisYear,ChemPPI[],14,FALSE)/VLOOKUP(2017,ChemPPI[],14,FALSE))),""))</f>
        <v/>
      </c>
      <c r="F383" s="342" t="str">
        <f t="shared" si="20"/>
        <v/>
      </c>
      <c r="G383" s="341" t="str">
        <f t="shared" si="21"/>
        <v/>
      </c>
      <c r="H383" s="248"/>
      <c r="I383" s="247" t="str">
        <f>IFERROR(VLOOKUP($C383,Steps[],5,FALSE),"")</f>
        <v>A.k.a. calciner. Sub with batch kiln at small scale</v>
      </c>
      <c r="J383" s="251"/>
    </row>
    <row r="384" spans="2:10" ht="15.95" hidden="1" customHeight="1" outlineLevel="1">
      <c r="B384" s="16"/>
      <c r="C384" s="349" t="s">
        <v>948</v>
      </c>
      <c r="D384" s="350">
        <f>1*IF($D$6&lt;5,1,IF($D$6&lt;70,0,0))</f>
        <v>0</v>
      </c>
      <c r="E384" s="342" t="str">
        <f>IF(ISBLANK(C384),"",IFERROR(IF(fnStepCostHourly=0,fnStepNotAvail,IF(ISBLANK(D384),"",fnStepCostHourly*$D384*VLOOKUP(BasisYear,ChemPPI[],14,FALSE)/VLOOKUP(2017,ChemPPI[],14,FALSE))),""))</f>
        <v/>
      </c>
      <c r="F384" s="342" t="str">
        <f t="shared" si="20"/>
        <v/>
      </c>
      <c r="G384" s="341" t="str">
        <f t="shared" si="21"/>
        <v/>
      </c>
      <c r="H384" s="248"/>
      <c r="I384" s="247" t="str">
        <f>IFERROR(VLOOKUP($C384,Steps[],5,FALSE),"")</f>
        <v>A.k.a. calciner. Sub with continuous kiln at M/L scale</v>
      </c>
      <c r="J384" s="251"/>
    </row>
    <row r="385" spans="1:10" ht="15.95"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5.95"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5.95"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5.95"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5.95"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6.5" hidden="1" outlineLevel="1" thickBot="1">
      <c r="B390" s="252"/>
      <c r="C390" s="253"/>
      <c r="D390" s="253"/>
      <c r="E390" s="253"/>
      <c r="F390" s="253"/>
      <c r="G390" s="253"/>
      <c r="H390" s="253"/>
      <c r="I390" s="253"/>
      <c r="J390" s="254"/>
    </row>
    <row r="391" spans="1:10" ht="16.5"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1055</v>
      </c>
      <c r="D394" s="256" t="s">
        <v>961</v>
      </c>
      <c r="E394" s="64" t="s">
        <v>953</v>
      </c>
      <c r="F394" s="64" t="s">
        <v>954</v>
      </c>
      <c r="G394" s="64" t="str">
        <f>"Cost ($/"&amp;OutMassUnit&amp;" catalyst)"</f>
        <v>Cost ($/lb catalyst)</v>
      </c>
      <c r="H394" s="250"/>
      <c r="J394" s="201"/>
    </row>
    <row r="395" spans="1:10" ht="15.95" hidden="1" customHeight="1" outlineLevel="1">
      <c r="B395" s="16"/>
      <c r="C395" s="18" t="s">
        <v>1090</v>
      </c>
      <c r="D395" s="256"/>
      <c r="E395" s="344">
        <f>SUM(E403:E422)</f>
        <v>0</v>
      </c>
      <c r="F395" s="344">
        <f>SUM(F403:F422)</f>
        <v>0</v>
      </c>
      <c r="G395" s="343">
        <f>SUM(G403:G422)</f>
        <v>0</v>
      </c>
      <c r="H395" s="336"/>
      <c r="J395" s="201"/>
    </row>
    <row r="396" spans="1:10" ht="15.95" hidden="1" customHeight="1" outlineLevel="1">
      <c r="B396" s="16"/>
      <c r="C396" s="353" t="str">
        <f>"Name: "&amp;C395</f>
        <v>Name: Zeolite ZSM-5 (Bulk)</v>
      </c>
      <c r="D396" s="256"/>
      <c r="E396" s="347"/>
      <c r="F396" s="347"/>
      <c r="G396" s="348"/>
      <c r="H396" s="336"/>
      <c r="J396" s="201"/>
    </row>
    <row r="397" spans="1:10" ht="15.95" hidden="1" customHeight="1" outlineLevel="1">
      <c r="B397" s="16"/>
      <c r="C397" s="17" t="s">
        <v>1070</v>
      </c>
      <c r="D397" s="256"/>
      <c r="E397" s="347"/>
      <c r="F397" s="347"/>
      <c r="G397" s="348"/>
      <c r="H397" s="336"/>
      <c r="J397" s="201"/>
    </row>
    <row r="398" spans="1:10" ht="15.95" hidden="1" customHeight="1" outlineLevel="1">
      <c r="B398" s="16"/>
      <c r="C398" s="18" t="s">
        <v>1085</v>
      </c>
      <c r="D398" s="256"/>
      <c r="E398" s="347"/>
      <c r="F398" s="347"/>
      <c r="G398" s="348"/>
      <c r="H398" s="336"/>
      <c r="J398" s="201"/>
    </row>
    <row r="399" spans="1:10" ht="15.95" hidden="1" customHeight="1" outlineLevel="1">
      <c r="B399" s="16"/>
      <c r="C399" s="18" t="s">
        <v>1073</v>
      </c>
      <c r="D399" s="256"/>
      <c r="E399" s="347"/>
      <c r="F399" s="347"/>
      <c r="G399" s="348"/>
      <c r="H399" s="336"/>
      <c r="J399" s="201"/>
    </row>
    <row r="400" spans="1:10" ht="16.5" hidden="1" outlineLevel="1" thickBot="1">
      <c r="B400" s="21"/>
      <c r="C400" s="22"/>
      <c r="D400" s="22"/>
      <c r="E400" s="22"/>
      <c r="F400" s="22"/>
      <c r="G400" s="22"/>
      <c r="H400" s="23"/>
      <c r="J400" s="201"/>
    </row>
    <row r="401" spans="2:10" ht="15.95" hidden="1" customHeight="1" outlineLevel="1">
      <c r="B401" s="16"/>
      <c r="C401" s="18"/>
      <c r="D401" s="18"/>
      <c r="E401" s="18"/>
      <c r="F401" s="18"/>
      <c r="G401" s="18"/>
      <c r="H401" s="18"/>
      <c r="I401" s="14"/>
      <c r="J401" s="15"/>
    </row>
    <row r="402" spans="2:10" ht="17.100000000000001" hidden="1" customHeight="1" outlineLevel="1">
      <c r="B402" s="16"/>
      <c r="C402" s="339" t="s">
        <v>937</v>
      </c>
      <c r="D402" s="339" t="s">
        <v>309</v>
      </c>
      <c r="E402" s="339" t="s">
        <v>953</v>
      </c>
      <c r="F402" s="339" t="s">
        <v>954</v>
      </c>
      <c r="G402" s="339" t="str">
        <f>"Cost ($/"&amp;OutMassUnit&amp;" catalyst)"</f>
        <v>Cost ($/lb catalyst)</v>
      </c>
      <c r="H402" s="339"/>
      <c r="I402" s="339" t="s">
        <v>207</v>
      </c>
      <c r="J402" s="250"/>
    </row>
    <row r="403" spans="2:10" ht="15.95" hidden="1" customHeight="1" outlineLevel="1">
      <c r="B403" s="16"/>
      <c r="C403" s="69" t="s">
        <v>931</v>
      </c>
      <c r="D403" s="246">
        <v>1</v>
      </c>
      <c r="E403" s="342" t="str">
        <f>IF(ISBLANK(C403),"",IFERROR(IF(fnStepCostHourly=0,fnStepNotAvail,IF(ISBLANK(D403),"",fnStepCostHourly*$D403*VLOOKUP(BasisYear,ChemPPI[],14,FALSE)/VLOOKUP(2017,ChemPPI[],14,FALSE))),""))</f>
        <v/>
      </c>
      <c r="F403" s="342" t="str">
        <f t="shared" ref="F403:F422" si="22">IFERROR($E403*$D$9*24,$E403)</f>
        <v/>
      </c>
      <c r="G403" s="341" t="str">
        <f t="shared" ref="G403:G422" si="23">IFERROR($F403/$D$7,$F403)</f>
        <v/>
      </c>
      <c r="H403" s="248"/>
      <c r="I403" s="247" t="str">
        <f>IFERROR(VLOOKUP($C403,Steps[],5,FALSE),"")</f>
        <v>-</v>
      </c>
      <c r="J403" s="251"/>
    </row>
    <row r="404" spans="2:10" ht="15.95" hidden="1" customHeight="1" outlineLevel="1">
      <c r="B404" s="16"/>
      <c r="C404" s="69" t="s">
        <v>924</v>
      </c>
      <c r="D404" s="246">
        <v>3</v>
      </c>
      <c r="E404" s="342" t="str">
        <f>IF(ISBLANK(C404),"",IFERROR(IF(fnStepCostHourly=0,fnStepNotAvail,IF(ISBLANK(D404),"",fnStepCostHourly*$D404*VLOOKUP(BasisYear,ChemPPI[],14,FALSE)/VLOOKUP(2017,ChemPPI[],14,FALSE))),""))</f>
        <v/>
      </c>
      <c r="F404" s="342" t="str">
        <f t="shared" si="22"/>
        <v/>
      </c>
      <c r="G404" s="341" t="str">
        <f t="shared" si="23"/>
        <v/>
      </c>
      <c r="H404" s="248"/>
      <c r="I404" s="247" t="str">
        <f>IFERROR(VLOOKUP($C404,Steps[],5,FALSE),"")</f>
        <v>-</v>
      </c>
      <c r="J404" s="251"/>
    </row>
    <row r="405" spans="2:10" ht="15.95" hidden="1" customHeight="1" outlineLevel="1">
      <c r="B405" s="16"/>
      <c r="C405" s="349" t="s">
        <v>926</v>
      </c>
      <c r="D405" s="350">
        <f>2*IF($D$6&lt;5,0,IF($D$6&lt;70,1,1))</f>
        <v>2</v>
      </c>
      <c r="E405" s="342" t="str">
        <f>IF(ISBLANK(C405),"",IFERROR(IF(fnStepCostHourly=0,fnStepNotAvail,IF(ISBLANK(D405),"",fnStepCostHourly*$D405*VLOOKUP(BasisYear,ChemPPI[],14,FALSE)/VLOOKUP(2017,ChemPPI[],14,FALSE))),""))</f>
        <v/>
      </c>
      <c r="F405" s="342" t="str">
        <f t="shared" si="22"/>
        <v/>
      </c>
      <c r="G405" s="341" t="str">
        <f t="shared" si="23"/>
        <v/>
      </c>
      <c r="H405" s="248"/>
      <c r="I405" s="247" t="str">
        <f>IFERROR(VLOOKUP($C405,Steps[],5,FALSE),"")</f>
        <v>Substitute with plate and frame at small scale</v>
      </c>
      <c r="J405" s="251"/>
    </row>
    <row r="406" spans="2:10" ht="15.95" hidden="1" customHeight="1" outlineLevel="1">
      <c r="B406" s="16"/>
      <c r="C406" s="349" t="s">
        <v>928</v>
      </c>
      <c r="D406" s="350">
        <f>2*IF($D$6&lt;5,1,IF($D$6&lt;70,0,0))</f>
        <v>0</v>
      </c>
      <c r="E406" s="342" t="str">
        <f>IF(ISBLANK(C406),"",IFERROR(IF(fnStepCostHourly=0,fnStepNotAvail,IF(ISBLANK(D406),"",fnStepCostHourly*$D406*VLOOKUP(BasisYear,ChemPPI[],14,FALSE)/VLOOKUP(2017,ChemPPI[],14,FALSE))),""))</f>
        <v/>
      </c>
      <c r="F406" s="342" t="str">
        <f t="shared" si="22"/>
        <v/>
      </c>
      <c r="G406" s="341" t="str">
        <f t="shared" si="23"/>
        <v/>
      </c>
      <c r="H406" s="248"/>
      <c r="I406" s="247" t="str">
        <f>IFERROR(VLOOKUP($C406,Steps[],5,FALSE),"")</f>
        <v>Substitute with belt or rotary vacuum at M/L scale</v>
      </c>
      <c r="J406" s="251"/>
    </row>
    <row r="407" spans="2:10" ht="15.95" hidden="1" customHeight="1" outlineLevel="1">
      <c r="B407" s="16"/>
      <c r="C407" s="69" t="s">
        <v>932</v>
      </c>
      <c r="D407" s="246">
        <v>2</v>
      </c>
      <c r="E407" s="342" t="str">
        <f>IF(ISBLANK(C407),"",IFERROR(IF(fnStepCostHourly=0,fnStepNotAvail,IF(ISBLANK(D407),"",fnStepCostHourly*$D407*VLOOKUP(BasisYear,ChemPPI[],14,FALSE)/VLOOKUP(2017,ChemPPI[],14,FALSE))),""))</f>
        <v/>
      </c>
      <c r="F407" s="342" t="str">
        <f t="shared" si="22"/>
        <v/>
      </c>
      <c r="G407" s="341" t="str">
        <f t="shared" si="23"/>
        <v/>
      </c>
      <c r="H407" s="248"/>
      <c r="I407" s="247" t="str">
        <f>IFERROR(VLOOKUP($C407,Steps[],5,FALSE),"")</f>
        <v>-</v>
      </c>
      <c r="J407" s="251"/>
    </row>
    <row r="408" spans="2:10" ht="15.95" hidden="1" customHeight="1" outlineLevel="1">
      <c r="B408" s="16"/>
      <c r="C408" s="349" t="s">
        <v>926</v>
      </c>
      <c r="D408" s="350">
        <f>2*IF($D$6&lt;5,0,IF($D$6&lt;70,1,1))</f>
        <v>2</v>
      </c>
      <c r="E408" s="342" t="str">
        <f>IF(ISBLANK(C408),"",IFERROR(IF(fnStepCostHourly=0,fnStepNotAvail,IF(ISBLANK(D408),"",fnStepCostHourly*$D408*VLOOKUP(BasisYear,ChemPPI[],14,FALSE)/VLOOKUP(2017,ChemPPI[],14,FALSE))),""))</f>
        <v/>
      </c>
      <c r="F408" s="342" t="str">
        <f t="shared" si="22"/>
        <v/>
      </c>
      <c r="G408" s="341" t="str">
        <f t="shared" si="23"/>
        <v/>
      </c>
      <c r="H408" s="248"/>
      <c r="I408" s="247" t="str">
        <f>IFERROR(VLOOKUP($C408,Steps[],5,FALSE),"")</f>
        <v>Substitute with plate and frame at small scale</v>
      </c>
      <c r="J408" s="251"/>
    </row>
    <row r="409" spans="2:10" ht="15.95" hidden="1" customHeight="1" outlineLevel="1">
      <c r="B409" s="16"/>
      <c r="C409" s="349" t="s">
        <v>928</v>
      </c>
      <c r="D409" s="350">
        <f>2*IF($D$6&lt;5,1,IF($D$6&lt;70,0,0))</f>
        <v>0</v>
      </c>
      <c r="E409" s="342" t="str">
        <f>IF(ISBLANK(C409),"",IFERROR(IF(fnStepCostHourly=0,fnStepNotAvail,IF(ISBLANK(D409),"",fnStepCostHourly*$D409*VLOOKUP(BasisYear,ChemPPI[],14,FALSE)/VLOOKUP(2017,ChemPPI[],14,FALSE))),""))</f>
        <v/>
      </c>
      <c r="F409" s="342" t="str">
        <f t="shared" si="22"/>
        <v/>
      </c>
      <c r="G409" s="341" t="str">
        <f t="shared" si="23"/>
        <v/>
      </c>
      <c r="H409" s="248"/>
      <c r="I409" s="247" t="str">
        <f>IFERROR(VLOOKUP($C409,Steps[],5,FALSE),"")</f>
        <v>Substitute with belt or rotary vacuum at M/L scale</v>
      </c>
      <c r="J409" s="251"/>
    </row>
    <row r="410" spans="2:10" ht="15.95" hidden="1" customHeight="1" outlineLevel="1">
      <c r="B410" s="16"/>
      <c r="C410" s="69" t="s">
        <v>1075</v>
      </c>
      <c r="D410" s="246">
        <v>2</v>
      </c>
      <c r="E410" s="342" t="str">
        <f>IF(ISBLANK(C410),"",IFERROR(IF(fnStepCostHourly=0,fnStepNotAvail,IF(ISBLANK(D410),"",fnStepCostHourly*$D410*VLOOKUP(BasisYear,ChemPPI[],14,FALSE)/VLOOKUP(2017,ChemPPI[],14,FALSE))),""))</f>
        <v/>
      </c>
      <c r="F410" s="342" t="str">
        <f t="shared" si="22"/>
        <v/>
      </c>
      <c r="G410" s="341" t="str">
        <f t="shared" si="23"/>
        <v/>
      </c>
      <c r="H410" s="248"/>
      <c r="I410" s="247" t="str">
        <f>IFERROR(VLOOKUP($C410,Steps[],5,FALSE),"")</f>
        <v>For higher temp use kiln</v>
      </c>
      <c r="J410" s="251"/>
    </row>
    <row r="411" spans="2:10" ht="15.95" hidden="1" customHeight="1" outlineLevel="1">
      <c r="B411" s="16"/>
      <c r="C411" s="349" t="s">
        <v>946</v>
      </c>
      <c r="D411" s="350">
        <f>1*IF($D$6&lt;5,0,IF($D$6&lt;70,1,1))</f>
        <v>1</v>
      </c>
      <c r="E411" s="342" t="str">
        <f>IF(ISBLANK(C411),"",IFERROR(IF(fnStepCostHourly=0,fnStepNotAvail,IF(ISBLANK(D411),"",fnStepCostHourly*$D411*VLOOKUP(BasisYear,ChemPPI[],14,FALSE)/VLOOKUP(2017,ChemPPI[],14,FALSE))),""))</f>
        <v/>
      </c>
      <c r="F411" s="342" t="str">
        <f t="shared" si="22"/>
        <v/>
      </c>
      <c r="G411" s="341" t="str">
        <f t="shared" si="23"/>
        <v/>
      </c>
      <c r="H411" s="248"/>
      <c r="I411" s="247" t="str">
        <f>IFERROR(VLOOKUP($C411,Steps[],5,FALSE),"")</f>
        <v>A.k.a. calciner. Sub with batch kiln at small scale</v>
      </c>
      <c r="J411" s="251"/>
    </row>
    <row r="412" spans="2:10" ht="15.95" hidden="1" customHeight="1" outlineLevel="1">
      <c r="B412" s="16"/>
      <c r="C412" s="349" t="s">
        <v>948</v>
      </c>
      <c r="D412" s="350">
        <f>1*IF($D$6&lt;5,1,IF($D$6&lt;70,0,0))</f>
        <v>0</v>
      </c>
      <c r="E412" s="342" t="str">
        <f>IF(ISBLANK(C412),"",IFERROR(IF(fnStepCostHourly=0,fnStepNotAvail,IF(ISBLANK(D412),"",fnStepCostHourly*$D412*VLOOKUP(BasisYear,ChemPPI[],14,FALSE)/VLOOKUP(2017,ChemPPI[],14,FALSE))),""))</f>
        <v/>
      </c>
      <c r="F412" s="342" t="str">
        <f t="shared" si="22"/>
        <v/>
      </c>
      <c r="G412" s="341" t="str">
        <f t="shared" si="23"/>
        <v/>
      </c>
      <c r="H412" s="248"/>
      <c r="I412" s="247" t="str">
        <f>IFERROR(VLOOKUP($C412,Steps[],5,FALSE),"")</f>
        <v>A.k.a. calciner. Sub with continuous kiln at M/L scale</v>
      </c>
      <c r="J412" s="251"/>
    </row>
    <row r="413" spans="2:10" ht="15.95" hidden="1" customHeight="1" outlineLevel="1">
      <c r="B413" s="16"/>
      <c r="C413" s="69" t="s">
        <v>939</v>
      </c>
      <c r="D413" s="246">
        <v>1</v>
      </c>
      <c r="E413" s="342" t="str">
        <f>IF(ISBLANK(C413),"",IFERROR(IF(fnStepCostHourly=0,fnStepNotAvail,IF(ISBLANK(D413),"",fnStepCostHourly*$D413*VLOOKUP(BasisYear,ChemPPI[],14,FALSE)/VLOOKUP(2017,ChemPPI[],14,FALSE))),""))</f>
        <v/>
      </c>
      <c r="F413" s="342" t="str">
        <f t="shared" si="22"/>
        <v/>
      </c>
      <c r="G413" s="341" t="str">
        <f t="shared" si="23"/>
        <v/>
      </c>
      <c r="H413" s="248"/>
      <c r="I413" s="247" t="str">
        <f>IFERROR(VLOOKUP($C413,Steps[],5,FALSE),"")</f>
        <v>-</v>
      </c>
      <c r="J413" s="251"/>
    </row>
    <row r="414" spans="2:10" ht="15.95" hidden="1" customHeight="1" outlineLevel="1">
      <c r="B414" s="16"/>
      <c r="C414" s="69" t="s">
        <v>929</v>
      </c>
      <c r="D414" s="246">
        <v>1</v>
      </c>
      <c r="E414" s="342" t="str">
        <f>IF(ISBLANK(C414),"",IFERROR(IF(fnStepCostHourly=0,fnStepNotAvail,IF(ISBLANK(D414),"",fnStepCostHourly*$D414*VLOOKUP(BasisYear,ChemPPI[],14,FALSE)/VLOOKUP(2017,ChemPPI[],14,FALSE))),""))</f>
        <v/>
      </c>
      <c r="F414" s="342" t="str">
        <f t="shared" si="22"/>
        <v/>
      </c>
      <c r="G414" s="341" t="str">
        <f t="shared" si="23"/>
        <v/>
      </c>
      <c r="H414" s="248"/>
      <c r="I414" s="247" t="str">
        <f>IFERROR(VLOOKUP($C414,Steps[],5,FALSE),"")</f>
        <v>-</v>
      </c>
      <c r="J414" s="251"/>
    </row>
    <row r="415" spans="2:10" ht="15.95"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5.95"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5.95"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5.95"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5.95"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5.95"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5.95"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5.95"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6.5" hidden="1" outlineLevel="1" thickBot="1">
      <c r="B423" s="252"/>
      <c r="C423" s="253"/>
      <c r="D423" s="253"/>
      <c r="E423" s="253"/>
      <c r="F423" s="253"/>
      <c r="G423" s="253"/>
      <c r="H423" s="253"/>
      <c r="I423" s="253"/>
      <c r="J423" s="254"/>
    </row>
    <row r="424" spans="1:10" ht="16.5"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1055</v>
      </c>
      <c r="D427" s="256" t="s">
        <v>961</v>
      </c>
      <c r="E427" s="64" t="s">
        <v>953</v>
      </c>
      <c r="F427" s="64" t="s">
        <v>954</v>
      </c>
      <c r="G427" s="64" t="str">
        <f>"Cost ($/"&amp;OutMassUnit&amp;" catalyst)"</f>
        <v>Cost ($/lb catalyst)</v>
      </c>
      <c r="H427" s="250"/>
      <c r="J427" s="201"/>
    </row>
    <row r="428" spans="1:10" ht="15.95" hidden="1" customHeight="1" outlineLevel="1">
      <c r="B428" s="16"/>
      <c r="C428" s="18" t="s">
        <v>1091</v>
      </c>
      <c r="D428" s="256"/>
      <c r="E428" s="344">
        <f>SUM(E436:E455)</f>
        <v>0</v>
      </c>
      <c r="F428" s="344">
        <f>SUM(F436:F455)</f>
        <v>0</v>
      </c>
      <c r="G428" s="343">
        <f>SUM(G436:G455)</f>
        <v>0</v>
      </c>
      <c r="H428" s="336"/>
      <c r="J428" s="201"/>
    </row>
    <row r="429" spans="1:10" ht="15.95" hidden="1" customHeight="1" outlineLevel="1">
      <c r="B429" s="16"/>
      <c r="C429" s="353" t="str">
        <f>"Name: "&amp;C428</f>
        <v>Name: Zeolite ZSM-5 Diluted with Metal Oxide</v>
      </c>
      <c r="D429" s="256"/>
      <c r="E429" s="347"/>
      <c r="F429" s="347"/>
      <c r="G429" s="348"/>
      <c r="H429" s="336"/>
      <c r="J429" s="201"/>
    </row>
    <row r="430" spans="1:10" ht="15.95" hidden="1" customHeight="1" outlineLevel="1">
      <c r="B430" s="16"/>
      <c r="C430" s="17" t="s">
        <v>1070</v>
      </c>
      <c r="D430" s="256"/>
      <c r="E430" s="347"/>
      <c r="F430" s="347"/>
      <c r="G430" s="348"/>
      <c r="H430" s="336"/>
      <c r="J430" s="201"/>
    </row>
    <row r="431" spans="1:10" ht="15.95" hidden="1" customHeight="1" outlineLevel="1">
      <c r="B431" s="16"/>
      <c r="C431" s="18" t="s">
        <v>1086</v>
      </c>
      <c r="D431" s="256"/>
      <c r="E431" s="347"/>
      <c r="F431" s="347"/>
      <c r="G431" s="348"/>
      <c r="H431" s="336"/>
      <c r="J431" s="201"/>
    </row>
    <row r="432" spans="1:10" ht="15.95" hidden="1" customHeight="1" outlineLevel="1">
      <c r="B432" s="16"/>
      <c r="C432" s="18" t="s">
        <v>1073</v>
      </c>
      <c r="D432" s="256"/>
      <c r="E432" s="347"/>
      <c r="F432" s="347"/>
      <c r="G432" s="348"/>
      <c r="H432" s="336"/>
      <c r="J432" s="201"/>
    </row>
    <row r="433" spans="2:10" ht="16.5" hidden="1" outlineLevel="1" thickBot="1">
      <c r="B433" s="21"/>
      <c r="C433" s="22"/>
      <c r="D433" s="22"/>
      <c r="E433" s="22"/>
      <c r="F433" s="22"/>
      <c r="G433" s="22"/>
      <c r="H433" s="23"/>
      <c r="J433" s="201"/>
    </row>
    <row r="434" spans="2:10" ht="15.95" hidden="1" customHeight="1" outlineLevel="1">
      <c r="B434" s="16"/>
      <c r="C434" s="18"/>
      <c r="D434" s="18"/>
      <c r="E434" s="18"/>
      <c r="F434" s="18"/>
      <c r="G434" s="18"/>
      <c r="H434" s="18"/>
      <c r="I434" s="14"/>
      <c r="J434" s="15"/>
    </row>
    <row r="435" spans="2:10" ht="17.100000000000001" hidden="1" customHeight="1" outlineLevel="1">
      <c r="B435" s="16"/>
      <c r="C435" s="339" t="s">
        <v>937</v>
      </c>
      <c r="D435" s="339" t="s">
        <v>309</v>
      </c>
      <c r="E435" s="339" t="s">
        <v>953</v>
      </c>
      <c r="F435" s="339" t="s">
        <v>954</v>
      </c>
      <c r="G435" s="339" t="str">
        <f>"Cost ($/"&amp;OutMassUnit&amp;" catalyst)"</f>
        <v>Cost ($/lb catalyst)</v>
      </c>
      <c r="H435" s="339"/>
      <c r="I435" s="339" t="s">
        <v>207</v>
      </c>
      <c r="J435" s="250"/>
    </row>
    <row r="436" spans="2:10" ht="15.95" hidden="1" customHeight="1" outlineLevel="1">
      <c r="B436" s="16"/>
      <c r="C436" s="69" t="s">
        <v>931</v>
      </c>
      <c r="D436" s="246">
        <v>1</v>
      </c>
      <c r="E436" s="342" t="str">
        <f>IF(ISBLANK(C436),"",IFERROR(IF(fnStepCostHourly=0,fnStepNotAvail,IF(ISBLANK(D436),"",fnStepCostHourly*$D436*VLOOKUP(BasisYear,ChemPPI[],14,FALSE)/VLOOKUP(2017,ChemPPI[],14,FALSE))),""))</f>
        <v/>
      </c>
      <c r="F436" s="342" t="str">
        <f t="shared" ref="F436:F455" si="24">IFERROR($E436*$D$9*24,$E436)</f>
        <v/>
      </c>
      <c r="G436" s="341" t="str">
        <f t="shared" ref="G436:G455" si="25">IFERROR($F436/$D$7,$F436)</f>
        <v/>
      </c>
      <c r="H436" s="248"/>
      <c r="I436" s="247" t="str">
        <f>IFERROR(VLOOKUP($C436,Steps[],5,FALSE),"")</f>
        <v>-</v>
      </c>
      <c r="J436" s="251"/>
    </row>
    <row r="437" spans="2:10" ht="15.95" hidden="1" customHeight="1" outlineLevel="1">
      <c r="B437" s="16"/>
      <c r="C437" s="69" t="s">
        <v>924</v>
      </c>
      <c r="D437" s="246">
        <v>1</v>
      </c>
      <c r="E437" s="342" t="str">
        <f>IF(ISBLANK(C437),"",IFERROR(IF(fnStepCostHourly=0,fnStepNotAvail,IF(ISBLANK(D437),"",fnStepCostHourly*$D437*VLOOKUP(BasisYear,ChemPPI[],14,FALSE)/VLOOKUP(2017,ChemPPI[],14,FALSE))),""))</f>
        <v/>
      </c>
      <c r="F437" s="342" t="str">
        <f t="shared" si="24"/>
        <v/>
      </c>
      <c r="G437" s="341" t="str">
        <f t="shared" si="25"/>
        <v/>
      </c>
      <c r="H437" s="248"/>
      <c r="I437" s="247" t="str">
        <f>IFERROR(VLOOKUP($C437,Steps[],5,FALSE),"")</f>
        <v>-</v>
      </c>
      <c r="J437" s="251"/>
    </row>
    <row r="438" spans="2:10" ht="15.95" hidden="1" customHeight="1" outlineLevel="1">
      <c r="B438" s="16"/>
      <c r="C438" s="349" t="s">
        <v>926</v>
      </c>
      <c r="D438" s="350">
        <f>1*IF($D$6&lt;5,0,IF($D$6&lt;70,1,1))</f>
        <v>1</v>
      </c>
      <c r="E438" s="342" t="str">
        <f>IF(ISBLANK(C438),"",IFERROR(IF(fnStepCostHourly=0,fnStepNotAvail,IF(ISBLANK(D438),"",fnStepCostHourly*$D438*VLOOKUP(BasisYear,ChemPPI[],14,FALSE)/VLOOKUP(2017,ChemPPI[],14,FALSE))),""))</f>
        <v/>
      </c>
      <c r="F438" s="342" t="str">
        <f t="shared" si="24"/>
        <v/>
      </c>
      <c r="G438" s="341" t="str">
        <f t="shared" si="25"/>
        <v/>
      </c>
      <c r="H438" s="248"/>
      <c r="I438" s="247" t="str">
        <f>IFERROR(VLOOKUP($C438,Steps[],5,FALSE),"")</f>
        <v>Substitute with plate and frame at small scale</v>
      </c>
      <c r="J438" s="251"/>
    </row>
    <row r="439" spans="2:10" ht="15.95" hidden="1" customHeight="1" outlineLevel="1">
      <c r="B439" s="16"/>
      <c r="C439" s="349" t="s">
        <v>928</v>
      </c>
      <c r="D439" s="350">
        <f>1*IF($D$6&lt;5,1,IF($D$6&lt;70,0,0))</f>
        <v>0</v>
      </c>
      <c r="E439" s="342" t="str">
        <f>IF(ISBLANK(C439),"",IFERROR(IF(fnStepCostHourly=0,fnStepNotAvail,IF(ISBLANK(D439),"",fnStepCostHourly*$D439*VLOOKUP(BasisYear,ChemPPI[],14,FALSE)/VLOOKUP(2017,ChemPPI[],14,FALSE))),""))</f>
        <v/>
      </c>
      <c r="F439" s="342" t="str">
        <f t="shared" si="24"/>
        <v/>
      </c>
      <c r="G439" s="341" t="str">
        <f t="shared" si="25"/>
        <v/>
      </c>
      <c r="H439" s="248"/>
      <c r="I439" s="247" t="str">
        <f>IFERROR(VLOOKUP($C439,Steps[],5,FALSE),"")</f>
        <v>Substitute with belt or rotary vacuum at M/L scale</v>
      </c>
      <c r="J439" s="251"/>
    </row>
    <row r="440" spans="2:10" ht="15.95" hidden="1" customHeight="1" outlineLevel="1">
      <c r="B440" s="16"/>
      <c r="C440" s="69" t="s">
        <v>932</v>
      </c>
      <c r="D440" s="246">
        <v>2</v>
      </c>
      <c r="E440" s="342" t="str">
        <f>IF(ISBLANK(C440),"",IFERROR(IF(fnStepCostHourly=0,fnStepNotAvail,IF(ISBLANK(D440),"",fnStepCostHourly*$D440*VLOOKUP(BasisYear,ChemPPI[],14,FALSE)/VLOOKUP(2017,ChemPPI[],14,FALSE))),""))</f>
        <v/>
      </c>
      <c r="F440" s="342" t="str">
        <f t="shared" si="24"/>
        <v/>
      </c>
      <c r="G440" s="341" t="str">
        <f t="shared" si="25"/>
        <v/>
      </c>
      <c r="H440" s="248"/>
      <c r="I440" s="247" t="str">
        <f>IFERROR(VLOOKUP($C440,Steps[],5,FALSE),"")</f>
        <v>-</v>
      </c>
      <c r="J440" s="251"/>
    </row>
    <row r="441" spans="2:10" ht="15.95" hidden="1" customHeight="1" outlineLevel="1">
      <c r="B441" s="16"/>
      <c r="C441" s="349" t="s">
        <v>926</v>
      </c>
      <c r="D441" s="350">
        <f>2*IF($D$6&lt;5,0,IF($D$6&lt;70,1,1))</f>
        <v>2</v>
      </c>
      <c r="E441" s="342" t="str">
        <f>IF(ISBLANK(C441),"",IFERROR(IF(fnStepCostHourly=0,fnStepNotAvail,IF(ISBLANK(D441),"",fnStepCostHourly*$D441*VLOOKUP(BasisYear,ChemPPI[],14,FALSE)/VLOOKUP(2017,ChemPPI[],14,FALSE))),""))</f>
        <v/>
      </c>
      <c r="F441" s="342" t="str">
        <f t="shared" si="24"/>
        <v/>
      </c>
      <c r="G441" s="341" t="str">
        <f t="shared" si="25"/>
        <v/>
      </c>
      <c r="H441" s="248"/>
      <c r="I441" s="247" t="str">
        <f>IFERROR(VLOOKUP($C441,Steps[],5,FALSE),"")</f>
        <v>Substitute with plate and frame at small scale</v>
      </c>
      <c r="J441" s="251"/>
    </row>
    <row r="442" spans="2:10" ht="15.95" hidden="1" customHeight="1" outlineLevel="1">
      <c r="B442" s="16"/>
      <c r="C442" s="349" t="s">
        <v>928</v>
      </c>
      <c r="D442" s="350">
        <f>2*IF($D$6&lt;5,1,IF($D$6&lt;70,0,0))</f>
        <v>0</v>
      </c>
      <c r="E442" s="342" t="str">
        <f>IF(ISBLANK(C442),"",IFERROR(IF(fnStepCostHourly=0,fnStepNotAvail,IF(ISBLANK(D442),"",fnStepCostHourly*$D442*VLOOKUP(BasisYear,ChemPPI[],14,FALSE)/VLOOKUP(2017,ChemPPI[],14,FALSE))),""))</f>
        <v/>
      </c>
      <c r="F442" s="342" t="str">
        <f t="shared" si="24"/>
        <v/>
      </c>
      <c r="G442" s="341" t="str">
        <f t="shared" si="25"/>
        <v/>
      </c>
      <c r="H442" s="248"/>
      <c r="I442" s="247" t="str">
        <f>IFERROR(VLOOKUP($C442,Steps[],5,FALSE),"")</f>
        <v>Substitute with belt or rotary vacuum at M/L scale</v>
      </c>
      <c r="J442" s="251"/>
    </row>
    <row r="443" spans="2:10" ht="15.95" hidden="1" customHeight="1" outlineLevel="1">
      <c r="B443" s="16"/>
      <c r="C443" s="69" t="s">
        <v>1075</v>
      </c>
      <c r="D443" s="246">
        <v>2</v>
      </c>
      <c r="E443" s="342" t="str">
        <f>IF(ISBLANK(C443),"",IFERROR(IF(fnStepCostHourly=0,fnStepNotAvail,IF(ISBLANK(D443),"",fnStepCostHourly*$D443*VLOOKUP(BasisYear,ChemPPI[],14,FALSE)/VLOOKUP(2017,ChemPPI[],14,FALSE))),""))</f>
        <v/>
      </c>
      <c r="F443" s="342" t="str">
        <f t="shared" si="24"/>
        <v/>
      </c>
      <c r="G443" s="341" t="str">
        <f t="shared" si="25"/>
        <v/>
      </c>
      <c r="H443" s="248"/>
      <c r="I443" s="247" t="str">
        <f>IFERROR(VLOOKUP($C443,Steps[],5,FALSE),"")</f>
        <v>For higher temp use kiln</v>
      </c>
      <c r="J443" s="251"/>
    </row>
    <row r="444" spans="2:10" ht="15.95" hidden="1" customHeight="1" outlineLevel="1">
      <c r="B444" s="16"/>
      <c r="C444" s="349" t="s">
        <v>946</v>
      </c>
      <c r="D444" s="350">
        <f>1*IF($D$6&lt;5,0,IF($D$6&lt;70,1,1))</f>
        <v>1</v>
      </c>
      <c r="E444" s="342" t="str">
        <f>IF(ISBLANK(C444),"",IFERROR(IF(fnStepCostHourly=0,fnStepNotAvail,IF(ISBLANK(D444),"",fnStepCostHourly*$D444*VLOOKUP(BasisYear,ChemPPI[],14,FALSE)/VLOOKUP(2017,ChemPPI[],14,FALSE))),""))</f>
        <v/>
      </c>
      <c r="F444" s="342" t="str">
        <f t="shared" si="24"/>
        <v/>
      </c>
      <c r="G444" s="341" t="str">
        <f t="shared" si="25"/>
        <v/>
      </c>
      <c r="H444" s="248"/>
      <c r="I444" s="247" t="str">
        <f>IFERROR(VLOOKUP($C444,Steps[],5,FALSE),"")</f>
        <v>A.k.a. calciner. Sub with batch kiln at small scale</v>
      </c>
      <c r="J444" s="251"/>
    </row>
    <row r="445" spans="2:10" ht="15.95" hidden="1" customHeight="1" outlineLevel="1">
      <c r="B445" s="16"/>
      <c r="C445" s="349" t="s">
        <v>948</v>
      </c>
      <c r="D445" s="350">
        <f>1*IF($D$6&lt;5,1,IF($D$6&lt;70,0,0))</f>
        <v>0</v>
      </c>
      <c r="E445" s="342" t="str">
        <f>IF(ISBLANK(C445),"",IFERROR(IF(fnStepCostHourly=0,fnStepNotAvail,IF(ISBLANK(D445),"",fnStepCostHourly*$D445*VLOOKUP(BasisYear,ChemPPI[],14,FALSE)/VLOOKUP(2017,ChemPPI[],14,FALSE))),""))</f>
        <v/>
      </c>
      <c r="F445" s="342" t="str">
        <f t="shared" si="24"/>
        <v/>
      </c>
      <c r="G445" s="341" t="str">
        <f t="shared" si="25"/>
        <v/>
      </c>
      <c r="H445" s="248"/>
      <c r="I445" s="247" t="str">
        <f>IFERROR(VLOOKUP($C445,Steps[],5,FALSE),"")</f>
        <v>A.k.a. calciner. Sub with continuous kiln at M/L scale</v>
      </c>
      <c r="J445" s="251"/>
    </row>
    <row r="446" spans="2:10" ht="15.95" hidden="1" customHeight="1" outlineLevel="1">
      <c r="B446" s="16"/>
      <c r="C446" s="69" t="s">
        <v>939</v>
      </c>
      <c r="D446" s="246">
        <v>1</v>
      </c>
      <c r="E446" s="342" t="str">
        <f>IF(ISBLANK(C446),"",IFERROR(IF(fnStepCostHourly=0,fnStepNotAvail,IF(ISBLANK(D446),"",fnStepCostHourly*$D446*VLOOKUP(BasisYear,ChemPPI[],14,FALSE)/VLOOKUP(2017,ChemPPI[],14,FALSE))),""))</f>
        <v/>
      </c>
      <c r="F446" s="342" t="str">
        <f t="shared" si="24"/>
        <v/>
      </c>
      <c r="G446" s="341" t="str">
        <f t="shared" si="25"/>
        <v/>
      </c>
      <c r="H446" s="248"/>
      <c r="I446" s="247" t="str">
        <f>IFERROR(VLOOKUP($C446,Steps[],5,FALSE),"")</f>
        <v>-</v>
      </c>
      <c r="J446" s="251"/>
    </row>
    <row r="447" spans="2:10" ht="15.95" hidden="1" customHeight="1" outlineLevel="1">
      <c r="B447" s="16"/>
      <c r="C447" s="69" t="s">
        <v>929</v>
      </c>
      <c r="D447" s="246">
        <v>1</v>
      </c>
      <c r="E447" s="342" t="str">
        <f>IF(ISBLANK(C447),"",IFERROR(IF(fnStepCostHourly=0,fnStepNotAvail,IF(ISBLANK(D447),"",fnStepCostHourly*$D447*VLOOKUP(BasisYear,ChemPPI[],14,FALSE)/VLOOKUP(2017,ChemPPI[],14,FALSE))),""))</f>
        <v/>
      </c>
      <c r="F447" s="342" t="str">
        <f t="shared" si="24"/>
        <v/>
      </c>
      <c r="G447" s="341" t="str">
        <f t="shared" si="25"/>
        <v/>
      </c>
      <c r="H447" s="248"/>
      <c r="I447" s="247" t="str">
        <f>IFERROR(VLOOKUP($C447,Steps[],5,FALSE),"")</f>
        <v>-</v>
      </c>
      <c r="J447" s="251"/>
    </row>
    <row r="448" spans="2:10" ht="15.95" hidden="1" customHeight="1" outlineLevel="1">
      <c r="B448" s="16"/>
      <c r="C448" s="69" t="s">
        <v>943</v>
      </c>
      <c r="D448" s="246">
        <v>2</v>
      </c>
      <c r="E448" s="342" t="str">
        <f>IF(ISBLANK(C448),"",IFERROR(IF(fnStepCostHourly=0,fnStepNotAvail,IF(ISBLANK(D448),"",fnStepCostHourly*$D448*VLOOKUP(BasisYear,ChemPPI[],14,FALSE)/VLOOKUP(2017,ChemPPI[],14,FALSE))),""))</f>
        <v/>
      </c>
      <c r="F448" s="342" t="str">
        <f t="shared" si="24"/>
        <v/>
      </c>
      <c r="G448" s="341" t="str">
        <f t="shared" si="25"/>
        <v/>
      </c>
      <c r="H448" s="248"/>
      <c r="I448" s="247" t="str">
        <f>IFERROR(VLOOKUP($C448,Steps[],5,FALSE),"")</f>
        <v>Muller</v>
      </c>
      <c r="J448" s="251"/>
    </row>
    <row r="449" spans="1:10" ht="15.95" hidden="1" customHeight="1" outlineLevel="1">
      <c r="B449" s="16"/>
      <c r="C449" s="69" t="s">
        <v>1075</v>
      </c>
      <c r="D449" s="246">
        <v>2</v>
      </c>
      <c r="E449" s="342" t="str">
        <f>IF(ISBLANK(C449),"",IFERROR(IF(fnStepCostHourly=0,fnStepNotAvail,IF(ISBLANK(D449),"",fnStepCostHourly*$D449*VLOOKUP(BasisYear,ChemPPI[],14,FALSE)/VLOOKUP(2017,ChemPPI[],14,FALSE))),""))</f>
        <v/>
      </c>
      <c r="F449" s="342" t="str">
        <f t="shared" si="24"/>
        <v/>
      </c>
      <c r="G449" s="341" t="str">
        <f t="shared" si="25"/>
        <v/>
      </c>
      <c r="H449" s="248"/>
      <c r="I449" s="247" t="str">
        <f>IFERROR(VLOOKUP($C449,Steps[],5,FALSE),"")</f>
        <v>For higher temp use kiln</v>
      </c>
      <c r="J449" s="251"/>
    </row>
    <row r="450" spans="1:10" ht="15.95"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5.95"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5.95"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5.95"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5.95"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5.95"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6.5"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conditionalFormatting sqref="C30:D49">
    <cfRule type="containsBlanks" dxfId="199" priority="97">
      <formula>LEN(TRIM(C30))=0</formula>
    </cfRule>
  </conditionalFormatting>
  <conditionalFormatting sqref="C131:D150">
    <cfRule type="containsBlanks" dxfId="198" priority="93">
      <formula>LEN(TRIM(C131))=0</formula>
    </cfRule>
  </conditionalFormatting>
  <conditionalFormatting sqref="C12">
    <cfRule type="containsBlanks" dxfId="197" priority="92">
      <formula>LEN(TRIM(C12))=0</formula>
    </cfRule>
  </conditionalFormatting>
  <conditionalFormatting sqref="C164:D165 C168:D169 C172:D172 C175:D183">
    <cfRule type="containsBlanks" dxfId="196" priority="91">
      <formula>LEN(TRIM(C164))=0</formula>
    </cfRule>
  </conditionalFormatting>
  <conditionalFormatting sqref="C166:D167">
    <cfRule type="containsBlanks" dxfId="195" priority="90">
      <formula>LEN(TRIM(C166))=0</formula>
    </cfRule>
  </conditionalFormatting>
  <conditionalFormatting sqref="C170:D171">
    <cfRule type="containsBlanks" dxfId="194" priority="89">
      <formula>LEN(TRIM(C170))=0</formula>
    </cfRule>
  </conditionalFormatting>
  <conditionalFormatting sqref="C173:D174">
    <cfRule type="containsBlanks" dxfId="193" priority="88">
      <formula>LEN(TRIM(C173))=0</formula>
    </cfRule>
  </conditionalFormatting>
  <conditionalFormatting sqref="C263:D263 C266:D267 C270:D282">
    <cfRule type="containsBlanks" dxfId="192" priority="87">
      <formula>LEN(TRIM(C263))=0</formula>
    </cfRule>
  </conditionalFormatting>
  <conditionalFormatting sqref="C264:D265">
    <cfRule type="containsBlanks" dxfId="191" priority="83">
      <formula>LEN(TRIM(C264))=0</formula>
    </cfRule>
  </conditionalFormatting>
  <conditionalFormatting sqref="C268:D269">
    <cfRule type="containsBlanks" dxfId="190" priority="82">
      <formula>LEN(TRIM(C268))=0</formula>
    </cfRule>
  </conditionalFormatting>
  <conditionalFormatting sqref="C403:D405 C407:D408 C410:D411 C413:D422">
    <cfRule type="containsBlanks" dxfId="189" priority="81">
      <formula>LEN(TRIM(C403))=0</formula>
    </cfRule>
  </conditionalFormatting>
  <conditionalFormatting sqref="C405:D407">
    <cfRule type="containsBlanks" dxfId="188" priority="78">
      <formula>LEN(TRIM(C405))=0</formula>
    </cfRule>
  </conditionalFormatting>
  <conditionalFormatting sqref="C408:D410">
    <cfRule type="containsBlanks" dxfId="187" priority="77">
      <formula>LEN(TRIM(C408))=0</formula>
    </cfRule>
  </conditionalFormatting>
  <conditionalFormatting sqref="C411:D413">
    <cfRule type="containsBlanks" dxfId="186" priority="76">
      <formula>LEN(TRIM(C411))=0</formula>
    </cfRule>
  </conditionalFormatting>
  <conditionalFormatting sqref="C436:D438 C440:D441 C443:D444 C446:D455">
    <cfRule type="containsBlanks" dxfId="185" priority="75">
      <formula>LEN(TRIM(C436))=0</formula>
    </cfRule>
  </conditionalFormatting>
  <conditionalFormatting sqref="C438:D440">
    <cfRule type="containsBlanks" dxfId="184" priority="74">
      <formula>LEN(TRIM(C438))=0</formula>
    </cfRule>
  </conditionalFormatting>
  <conditionalFormatting sqref="C441:D443">
    <cfRule type="containsBlanks" dxfId="183" priority="73">
      <formula>LEN(TRIM(C441))=0</formula>
    </cfRule>
  </conditionalFormatting>
  <conditionalFormatting sqref="C444:D446">
    <cfRule type="containsBlanks" dxfId="182" priority="72">
      <formula>LEN(TRIM(C444))=0</formula>
    </cfRule>
  </conditionalFormatting>
  <conditionalFormatting sqref="C449:D449">
    <cfRule type="containsBlanks" dxfId="181" priority="71">
      <formula>LEN(TRIM(C449))=0</formula>
    </cfRule>
  </conditionalFormatting>
  <conditionalFormatting sqref="C63:D65 C67:D67 C70:D74 C77:D84">
    <cfRule type="containsBlanks" dxfId="180" priority="70">
      <formula>LEN(TRIM(C63))=0</formula>
    </cfRule>
  </conditionalFormatting>
  <conditionalFormatting sqref="C65:D67">
    <cfRule type="containsBlanks" dxfId="179" priority="69">
      <formula>LEN(TRIM(C65))=0</formula>
    </cfRule>
  </conditionalFormatting>
  <conditionalFormatting sqref="C68:D68">
    <cfRule type="containsBlanks" dxfId="178" priority="65">
      <formula>LEN(TRIM(C68))=0</formula>
    </cfRule>
  </conditionalFormatting>
  <conditionalFormatting sqref="C68:D69">
    <cfRule type="containsBlanks" dxfId="177" priority="64">
      <formula>LEN(TRIM(C68))=0</formula>
    </cfRule>
  </conditionalFormatting>
  <conditionalFormatting sqref="C74:D74">
    <cfRule type="containsBlanks" dxfId="176" priority="63">
      <formula>LEN(TRIM(C74))=0</formula>
    </cfRule>
  </conditionalFormatting>
  <conditionalFormatting sqref="C74:D74 C77:D80">
    <cfRule type="containsBlanks" dxfId="175" priority="62">
      <formula>LEN(TRIM(C74))=0</formula>
    </cfRule>
  </conditionalFormatting>
  <conditionalFormatting sqref="C71:D72">
    <cfRule type="containsBlanks" dxfId="174" priority="60">
      <formula>LEN(TRIM(C71))=0</formula>
    </cfRule>
  </conditionalFormatting>
  <conditionalFormatting sqref="C71:D71">
    <cfRule type="containsBlanks" dxfId="173" priority="59">
      <formula>LEN(TRIM(C71))=0</formula>
    </cfRule>
  </conditionalFormatting>
  <conditionalFormatting sqref="C77:D77">
    <cfRule type="containsBlanks" dxfId="172" priority="57">
      <formula>LEN(TRIM(C77))=0</formula>
    </cfRule>
  </conditionalFormatting>
  <conditionalFormatting sqref="C329:D331 C334:D334 C337:D337 C342:D350">
    <cfRule type="containsBlanks" dxfId="171" priority="56">
      <formula>LEN(TRIM(C329))=0</formula>
    </cfRule>
  </conditionalFormatting>
  <conditionalFormatting sqref="C335:D336">
    <cfRule type="containsBlanks" dxfId="170" priority="51">
      <formula>LEN(TRIM(C335))=0</formula>
    </cfRule>
  </conditionalFormatting>
  <conditionalFormatting sqref="C338:D339">
    <cfRule type="containsBlanks" dxfId="169" priority="50">
      <formula>LEN(TRIM(C338))=0</formula>
    </cfRule>
  </conditionalFormatting>
  <conditionalFormatting sqref="C340:D341">
    <cfRule type="containsBlanks" dxfId="168" priority="49">
      <formula>LEN(TRIM(C340))=0</formula>
    </cfRule>
  </conditionalFormatting>
  <conditionalFormatting sqref="C332:D333">
    <cfRule type="containsBlanks" dxfId="167" priority="52">
      <formula>LEN(TRIM(C332))=0</formula>
    </cfRule>
  </conditionalFormatting>
  <conditionalFormatting sqref="C370:D371">
    <cfRule type="containsBlanks" dxfId="166" priority="46">
      <formula>LEN(TRIM(C370))=0</formula>
    </cfRule>
  </conditionalFormatting>
  <conditionalFormatting sqref="C373:D374">
    <cfRule type="containsBlanks" dxfId="165" priority="45">
      <formula>LEN(TRIM(C373))=0</formula>
    </cfRule>
  </conditionalFormatting>
  <conditionalFormatting sqref="C375:D376">
    <cfRule type="containsBlanks" dxfId="164" priority="44">
      <formula>LEN(TRIM(C375))=0</formula>
    </cfRule>
  </conditionalFormatting>
  <conditionalFormatting sqref="C364:D366 C369:D369 C372:D372 C377:D382 C385:D389">
    <cfRule type="containsBlanks" dxfId="163" priority="48">
      <formula>LEN(TRIM(C364))=0</formula>
    </cfRule>
  </conditionalFormatting>
  <conditionalFormatting sqref="C107:D108">
    <cfRule type="containsBlanks" dxfId="162" priority="21">
      <formula>LEN(TRIM(C107))=0</formula>
    </cfRule>
  </conditionalFormatting>
  <conditionalFormatting sqref="C296:D297">
    <cfRule type="containsBlanks" dxfId="161" priority="39">
      <formula>LEN(TRIM(C296))=0</formula>
    </cfRule>
  </conditionalFormatting>
  <conditionalFormatting sqref="C383:D384">
    <cfRule type="containsBlanks" dxfId="160" priority="43">
      <formula>LEN(TRIM(C383))=0</formula>
    </cfRule>
  </conditionalFormatting>
  <conditionalFormatting sqref="C367:D368">
    <cfRule type="containsBlanks" dxfId="159" priority="47">
      <formula>LEN(TRIM(C367))=0</formula>
    </cfRule>
  </conditionalFormatting>
  <conditionalFormatting sqref="C301:D303">
    <cfRule type="containsBlanks" dxfId="158" priority="38">
      <formula>LEN(TRIM(C301))=0</formula>
    </cfRule>
  </conditionalFormatting>
  <conditionalFormatting sqref="C298:D298 C303:D315">
    <cfRule type="containsBlanks" dxfId="157" priority="42">
      <formula>LEN(TRIM(C298))=0</formula>
    </cfRule>
  </conditionalFormatting>
  <conditionalFormatting sqref="C107:D108">
    <cfRule type="containsBlanks" dxfId="156" priority="20">
      <formula>LEN(TRIM(C107))=0</formula>
    </cfRule>
  </conditionalFormatting>
  <conditionalFormatting sqref="C107:D107">
    <cfRule type="containsBlanks" dxfId="155" priority="19">
      <formula>LEN(TRIM(C107))=0</formula>
    </cfRule>
  </conditionalFormatting>
  <conditionalFormatting sqref="C98:D99 C102:D102 C105:D106 C109:D117">
    <cfRule type="containsBlanks" dxfId="154" priority="37">
      <formula>LEN(TRIM(C98))=0</formula>
    </cfRule>
  </conditionalFormatting>
  <conditionalFormatting sqref="C100:D101">
    <cfRule type="containsBlanks" dxfId="153" priority="26">
      <formula>LEN(TRIM(C100))=0</formula>
    </cfRule>
  </conditionalFormatting>
  <conditionalFormatting sqref="C100:D101">
    <cfRule type="containsBlanks" dxfId="152" priority="25">
      <formula>LEN(TRIM(C100))=0</formula>
    </cfRule>
  </conditionalFormatting>
  <conditionalFormatting sqref="C100:D100">
    <cfRule type="containsBlanks" dxfId="151" priority="24">
      <formula>LEN(TRIM(C100))=0</formula>
    </cfRule>
  </conditionalFormatting>
  <conditionalFormatting sqref="C103:D103">
    <cfRule type="containsBlanks" dxfId="150" priority="23">
      <formula>LEN(TRIM(C103))=0</formula>
    </cfRule>
  </conditionalFormatting>
  <conditionalFormatting sqref="C103:D104">
    <cfRule type="containsBlanks" dxfId="149" priority="22">
      <formula>LEN(TRIM(C103))=0</formula>
    </cfRule>
  </conditionalFormatting>
  <conditionalFormatting sqref="C230:D232 C235:D249">
    <cfRule type="containsBlanks" dxfId="148" priority="18">
      <formula>LEN(TRIM(C230))=0</formula>
    </cfRule>
  </conditionalFormatting>
  <conditionalFormatting sqref="C233:D233">
    <cfRule type="containsBlanks" dxfId="147" priority="15">
      <formula>LEN(TRIM(C233))=0</formula>
    </cfRule>
  </conditionalFormatting>
  <conditionalFormatting sqref="C234:D234">
    <cfRule type="containsBlanks" dxfId="146" priority="14">
      <formula>LEN(TRIM(C234))=0</formula>
    </cfRule>
  </conditionalFormatting>
  <conditionalFormatting sqref="C197:D198 C201:D202 C205:D205 C208:D216">
    <cfRule type="containsBlanks" dxfId="145" priority="13">
      <formula>LEN(TRIM(C197))=0</formula>
    </cfRule>
  </conditionalFormatting>
  <conditionalFormatting sqref="C199:D200">
    <cfRule type="containsBlanks" dxfId="144" priority="10">
      <formula>LEN(TRIM(C199))=0</formula>
    </cfRule>
  </conditionalFormatting>
  <conditionalFormatting sqref="C203:D204">
    <cfRule type="containsBlanks" dxfId="143" priority="9">
      <formula>LEN(TRIM(C203))=0</formula>
    </cfRule>
  </conditionalFormatting>
  <conditionalFormatting sqref="C206:D207">
    <cfRule type="containsBlanks" dxfId="142" priority="8">
      <formula>LEN(TRIM(C206))=0</formula>
    </cfRule>
  </conditionalFormatting>
  <conditionalFormatting sqref="C77:D77">
    <cfRule type="containsBlanks" dxfId="141" priority="7">
      <formula>LEN(TRIM(C77))=0</formula>
    </cfRule>
  </conditionalFormatting>
  <conditionalFormatting sqref="C78:D78">
    <cfRule type="containsBlanks" dxfId="140" priority="6">
      <formula>LEN(TRIM(C78))=0</formula>
    </cfRule>
  </conditionalFormatting>
  <conditionalFormatting sqref="C75:D75">
    <cfRule type="containsBlanks" dxfId="139" priority="5">
      <formula>LEN(TRIM(C75))=0</formula>
    </cfRule>
  </conditionalFormatting>
  <conditionalFormatting sqref="C75:D76">
    <cfRule type="containsBlanks" dxfId="138" priority="4">
      <formula>LEN(TRIM(C75))=0</formula>
    </cfRule>
  </conditionalFormatting>
  <conditionalFormatting sqref="C301:D301">
    <cfRule type="containsBlanks" dxfId="137" priority="3">
      <formula>LEN(TRIM(C301))=0</formula>
    </cfRule>
  </conditionalFormatting>
  <conditionalFormatting sqref="C299:D299">
    <cfRule type="containsBlanks" dxfId="136" priority="2">
      <formula>LEN(TRIM(C299))=0</formula>
    </cfRule>
  </conditionalFormatting>
  <conditionalFormatting sqref="C299:D300">
    <cfRule type="containsBlanks" dxfId="135" priority="1">
      <formula>LEN(TRIM(C299))=0</formula>
    </cfRule>
  </conditionalFormatting>
  <dataValidations count="2">
    <dataValidation type="list" allowBlank="1" showInputMessage="1" showErrorMessage="1" sqref="C197:C216 C131:C150 C164:C183 C263:C282 C403:C422 C436:C455 C296:C315 C98:C117 C329:C350 C63:C84 C364:C389 C230:C249 C30:C49"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1048576 A30:B34 E30:XFD34"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 activePane="bottomLeft" state="frozenSplit"/>
      <selection pane="bottomLeft"/>
    </sheetView>
  </sheetViews>
  <sheetFormatPr defaultColWidth="11" defaultRowHeight="15.75" outlineLevelRow="1"/>
  <cols>
    <col min="1" max="2" width="2.5" style="11" customWidth="1"/>
    <col min="3" max="3" width="50.5" style="11" bestFit="1" customWidth="1"/>
    <col min="4" max="4" width="12.625" style="11" customWidth="1"/>
    <col min="5" max="5" width="21.125" style="11" bestFit="1" customWidth="1"/>
    <col min="6" max="6" width="8.375" style="11" bestFit="1" customWidth="1"/>
    <col min="7" max="7" width="9.625" style="11" bestFit="1" customWidth="1"/>
    <col min="8" max="8" width="40.875" style="11" customWidth="1"/>
    <col min="9" max="9" width="16.5" style="11" bestFit="1" customWidth="1"/>
    <col min="10" max="10" width="2.5" style="11" customWidth="1"/>
    <col min="11" max="11" width="21" style="11" customWidth="1"/>
    <col min="12" max="12" width="20.875" style="11" customWidth="1"/>
    <col min="13" max="13" width="2.5" style="11" customWidth="1"/>
    <col min="14" max="14" width="15.625" style="11" customWidth="1"/>
    <col min="15" max="15" width="15.125" style="11" customWidth="1"/>
    <col min="16" max="16" width="12.125" style="11" customWidth="1"/>
    <col min="17" max="18" width="2.5" style="11" customWidth="1"/>
    <col min="19" max="19" width="50.875" style="11" customWidth="1"/>
    <col min="20" max="20" width="23.875" style="11" customWidth="1"/>
    <col min="21" max="16384" width="11" style="11"/>
  </cols>
  <sheetData>
    <row r="1" spans="2:29" s="10" customFormat="1" ht="24" customHeight="1">
      <c r="B1" s="108" t="str">
        <f>"CatCost v"&amp;Version&amp;": "&amp;EstimateName</f>
        <v>CatCost v1.0.0: FCC RE USY</v>
      </c>
      <c r="G1" s="109"/>
      <c r="H1" s="110"/>
      <c r="I1" s="110"/>
      <c r="J1" s="110"/>
      <c r="K1" s="110"/>
      <c r="L1" s="110"/>
      <c r="M1" s="110"/>
      <c r="N1" s="110"/>
      <c r="O1" s="110"/>
      <c r="P1" s="110"/>
      <c r="Q1" s="109"/>
      <c r="R1" s="110"/>
      <c r="X1" s="10" t="s">
        <v>1089</v>
      </c>
      <c r="AA1" s="10" t="str">
        <f t="array" ref="AA1:AA33" ca="1">IF(ROW()&gt;COUNTIF($C$1:$C$9962,"CapEx &amp; OpEx Factors Template Name"),"",OFFSET($C$1,SMALL(IF($C$1:$C$9962="CapEx &amp; OpEx Factors Template Name",ROW($C$1:$C$9962)),ROW()),0))</f>
        <v>Custom Process</v>
      </c>
      <c r="AC1" s="279"/>
    </row>
    <row r="2" spans="2:29" ht="16.5" thickBot="1">
      <c r="AA2" s="11" t="str">
        <f ca="1"/>
        <v>Metal Carbide on Metal Oxide</v>
      </c>
    </row>
    <row r="3" spans="2:29" ht="21" thickBot="1">
      <c r="B3" s="419" t="s">
        <v>1056</v>
      </c>
      <c r="C3" s="420"/>
      <c r="D3" s="420"/>
      <c r="E3" s="421"/>
      <c r="AA3" s="11" t="str">
        <f ca="1"/>
        <v>Nanoparticles - Flow Synthesis</v>
      </c>
    </row>
    <row r="4" spans="2:29">
      <c r="B4" s="13"/>
      <c r="C4" s="14"/>
      <c r="D4" s="14"/>
      <c r="E4" s="15"/>
      <c r="AA4" s="11" t="str">
        <f ca="1"/>
        <v>Wet Impregnation - Metal on Metal Oxide</v>
      </c>
    </row>
    <row r="5" spans="2:29">
      <c r="B5" s="16"/>
      <c r="C5" s="17" t="s">
        <v>1006</v>
      </c>
      <c r="D5" s="18"/>
      <c r="E5" s="19"/>
      <c r="AA5" s="11" t="str">
        <f ca="1"/>
        <v>Zeolite for FCC</v>
      </c>
    </row>
    <row r="6" spans="2:29">
      <c r="B6" s="16"/>
      <c r="C6" s="312" t="s">
        <v>1001</v>
      </c>
      <c r="D6" s="18"/>
      <c r="E6" s="19"/>
      <c r="AA6" s="11" t="str">
        <f ca="1"/>
        <v/>
      </c>
    </row>
    <row r="7" spans="2:29">
      <c r="B7" s="16"/>
      <c r="C7" s="18"/>
      <c r="D7" s="18"/>
      <c r="E7" s="19"/>
      <c r="AA7" s="11" t="str">
        <f ca="1"/>
        <v/>
      </c>
    </row>
    <row r="8" spans="2:29">
      <c r="B8" s="16"/>
      <c r="C8" s="17" t="s">
        <v>1003</v>
      </c>
      <c r="D8" s="18"/>
      <c r="E8" s="19"/>
      <c r="AA8" s="11" t="str">
        <f ca="1"/>
        <v/>
      </c>
    </row>
    <row r="9" spans="2:29">
      <c r="B9" s="16"/>
      <c r="C9" s="18"/>
      <c r="D9" s="163" t="s">
        <v>310</v>
      </c>
      <c r="E9" s="309">
        <f ca="1">IF($C$6="","&lt; Select Template &gt;",OFFSET(INDEX(C:C,MATCH("Equipment Cost Totals for "&amp;$C$6,C:C,0)),1,2))</f>
        <v>27694611.298371442</v>
      </c>
      <c r="AA9" s="11" t="str">
        <f ca="1"/>
        <v/>
      </c>
    </row>
    <row r="10" spans="2:29">
      <c r="B10" s="16"/>
      <c r="C10" s="18"/>
      <c r="D10" s="163" t="s">
        <v>358</v>
      </c>
      <c r="E10" s="309">
        <f ca="1">IF($C$6="","&lt; Select Template &gt;",OFFSET(INDEX(C:C,MATCH("Equipment Cost Totals for "&amp;$C$6,C:C,0)),2,2))</f>
        <v>44940119.229642615</v>
      </c>
      <c r="AA10" s="11" t="str">
        <f ca="1"/>
        <v/>
      </c>
    </row>
    <row r="11" spans="2:29">
      <c r="B11" s="16"/>
      <c r="C11" s="18"/>
      <c r="D11" s="163" t="s">
        <v>1004</v>
      </c>
      <c r="E11" s="310">
        <f ca="1">IF($C$6="","&lt; Select Template &gt;",OFFSET(INDEX(C:C,MATCH("Equipment Cost Totals for "&amp;$C$6,C:C,0)),3,2))</f>
        <v>12.89</v>
      </c>
      <c r="AA11" s="11" t="str">
        <f ca="1"/>
        <v/>
      </c>
    </row>
    <row r="12" spans="2:29" ht="16.5" thickBot="1">
      <c r="B12" s="21"/>
      <c r="C12" s="22"/>
      <c r="D12" s="22"/>
      <c r="E12" s="23"/>
      <c r="AA12" s="11" t="str">
        <f ca="1"/>
        <v/>
      </c>
    </row>
    <row r="13" spans="2:29">
      <c r="AA13" s="11" t="str">
        <f ca="1"/>
        <v/>
      </c>
    </row>
    <row r="14" spans="2:29" ht="21" thickBot="1">
      <c r="B14" s="434" t="s">
        <v>1057</v>
      </c>
      <c r="C14" s="434"/>
      <c r="D14" s="434"/>
      <c r="E14" s="434"/>
      <c r="F14" s="434"/>
      <c r="G14" s="434"/>
      <c r="AA14" s="11" t="str">
        <f ca="1"/>
        <v/>
      </c>
    </row>
    <row r="15" spans="2:29">
      <c r="B15" s="315" t="s">
        <v>1022</v>
      </c>
      <c r="AA15" s="11" t="str">
        <f ca="1"/>
        <v/>
      </c>
    </row>
    <row r="16" spans="2:29" ht="16.5"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1058</v>
      </c>
      <c r="D19" s="18"/>
      <c r="E19" s="18"/>
      <c r="F19" s="18"/>
      <c r="G19" s="19"/>
      <c r="I19" s="201"/>
      <c r="AA19" s="11" t="str">
        <f ca="1"/>
        <v/>
      </c>
    </row>
    <row r="20" spans="2:27" hidden="1" outlineLevel="1">
      <c r="B20" s="16"/>
      <c r="C20" s="18" t="s">
        <v>1005</v>
      </c>
      <c r="D20" s="18"/>
      <c r="E20" s="18"/>
      <c r="F20" s="18"/>
      <c r="G20" s="19"/>
      <c r="I20" s="201"/>
      <c r="AA20" s="11" t="str">
        <f ca="1"/>
        <v/>
      </c>
    </row>
    <row r="21" spans="2:27" ht="16.5" hidden="1" outlineLevel="1" thickBot="1">
      <c r="B21" s="16"/>
      <c r="C21" s="18"/>
      <c r="D21" s="18"/>
      <c r="E21" s="18"/>
      <c r="F21" s="18"/>
      <c r="G21" s="19"/>
      <c r="I21" s="201"/>
      <c r="AA21" s="11" t="str">
        <f ca="1"/>
        <v/>
      </c>
    </row>
    <row r="22" spans="2:27" ht="32.1" hidden="1" customHeight="1" outlineLevel="1">
      <c r="B22" s="431" t="str">
        <f>"Scaling Inputs: "&amp;C20</f>
        <v>Scaling Inputs: Custom Process</v>
      </c>
      <c r="C22" s="432"/>
      <c r="D22" s="432"/>
      <c r="E22" s="432"/>
      <c r="F22" s="432"/>
      <c r="G22" s="433"/>
      <c r="I22" s="201"/>
      <c r="AA22" s="11" t="str">
        <f ca="1"/>
        <v/>
      </c>
    </row>
    <row r="23" spans="2:27" hidden="1" outlineLevel="1">
      <c r="B23" s="16"/>
      <c r="C23" s="17" t="s">
        <v>1754</v>
      </c>
      <c r="D23" s="18"/>
      <c r="E23" s="18"/>
      <c r="F23" s="18"/>
      <c r="G23" s="19"/>
      <c r="I23" s="201"/>
      <c r="AA23" s="11" t="str">
        <f ca="1"/>
        <v/>
      </c>
    </row>
    <row r="24" spans="2:27" hidden="1" outlineLevel="1">
      <c r="B24" s="16"/>
      <c r="C24" s="138" t="s">
        <v>1755</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919</v>
      </c>
      <c r="F25" s="48"/>
      <c r="G25" s="19"/>
      <c r="I25" s="201"/>
      <c r="AA25" s="11" t="str">
        <f ca="1"/>
        <v/>
      </c>
    </row>
    <row r="26" spans="2:27" hidden="1" outlineLevel="1">
      <c r="B26" s="16"/>
      <c r="C26" s="138"/>
      <c r="D26" s="177"/>
      <c r="E26" s="48" t="s">
        <v>921</v>
      </c>
      <c r="F26" s="42" t="s">
        <v>162</v>
      </c>
      <c r="G26" s="19"/>
      <c r="I26" s="201"/>
      <c r="AA26" s="11" t="str">
        <f ca="1"/>
        <v/>
      </c>
    </row>
    <row r="27" spans="2:27" hidden="1" outlineLevel="1">
      <c r="B27" s="16"/>
      <c r="C27" s="138"/>
      <c r="D27" s="177"/>
      <c r="E27" s="48" t="s">
        <v>920</v>
      </c>
      <c r="F27" s="42" t="s">
        <v>162</v>
      </c>
      <c r="G27" s="19"/>
      <c r="I27" s="201"/>
      <c r="AA27" s="11" t="str">
        <f ca="1"/>
        <v/>
      </c>
    </row>
    <row r="28" spans="2:27" hidden="1" outlineLevel="1">
      <c r="B28" s="16"/>
      <c r="C28" s="138" t="s">
        <v>1756</v>
      </c>
      <c r="D28" s="49" t="str">
        <f>IFERROR(D24*VLOOKUP(D25,UnitConv[],5,FALSE)/VLOOKUP(OutMassUnit,UnitConv[],5,FALSE)*IF(D26="active phase",100/APWeightPercent,1)/CHOOSE(MATCH(D27,{"hour","day","week","month","year"},0),1,24,24*7,7884/12,7884),"-----")</f>
        <v>-----</v>
      </c>
      <c r="E28" s="48" t="str">
        <f>OutMassUnit&amp;" catalyst/hour"</f>
        <v>lb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1731</v>
      </c>
      <c r="D30" s="18"/>
      <c r="E30" s="18"/>
      <c r="F30" s="18"/>
      <c r="G30" s="19"/>
      <c r="I30" s="201"/>
      <c r="AA30" s="11" t="str">
        <f ca="1"/>
        <v/>
      </c>
    </row>
    <row r="31" spans="2:27" hidden="1" outlineLevel="1">
      <c r="B31" s="16"/>
      <c r="C31" s="138" t="s">
        <v>1753</v>
      </c>
      <c r="D31" s="49">
        <f>IF(DesignProductionRate=0,"-----",DesignProductionRate)</f>
        <v>12683.916793505834</v>
      </c>
      <c r="E31" s="48" t="str">
        <f>OutMassUnit&amp;" catalyst/hour"</f>
        <v>lb catalyst/hour</v>
      </c>
      <c r="F31" s="42" t="s">
        <v>162</v>
      </c>
      <c r="G31" s="19"/>
      <c r="I31" s="201"/>
      <c r="AA31" s="11" t="str">
        <f ca="1"/>
        <v/>
      </c>
    </row>
    <row r="32" spans="2:27" ht="16.5" hidden="1" outlineLevel="1" thickBot="1">
      <c r="B32" s="16"/>
      <c r="C32" s="18"/>
      <c r="D32" s="305"/>
      <c r="E32" s="18"/>
      <c r="F32" s="18"/>
      <c r="G32" s="19"/>
      <c r="AA32" s="11" t="str">
        <f ca="1"/>
        <v/>
      </c>
    </row>
    <row r="33" spans="2:27" s="308" customFormat="1" ht="32.1" hidden="1" customHeight="1" outlineLevel="1">
      <c r="B33" s="431" t="str">
        <f>"Equipment List: "&amp;C20</f>
        <v>Equipment List: Custom Process</v>
      </c>
      <c r="C33" s="432"/>
      <c r="D33" s="432"/>
      <c r="E33" s="432"/>
      <c r="F33" s="432"/>
      <c r="G33" s="432"/>
      <c r="H33" s="306"/>
      <c r="I33" s="306"/>
      <c r="J33" s="306"/>
      <c r="K33" s="306"/>
      <c r="L33" s="306"/>
      <c r="M33" s="306"/>
      <c r="N33" s="306"/>
      <c r="O33" s="306"/>
      <c r="P33" s="306"/>
      <c r="Q33" s="307"/>
      <c r="AA33" s="308" t="str">
        <f ca="1"/>
        <v/>
      </c>
    </row>
    <row r="34" spans="2:27" ht="18.75" hidden="1" outlineLevel="1">
      <c r="B34" s="16"/>
      <c r="C34" s="429" t="s">
        <v>439</v>
      </c>
      <c r="D34" s="429"/>
      <c r="E34" s="429"/>
      <c r="F34" s="429"/>
      <c r="G34" s="429"/>
      <c r="H34" s="429"/>
      <c r="I34" s="429"/>
      <c r="J34" s="73"/>
      <c r="K34" s="429" t="s">
        <v>321</v>
      </c>
      <c r="L34" s="429"/>
      <c r="M34" s="73"/>
      <c r="N34" s="429" t="s">
        <v>322</v>
      </c>
      <c r="O34" s="429"/>
      <c r="P34" s="429"/>
      <c r="Q34" s="19"/>
      <c r="S34" s="430" t="s">
        <v>1007</v>
      </c>
      <c r="T34" s="430"/>
      <c r="U34" s="308"/>
    </row>
    <row r="35" spans="2:27" hidden="1" outlineLevel="1">
      <c r="B35" s="16"/>
      <c r="C35" s="64" t="s">
        <v>306</v>
      </c>
      <c r="D35" s="64" t="s">
        <v>312</v>
      </c>
      <c r="E35" s="64" t="s">
        <v>313</v>
      </c>
      <c r="F35" s="64" t="s">
        <v>309</v>
      </c>
      <c r="G35" s="64" t="s">
        <v>314</v>
      </c>
      <c r="H35" s="64" t="s">
        <v>307</v>
      </c>
      <c r="I35" s="64" t="s">
        <v>308</v>
      </c>
      <c r="J35" s="64"/>
      <c r="K35" s="64" t="s">
        <v>1083</v>
      </c>
      <c r="L35" s="64" t="s">
        <v>1084</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6.5" hidden="1" outlineLevel="1" thickBot="1">
      <c r="B76" s="21"/>
      <c r="C76" s="22"/>
      <c r="D76" s="22"/>
      <c r="E76" s="22"/>
      <c r="F76" s="22"/>
      <c r="G76" s="22"/>
      <c r="H76" s="22"/>
      <c r="I76" s="22"/>
      <c r="J76" s="22"/>
      <c r="K76" s="22"/>
      <c r="L76" s="100"/>
      <c r="M76" s="100"/>
      <c r="N76" s="22"/>
      <c r="O76" s="22"/>
      <c r="P76" s="22"/>
      <c r="Q76" s="23"/>
    </row>
    <row r="77" spans="2:20" ht="32.1" hidden="1" customHeight="1" outlineLevel="1">
      <c r="B77" s="431" t="str">
        <f>"Equipment Cost Totals: "&amp;C20</f>
        <v>Equipment Cost Totals: Custom Process</v>
      </c>
      <c r="C77" s="432"/>
      <c r="D77" s="432"/>
      <c r="E77" s="433"/>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1004</v>
      </c>
      <c r="E81" s="310">
        <f ca="1">SUM(P36:P75)</f>
        <v>0</v>
      </c>
    </row>
    <row r="82" spans="1:9" ht="16.5" hidden="1" outlineLevel="1" thickBot="1">
      <c r="B82" s="21"/>
      <c r="C82" s="22"/>
      <c r="D82" s="22"/>
      <c r="E82" s="23"/>
    </row>
    <row r="83" spans="1:9" ht="16.5"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1058</v>
      </c>
      <c r="D86" s="18"/>
      <c r="E86" s="18"/>
      <c r="F86" s="18"/>
      <c r="G86" s="19"/>
      <c r="I86" s="201"/>
    </row>
    <row r="87" spans="1:9" hidden="1" outlineLevel="1">
      <c r="B87" s="16"/>
      <c r="C87" s="18" t="s">
        <v>1002</v>
      </c>
      <c r="D87" s="18"/>
      <c r="E87" s="18"/>
      <c r="F87" s="18"/>
      <c r="G87" s="19"/>
      <c r="I87" s="201"/>
    </row>
    <row r="88" spans="1:9" ht="16.5" hidden="1" outlineLevel="1" thickBot="1">
      <c r="B88" s="16"/>
      <c r="C88" s="18"/>
      <c r="D88" s="18"/>
      <c r="E88" s="18"/>
      <c r="F88" s="18"/>
      <c r="G88" s="19"/>
      <c r="I88" s="201"/>
    </row>
    <row r="89" spans="1:9" ht="32.1" hidden="1" customHeight="1" outlineLevel="1">
      <c r="B89" s="431" t="str">
        <f>"Scaling Inputs: "&amp;C87</f>
        <v>Scaling Inputs: Metal Carbide on Metal Oxide</v>
      </c>
      <c r="C89" s="432"/>
      <c r="D89" s="432"/>
      <c r="E89" s="432"/>
      <c r="F89" s="432"/>
      <c r="G89" s="433"/>
      <c r="I89" s="201"/>
    </row>
    <row r="90" spans="1:9" hidden="1" outlineLevel="1">
      <c r="B90" s="16"/>
      <c r="C90" s="17" t="s">
        <v>1754</v>
      </c>
      <c r="D90" s="18"/>
      <c r="E90" s="18"/>
      <c r="F90" s="18"/>
      <c r="G90" s="19"/>
      <c r="I90" s="201"/>
    </row>
    <row r="91" spans="1:9" hidden="1" outlineLevel="1">
      <c r="B91" s="16"/>
      <c r="C91" s="138" t="s">
        <v>1755</v>
      </c>
      <c r="D91" s="177">
        <v>1000</v>
      </c>
      <c r="E91" s="48" t="str">
        <f>IF(COUNTBLANK(D92:D94)&gt;0,"select units below",D92&amp;" "&amp;D93&amp;"/"&amp;D94)</f>
        <v>kg catalyst/hour</v>
      </c>
      <c r="F91" s="42" t="s">
        <v>162</v>
      </c>
      <c r="G91" s="19"/>
      <c r="I91" s="201"/>
    </row>
    <row r="92" spans="1:9" hidden="1" outlineLevel="1">
      <c r="B92" s="16"/>
      <c r="C92" s="138"/>
      <c r="D92" s="177" t="s">
        <v>71</v>
      </c>
      <c r="E92" s="48" t="s">
        <v>919</v>
      </c>
      <c r="F92" s="48"/>
      <c r="G92" s="19"/>
      <c r="I92" s="201"/>
    </row>
    <row r="93" spans="1:9" hidden="1" outlineLevel="1">
      <c r="B93" s="16"/>
      <c r="C93" s="138"/>
      <c r="D93" s="177" t="s">
        <v>922</v>
      </c>
      <c r="E93" s="48" t="s">
        <v>921</v>
      </c>
      <c r="F93" s="42" t="s">
        <v>162</v>
      </c>
      <c r="G93" s="19"/>
      <c r="I93" s="201"/>
    </row>
    <row r="94" spans="1:9" hidden="1" outlineLevel="1">
      <c r="B94" s="16"/>
      <c r="C94" s="138"/>
      <c r="D94" s="177" t="s">
        <v>969</v>
      </c>
      <c r="E94" s="48" t="s">
        <v>920</v>
      </c>
      <c r="F94" s="42" t="s">
        <v>162</v>
      </c>
      <c r="G94" s="19"/>
      <c r="I94" s="201"/>
    </row>
    <row r="95" spans="1:9" hidden="1" outlineLevel="1">
      <c r="B95" s="16"/>
      <c r="C95" s="138" t="s">
        <v>1756</v>
      </c>
      <c r="D95" s="49">
        <f>IFERROR(D91*VLOOKUP(D92,UnitConv[],5,FALSE)/VLOOKUP(OutMassUnit,UnitConv[],5,FALSE)*IF(D93="active phase",100/APWeightPercent,1)/CHOOSE(MATCH(D94,{"hour","day","week","month","year"},0),1,24,24*7,7884/12,7884),"-----")</f>
        <v>2204.6226218487759</v>
      </c>
      <c r="E95" s="48" t="str">
        <f>OutMassUnit&amp;" catalyst/hour"</f>
        <v>lb catalyst/hour</v>
      </c>
      <c r="F95" s="48"/>
      <c r="G95" s="19"/>
      <c r="I95" s="201"/>
    </row>
    <row r="96" spans="1:9" hidden="1" outlineLevel="1">
      <c r="B96" s="16"/>
      <c r="C96" s="135"/>
      <c r="D96" s="99"/>
      <c r="E96" s="48"/>
      <c r="F96" s="48"/>
      <c r="G96" s="19"/>
      <c r="I96" s="201"/>
    </row>
    <row r="97" spans="2:21" hidden="1" outlineLevel="1">
      <c r="B97" s="16"/>
      <c r="C97" s="17" t="s">
        <v>1731</v>
      </c>
      <c r="D97" s="18"/>
      <c r="E97" s="18"/>
      <c r="F97" s="18"/>
      <c r="G97" s="19"/>
      <c r="I97" s="201"/>
    </row>
    <row r="98" spans="2:21" hidden="1" outlineLevel="1">
      <c r="B98" s="16"/>
      <c r="C98" s="138" t="s">
        <v>1753</v>
      </c>
      <c r="D98" s="49">
        <f>IF(DesignProductionRate=0,"-----",DesignProductionRate)</f>
        <v>12683.916793505834</v>
      </c>
      <c r="E98" s="48" t="str">
        <f>OutMassUnit&amp;" catalyst/hour"</f>
        <v>lb catalyst/hour</v>
      </c>
      <c r="F98" s="42" t="s">
        <v>162</v>
      </c>
      <c r="G98" s="19"/>
      <c r="I98" s="201"/>
    </row>
    <row r="99" spans="2:21" ht="16.5" hidden="1" outlineLevel="1" thickBot="1">
      <c r="B99" s="16"/>
      <c r="C99" s="18"/>
      <c r="D99" s="305"/>
      <c r="E99" s="18"/>
      <c r="F99" s="18"/>
      <c r="G99" s="19"/>
    </row>
    <row r="100" spans="2:21" s="308" customFormat="1" ht="32.1" hidden="1" customHeight="1" outlineLevel="1">
      <c r="B100" s="431" t="str">
        <f>"Equipment List: "&amp;C87</f>
        <v>Equipment List: Metal Carbide on Metal Oxide</v>
      </c>
      <c r="C100" s="432"/>
      <c r="D100" s="432"/>
      <c r="E100" s="432"/>
      <c r="F100" s="432"/>
      <c r="G100" s="432"/>
      <c r="H100" s="306"/>
      <c r="I100" s="306"/>
      <c r="J100" s="306"/>
      <c r="K100" s="306"/>
      <c r="L100" s="306"/>
      <c r="M100" s="306"/>
      <c r="N100" s="306"/>
      <c r="O100" s="306"/>
      <c r="P100" s="306"/>
      <c r="Q100" s="307"/>
    </row>
    <row r="101" spans="2:21" ht="18.75" hidden="1" outlineLevel="1">
      <c r="B101" s="16"/>
      <c r="C101" s="429" t="s">
        <v>439</v>
      </c>
      <c r="D101" s="429"/>
      <c r="E101" s="429"/>
      <c r="F101" s="429"/>
      <c r="G101" s="429"/>
      <c r="H101" s="429"/>
      <c r="I101" s="429"/>
      <c r="J101" s="73"/>
      <c r="K101" s="429" t="s">
        <v>321</v>
      </c>
      <c r="L101" s="429"/>
      <c r="M101" s="73"/>
      <c r="N101" s="429" t="s">
        <v>322</v>
      </c>
      <c r="O101" s="429"/>
      <c r="P101" s="429"/>
      <c r="Q101" s="19"/>
      <c r="S101" s="430" t="s">
        <v>1007</v>
      </c>
      <c r="T101" s="430"/>
      <c r="U101" s="308"/>
    </row>
    <row r="102" spans="2:21" hidden="1" outlineLevel="1">
      <c r="B102" s="16"/>
      <c r="C102" s="64" t="s">
        <v>306</v>
      </c>
      <c r="D102" s="64" t="s">
        <v>312</v>
      </c>
      <c r="E102" s="64" t="s">
        <v>313</v>
      </c>
      <c r="F102" s="64" t="s">
        <v>309</v>
      </c>
      <c r="G102" s="64" t="s">
        <v>314</v>
      </c>
      <c r="H102" s="64" t="s">
        <v>307</v>
      </c>
      <c r="I102" s="64" t="s">
        <v>308</v>
      </c>
      <c r="J102" s="64"/>
      <c r="K102" s="64" t="s">
        <v>1083</v>
      </c>
      <c r="L102" s="64" t="s">
        <v>1084</v>
      </c>
      <c r="M102" s="64"/>
      <c r="N102" s="64" t="s">
        <v>310</v>
      </c>
      <c r="O102" s="64" t="s">
        <v>358</v>
      </c>
      <c r="P102" s="64" t="s">
        <v>311</v>
      </c>
      <c r="Q102" s="19"/>
      <c r="S102" s="311" t="s">
        <v>306</v>
      </c>
      <c r="T102" s="311" t="s">
        <v>207</v>
      </c>
      <c r="U102" s="308"/>
    </row>
    <row r="103" spans="2:21" hidden="1" outlineLevel="1">
      <c r="B103" s="16"/>
      <c r="C103" s="69" t="s">
        <v>574</v>
      </c>
      <c r="D103" s="70" t="s">
        <v>963</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694.77302536369859</v>
      </c>
      <c r="M103" s="103"/>
      <c r="N103" s="104">
        <f ca="1">IF($K103="","",IFERROR($K103*fnEquipCostCorr*fnEquipCostIndex*fnEquipConstMaterial,""))</f>
        <v>12528.425707052509</v>
      </c>
      <c r="O103" s="105">
        <f ca="1">IFERROR(fnEquipInstFactor*N103,"")</f>
        <v>12528.425707052509</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575</v>
      </c>
      <c r="D104" s="70" t="s">
        <v>964</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2</v>
      </c>
      <c r="L104" s="103">
        <f ca="1">IF(F104*G104=0,"",IFERROR(IF(F104*G104*$D$98/$D$95&lt;VLOOKUP(C104,fnEquipLibRange,3,FALSE),VLOOKUP(C104,fnEquipLibRange,3,FALSE),F104*G104*$D$98/$D$95/MAX(ROUNDUP(F104*G104*$D$98/$D$95/VLOOKUP(C104,fnEquipLibRange,4,FALSE),0),F104)),""))</f>
        <v>277.29976012323061</v>
      </c>
      <c r="M104" s="103"/>
      <c r="N104" s="104">
        <f ca="1">IF($K104="","",IFERROR($K104*fnEquipCostCorr*fnEquipCostIndex*fnEquipConstMaterial,""))</f>
        <v>13178.244976357722</v>
      </c>
      <c r="O104" s="105">
        <f ca="1">IFERROR(fnEquipInstFactor*N104,"")</f>
        <v>22666.581359335283</v>
      </c>
      <c r="P104" s="106">
        <f ca="1">IFERROR(fnEquipLaborFactor*K104,"")</f>
        <v>0.2</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27.558440541603247</v>
      </c>
      <c r="M105" s="103"/>
      <c r="N105" s="104">
        <f ca="1">IF($K105="","",IFERROR($K105*fnEquipCostCorr*fnEquipCostIndex*fnEquipConstMaterial,""))</f>
        <v>409107.29356569715</v>
      </c>
      <c r="O105" s="105">
        <f ca="1">IFERROR(fnEquipInstFactor*N105,"")</f>
        <v>695482.3990616852</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681</v>
      </c>
      <c r="D106" s="70" t="s">
        <v>965</v>
      </c>
      <c r="E106" s="70" t="s">
        <v>685</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41251360.894216128</v>
      </c>
      <c r="M106" s="103"/>
      <c r="N106" s="104">
        <f ca="1">IF($K106="","",IFERROR($K106*fnEquipCostCorr*fnEquipCostIndex*fnEquipConstMaterial,""))</f>
        <v>780448.86964562885</v>
      </c>
      <c r="O106" s="105">
        <f ca="1">IFERROR(fnEquipInstFactor*N106,"")</f>
        <v>1186282.2818613558</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31.470703499492643</v>
      </c>
      <c r="M107" s="103"/>
      <c r="N107" s="104">
        <f ca="1">IF($K107="","",IFERROR($K107*fnEquipCostCorr*fnEquipCostIndex*fnEquipConstMaterial,""))</f>
        <v>449553.7725520205</v>
      </c>
      <c r="O107" s="105">
        <f ca="1">IFERROR(fnEquipInstFactor*N107,"")</f>
        <v>764241.41333843488</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739</v>
      </c>
      <c r="D108" s="70" t="s">
        <v>1010</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14.095653304160326</v>
      </c>
      <c r="M108" s="103"/>
      <c r="N108" s="104">
        <f ca="1">IF($K108="","",IFERROR($K108*fnEquipCostCorr*fnEquipCostIndex*fnEquipConstMaterial,""))</f>
        <v>29792.302521651665</v>
      </c>
      <c r="O108" s="105">
        <f ca="1">IFERROR(fnEquipInstFactor*N108,"")</f>
        <v>47965.607059859183</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678</v>
      </c>
      <c r="D109" s="70" t="s">
        <v>966</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49.536153040334852</v>
      </c>
      <c r="M109" s="103"/>
      <c r="N109" s="104">
        <f ca="1">IF($K109="","",IFERROR($K109*fnEquipCostCorr*fnEquipCostIndex*fnEquipConstMaterial,""))</f>
        <v>61773.781890029954</v>
      </c>
      <c r="O109" s="105">
        <f ca="1">IFERROR(fnEquipInstFactor*N109,"")</f>
        <v>92042.935016144635</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646</v>
      </c>
      <c r="D110" s="70" t="s">
        <v>967</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3808.7740646532525</v>
      </c>
      <c r="O110" s="105">
        <f ca="1">IFERROR(fnEquipInstFactor*N110,"")</f>
        <v>5675.0733563333461</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678</v>
      </c>
      <c r="D111" s="70" t="s">
        <v>1011</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127.60881236174529</v>
      </c>
      <c r="M111" s="103"/>
      <c r="N111" s="104">
        <f ca="1">IF($K111="","",IFERROR($K111*fnEquipCostCorr*fnEquipCostIndex*fnEquipConstMaterial,""))</f>
        <v>122591.78044140707</v>
      </c>
      <c r="O111" s="105">
        <f ca="1">IFERROR(fnEquipInstFactor*N111,"")</f>
        <v>182661.75285769653</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646</v>
      </c>
      <c r="D112" s="70" t="s">
        <v>1012</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277.31040377980719</v>
      </c>
      <c r="M112" s="103"/>
      <c r="N112" s="104">
        <f ca="1">IF($K112="","",IFERROR($K112*fnEquipCostCorr*fnEquipCostIndex*fnEquipConstMaterial,""))</f>
        <v>90895.45683072164</v>
      </c>
      <c r="O112" s="105">
        <f ca="1">IFERROR(fnEquipInstFactor*N112,"")</f>
        <v>135434.23067777525</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783</v>
      </c>
      <c r="D113" s="70" t="s">
        <v>1013</v>
      </c>
      <c r="E113" s="70" t="s">
        <v>786</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17568.362012075089</v>
      </c>
      <c r="M113" s="103"/>
      <c r="N113" s="104">
        <f ca="1">IF($K113="","",IFERROR($K113*fnEquipCostCorr*fnEquipCostIndex*fnEquipConstMaterial,""))</f>
        <v>142555.83309451613</v>
      </c>
      <c r="O113" s="105">
        <f ca="1">IFERROR(fnEquipInstFactor*N113,"")</f>
        <v>206705.95798704837</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473</v>
      </c>
      <c r="D114" s="70" t="s">
        <v>1014</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41689.631229968567</v>
      </c>
      <c r="O114" s="105">
        <f ca="1">IFERROR(fnEquipInstFactor*N114,"")</f>
        <v>79210.299336940268</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766</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2876.663939624556</v>
      </c>
      <c r="M115" s="103"/>
      <c r="N115" s="104">
        <f ca="1">IF($K115="","",IFERROR($K115*fnEquipCostCorr*fnEquipCostIndex*fnEquipConstMaterial,""))</f>
        <v>15068.576417983242</v>
      </c>
      <c r="O115" s="105">
        <f ca="1">IFERROR(fnEquipInstFactor*N115,"")</f>
        <v>28328.923665808492</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766</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11506.655758498224</v>
      </c>
      <c r="M116" s="103"/>
      <c r="N116" s="104">
        <f ca="1">IF($K116="","",IFERROR($K116*fnEquipCostCorr*fnEquipCostIndex*fnEquipConstMaterial,""))</f>
        <v>30685.202980625458</v>
      </c>
      <c r="O116" s="105">
        <f ca="1">IFERROR(fnEquipInstFactor*N116,"")</f>
        <v>57688.18160357586</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766</v>
      </c>
      <c r="D117" s="70" t="s">
        <v>968</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11506.655758498224</v>
      </c>
      <c r="M117" s="103"/>
      <c r="N117" s="104">
        <f ca="1">IF($K117="","",IFERROR($K117*fnEquipCostCorr*fnEquipCostIndex*fnEquipConstMaterial,""))</f>
        <v>30685.202980625458</v>
      </c>
      <c r="O117" s="105">
        <f ca="1">IFERROR(fnEquipInstFactor*N117,"")</f>
        <v>57688.18160357586</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6.5" hidden="1" outlineLevel="1" thickBot="1">
      <c r="B123" s="21"/>
      <c r="C123" s="22"/>
      <c r="D123" s="22"/>
      <c r="E123" s="22"/>
      <c r="F123" s="22"/>
      <c r="G123" s="22"/>
      <c r="H123" s="22"/>
      <c r="I123" s="22"/>
      <c r="J123" s="22"/>
      <c r="K123" s="22"/>
      <c r="L123" s="100"/>
      <c r="M123" s="100"/>
      <c r="N123" s="22"/>
      <c r="O123" s="22"/>
      <c r="P123" s="22"/>
      <c r="Q123" s="23"/>
    </row>
    <row r="124" spans="2:20" ht="32.1" hidden="1" customHeight="1" outlineLevel="1">
      <c r="B124" s="431" t="str">
        <f>"Equipment Cost Totals: "&amp;C87</f>
        <v>Equipment Cost Totals: Metal Carbide on Metal Oxide</v>
      </c>
      <c r="C124" s="432"/>
      <c r="D124" s="432"/>
      <c r="E124" s="433"/>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2234363.1488989391</v>
      </c>
    </row>
    <row r="127" spans="2:20" hidden="1" outlineLevel="1">
      <c r="B127" s="16"/>
      <c r="C127" s="18"/>
      <c r="D127" s="163" t="s">
        <v>358</v>
      </c>
      <c r="E127" s="309">
        <f ca="1">SUM(O103:O122)</f>
        <v>3574602.2444926212</v>
      </c>
    </row>
    <row r="128" spans="2:20" hidden="1" outlineLevel="1">
      <c r="B128" s="16"/>
      <c r="C128" s="18"/>
      <c r="D128" s="163" t="s">
        <v>1004</v>
      </c>
      <c r="E128" s="310">
        <f ca="1">SUM(P103:P122)</f>
        <v>1.7500000000000007</v>
      </c>
    </row>
    <row r="129" spans="1:9" ht="16.5" hidden="1" outlineLevel="1" thickBot="1">
      <c r="B129" s="21"/>
      <c r="C129" s="22"/>
      <c r="D129" s="22"/>
      <c r="E129" s="23"/>
    </row>
    <row r="130" spans="1:9" ht="16.5"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1058</v>
      </c>
      <c r="D133" s="18"/>
      <c r="E133" s="18"/>
      <c r="F133" s="18"/>
      <c r="G133" s="19"/>
      <c r="I133" s="201"/>
    </row>
    <row r="134" spans="1:9" hidden="1" outlineLevel="1">
      <c r="B134" s="16"/>
      <c r="C134" s="18" t="s">
        <v>1008</v>
      </c>
      <c r="D134" s="18"/>
      <c r="E134" s="18"/>
      <c r="F134" s="18"/>
      <c r="G134" s="19"/>
      <c r="I134" s="201"/>
    </row>
    <row r="135" spans="1:9" ht="16.5" hidden="1" outlineLevel="1" thickBot="1">
      <c r="B135" s="16"/>
      <c r="C135" s="18"/>
      <c r="D135" s="18"/>
      <c r="E135" s="18"/>
      <c r="F135" s="18"/>
      <c r="G135" s="19"/>
      <c r="I135" s="201"/>
    </row>
    <row r="136" spans="1:9" ht="32.1" hidden="1" customHeight="1" outlineLevel="1">
      <c r="B136" s="431" t="str">
        <f>"Scaling Inputs: "&amp;C134</f>
        <v>Scaling Inputs: Nanoparticles - Flow Synthesis</v>
      </c>
      <c r="C136" s="432"/>
      <c r="D136" s="432"/>
      <c r="E136" s="432"/>
      <c r="F136" s="432"/>
      <c r="G136" s="433"/>
      <c r="I136" s="201"/>
    </row>
    <row r="137" spans="1:9" hidden="1" outlineLevel="1">
      <c r="B137" s="16"/>
      <c r="C137" s="17" t="s">
        <v>1754</v>
      </c>
      <c r="D137" s="18"/>
      <c r="E137" s="18"/>
      <c r="F137" s="18"/>
      <c r="G137" s="19"/>
      <c r="I137" s="201"/>
    </row>
    <row r="138" spans="1:9" hidden="1" outlineLevel="1">
      <c r="B138" s="16"/>
      <c r="C138" s="138" t="s">
        <v>1755</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919</v>
      </c>
      <c r="F139" s="48"/>
      <c r="G139" s="19"/>
      <c r="I139" s="201"/>
    </row>
    <row r="140" spans="1:9" hidden="1" outlineLevel="1">
      <c r="B140" s="16"/>
      <c r="C140" s="138"/>
      <c r="D140" s="177" t="s">
        <v>1021</v>
      </c>
      <c r="E140" s="48" t="s">
        <v>921</v>
      </c>
      <c r="F140" s="42" t="s">
        <v>162</v>
      </c>
      <c r="G140" s="19"/>
      <c r="I140" s="201"/>
    </row>
    <row r="141" spans="1:9" hidden="1" outlineLevel="1">
      <c r="B141" s="16"/>
      <c r="C141" s="138"/>
      <c r="D141" s="177" t="s">
        <v>969</v>
      </c>
      <c r="E141" s="48" t="s">
        <v>920</v>
      </c>
      <c r="F141" s="42" t="s">
        <v>162</v>
      </c>
      <c r="G141" s="19"/>
      <c r="I141" s="201"/>
    </row>
    <row r="142" spans="1:9" hidden="1" outlineLevel="1">
      <c r="B142" s="16"/>
      <c r="C142" s="138" t="s">
        <v>1756</v>
      </c>
      <c r="D142" s="49">
        <f>IFERROR(D138*VLOOKUP(D139,UnitConv[],5,FALSE)/VLOOKUP(OutMassUnit,UnitConv[],5,FALSE)*IF(D140="active phase",100/APWeightPercent,1)/CHOOSE(MATCH(D141,{"hour","day","week","month","year"},0),1,24,24*7,7884/12,7884),"-----")</f>
        <v>0.17636980974790206</v>
      </c>
      <c r="E142" s="48" t="str">
        <f>OutMassUnit&amp;" catalyst/hour"</f>
        <v>lb catalyst/hour</v>
      </c>
      <c r="F142" s="48"/>
      <c r="G142" s="19"/>
      <c r="I142" s="201"/>
    </row>
    <row r="143" spans="1:9" hidden="1" outlineLevel="1">
      <c r="B143" s="16"/>
      <c r="C143" s="135"/>
      <c r="D143" s="99"/>
      <c r="E143" s="48"/>
      <c r="F143" s="48"/>
      <c r="G143" s="19"/>
      <c r="I143" s="201"/>
    </row>
    <row r="144" spans="1:9" hidden="1" outlineLevel="1">
      <c r="B144" s="16"/>
      <c r="C144" s="17" t="s">
        <v>1731</v>
      </c>
      <c r="D144" s="18"/>
      <c r="E144" s="18"/>
      <c r="F144" s="18"/>
      <c r="G144" s="19"/>
      <c r="I144" s="201"/>
    </row>
    <row r="145" spans="2:21" hidden="1" outlineLevel="1">
      <c r="B145" s="16"/>
      <c r="C145" s="138" t="s">
        <v>1753</v>
      </c>
      <c r="D145" s="49">
        <f>IF(DesignProductionRate=0,"-----",DesignProductionRate)</f>
        <v>12683.916793505834</v>
      </c>
      <c r="E145" s="48" t="str">
        <f>OutMassUnit&amp;" catalyst/hour"</f>
        <v>lb catalyst/hour</v>
      </c>
      <c r="F145" s="42" t="s">
        <v>162</v>
      </c>
      <c r="G145" s="19"/>
      <c r="I145" s="201"/>
    </row>
    <row r="146" spans="2:21" ht="16.5" hidden="1" outlineLevel="1" thickBot="1">
      <c r="B146" s="16"/>
      <c r="C146" s="18"/>
      <c r="D146" s="305"/>
      <c r="E146" s="18"/>
      <c r="F146" s="18"/>
      <c r="G146" s="19"/>
    </row>
    <row r="147" spans="2:21" s="308" customFormat="1" ht="32.1" hidden="1" customHeight="1" outlineLevel="1">
      <c r="B147" s="431" t="str">
        <f>"Equipment List: "&amp;C134</f>
        <v>Equipment List: Nanoparticles - Flow Synthesis</v>
      </c>
      <c r="C147" s="432"/>
      <c r="D147" s="432"/>
      <c r="E147" s="432"/>
      <c r="F147" s="432"/>
      <c r="G147" s="432"/>
      <c r="H147" s="306"/>
      <c r="I147" s="306"/>
      <c r="J147" s="306"/>
      <c r="K147" s="306"/>
      <c r="L147" s="306"/>
      <c r="M147" s="306"/>
      <c r="N147" s="306"/>
      <c r="O147" s="306"/>
      <c r="P147" s="306"/>
      <c r="Q147" s="307"/>
    </row>
    <row r="148" spans="2:21" ht="18.75" hidden="1" outlineLevel="1">
      <c r="B148" s="16"/>
      <c r="C148" s="429" t="s">
        <v>439</v>
      </c>
      <c r="D148" s="429"/>
      <c r="E148" s="429"/>
      <c r="F148" s="429"/>
      <c r="G148" s="429"/>
      <c r="H148" s="429"/>
      <c r="I148" s="429"/>
      <c r="J148" s="73"/>
      <c r="K148" s="429" t="s">
        <v>321</v>
      </c>
      <c r="L148" s="429"/>
      <c r="M148" s="73"/>
      <c r="N148" s="429" t="s">
        <v>322</v>
      </c>
      <c r="O148" s="429"/>
      <c r="P148" s="429"/>
      <c r="Q148" s="19"/>
      <c r="S148" s="430" t="s">
        <v>1007</v>
      </c>
      <c r="T148" s="430"/>
      <c r="U148" s="308"/>
    </row>
    <row r="149" spans="2:21" hidden="1" outlineLevel="1">
      <c r="B149" s="16"/>
      <c r="C149" s="64" t="s">
        <v>306</v>
      </c>
      <c r="D149" s="64" t="s">
        <v>312</v>
      </c>
      <c r="E149" s="64" t="s">
        <v>313</v>
      </c>
      <c r="F149" s="64" t="s">
        <v>309</v>
      </c>
      <c r="G149" s="64" t="s">
        <v>314</v>
      </c>
      <c r="H149" s="64" t="s">
        <v>307</v>
      </c>
      <c r="I149" s="64" t="s">
        <v>308</v>
      </c>
      <c r="J149" s="64"/>
      <c r="K149" s="64" t="s">
        <v>1083</v>
      </c>
      <c r="L149" s="64" t="s">
        <v>1084</v>
      </c>
      <c r="M149" s="64"/>
      <c r="N149" s="64" t="s">
        <v>310</v>
      </c>
      <c r="O149" s="64" t="s">
        <v>358</v>
      </c>
      <c r="P149" s="64" t="s">
        <v>311</v>
      </c>
      <c r="Q149" s="19"/>
      <c r="S149" s="311" t="s">
        <v>306</v>
      </c>
      <c r="T149" s="311" t="s">
        <v>207</v>
      </c>
      <c r="U149" s="308"/>
    </row>
    <row r="150" spans="2:21" hidden="1" outlineLevel="1">
      <c r="B150" s="16"/>
      <c r="C150" s="69" t="s">
        <v>814</v>
      </c>
      <c r="D150" s="70"/>
      <c r="E150" s="70" t="s">
        <v>785</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71917</v>
      </c>
      <c r="L150" s="103">
        <f ca="1">IF(F150*G150=0,"",IFERROR(IF(F150*G150*$D$145/$D$142&lt;VLOOKUP(C150,fnEquipLibRange,3,FALSE),VLOOKUP(C150,fnEquipLibRange,3,FALSE),F150*G150*$D$145/$D$142/MAX(ROUNDUP(F150*G150*$D$145/$D$142/VLOOKUP(C150,fnEquipLibRange,4,FALSE),0),F150)),""))</f>
        <v>0.99999441704484204</v>
      </c>
      <c r="M150" s="103"/>
      <c r="N150" s="104">
        <f ca="1">IF($K150="","",IFERROR($K150*fnEquipCostCorr*fnEquipCostIndex*fnEquipConstMaterial,""))</f>
        <v>1235250443.6619718</v>
      </c>
      <c r="O150" s="105">
        <f ca="1">IFERROR(fnEquipInstFactor*N150,"")</f>
        <v>1235250443.6619718</v>
      </c>
      <c r="P150" s="106">
        <f ca="1">IFERROR(fnEquipLaborFactor*K150,"")</f>
        <v>17979.25</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799</v>
      </c>
      <c r="D151" s="70"/>
      <c r="E151" s="70" t="s">
        <v>785</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1150666</v>
      </c>
      <c r="L151" s="103">
        <f ca="1">IF(F151*G151=0,"",IFERROR(IF(F151*G151*$D$145/$D$142&lt;VLOOKUP(C151,fnEquipLibRange,3,FALSE),VLOOKUP(C151,fnEquipLibRange,3,FALSE),F151*G151*$D$145/$D$142/MAX(ROUNDUP(F151*G151*$D$145/$D$142/VLOOKUP(C151,fnEquipLibRange,4,FALSE),0),F151)),""))</f>
        <v>0.99999963138723358</v>
      </c>
      <c r="M151" s="103"/>
      <c r="N151" s="104">
        <f ca="1">IF($K151="","",IFERROR($K151*fnEquipCostCorr*fnEquipCostIndex*fnEquipConstMaterial,""))</f>
        <v>101026489.49598593</v>
      </c>
      <c r="O151" s="105">
        <f ca="1">IFERROR(fnEquipInstFactor*N151,"")</f>
        <v>101026489.49598593</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800</v>
      </c>
      <c r="D152" s="70"/>
      <c r="E152" s="70" t="s">
        <v>785</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1150666</v>
      </c>
      <c r="L152" s="103">
        <f ca="1">IF(F152*G152=0,"",IFERROR(IF(F152*G152*$D$145/$D$142&lt;VLOOKUP(C152,fnEquipLibRange,3,FALSE),VLOOKUP(C152,fnEquipLibRange,3,FALSE),F152*G152*$D$145/$D$142/MAX(ROUNDUP(F152*G152*$D$145/$D$142/VLOOKUP(C152,fnEquipLibRange,4,FALSE),0),F152)),""))</f>
        <v>0.99999963138723358</v>
      </c>
      <c r="M152" s="103"/>
      <c r="N152" s="104">
        <f ca="1">IF($K152="","",IFERROR($K152*fnEquipCostCorr*fnEquipCostIndex*fnEquipConstMaterial,""))</f>
        <v>66055359.28788732</v>
      </c>
      <c r="O152" s="105">
        <f ca="1">IFERROR(fnEquipInstFactor*N152,"")</f>
        <v>66055359.28788732</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801</v>
      </c>
      <c r="D153" s="70"/>
      <c r="E153" s="70" t="s">
        <v>785</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71917</v>
      </c>
      <c r="L153" s="103">
        <f ca="1">IF(F153*G153=0,"",IFERROR(IF(F153*G153*$D$145/$D$142&lt;VLOOKUP(C153,fnEquipLibRange,3,FALSE),VLOOKUP(C153,fnEquipLibRange,3,FALSE),F153*G153*$D$145/$D$142/MAX(ROUNDUP(F153*G153*$D$145/$D$142/VLOOKUP(C153,fnEquipLibRange,4,FALSE),0),F153)),""))</f>
        <v>0.99999441704484204</v>
      </c>
      <c r="M153" s="103"/>
      <c r="N153" s="104">
        <f ca="1">IF($K153="","",IFERROR($K153*fnEquipCostCorr*fnEquipCostIndex*fnEquipConstMaterial,""))</f>
        <v>6758878.6775704222</v>
      </c>
      <c r="O153" s="105">
        <f ca="1">IFERROR(fnEquipInstFactor*N153,"")</f>
        <v>6758878.6775704222</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802</v>
      </c>
      <c r="D154" s="70"/>
      <c r="E154" s="70" t="s">
        <v>785</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71917</v>
      </c>
      <c r="L154" s="103">
        <f ca="1">IF(F154*G154=0,"",IFERROR(IF(F154*G154*$D$145/$D$142&lt;VLOOKUP(C154,fnEquipLibRange,3,FALSE),VLOOKUP(C154,fnEquipLibRange,3,FALSE),F154*G154*$D$145/$D$142/MAX(ROUNDUP(F154*G154*$D$145/$D$142/VLOOKUP(C154,fnEquipLibRange,4,FALSE),0),F154)),""))</f>
        <v>0.99999441704484204</v>
      </c>
      <c r="M154" s="103"/>
      <c r="N154" s="104">
        <f ca="1">IF($K154="","",IFERROR($K154*fnEquipCostCorr*fnEquipCostIndex*fnEquipConstMaterial,""))</f>
        <v>4651404.1706338022</v>
      </c>
      <c r="O154" s="105">
        <f ca="1">IFERROR(fnEquipInstFactor*N154,"")</f>
        <v>4651404.1706338022</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803</v>
      </c>
      <c r="D155" s="70"/>
      <c r="E155" s="70" t="s">
        <v>785</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1150666</v>
      </c>
      <c r="L155" s="103">
        <f ca="1">IF(F155*G155=0,"",IFERROR(IF(F155*G155*$D$145/$D$142&lt;VLOOKUP(C155,fnEquipLibRange,3,FALSE),VLOOKUP(C155,fnEquipLibRange,3,FALSE),F155*G155*$D$145/$D$142/MAX(ROUNDUP(F155*G155*$D$145/$D$142/VLOOKUP(C155,fnEquipLibRange,4,FALSE),0),F155)),""))</f>
        <v>0.99999963138723358</v>
      </c>
      <c r="M155" s="103"/>
      <c r="N155" s="104">
        <f ca="1">IF($K155="","",IFERROR($K155*fnEquipCostCorr*fnEquipCostIndex*fnEquipConstMaterial,""))</f>
        <v>40406203.819718301</v>
      </c>
      <c r="O155" s="105">
        <f ca="1">IFERROR(fnEquipInstFactor*N155,"")</f>
        <v>40406203.819718301</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811</v>
      </c>
      <c r="D156" s="70"/>
      <c r="E156" s="70" t="s">
        <v>785</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1150666</v>
      </c>
      <c r="L156" s="103">
        <f ca="1">IF(F156*G156=0,"",IFERROR(IF(F156*G156*$D$145/$D$142&lt;VLOOKUP(C156,fnEquipLibRange,3,FALSE),VLOOKUP(C156,fnEquipLibRange,3,FALSE),F156*G156*$D$145/$D$142/MAX(ROUNDUP(F156*G156*$D$145/$D$142/VLOOKUP(C156,fnEquipLibRange,4,FALSE),0),F156)),""))</f>
        <v>0.99999963138723358</v>
      </c>
      <c r="M156" s="103"/>
      <c r="N156" s="104">
        <f ca="1">IF($K156="","",IFERROR($K156*fnEquipCostCorr*fnEquipCostIndex*fnEquipConstMaterial,""))</f>
        <v>4611577.6098591546</v>
      </c>
      <c r="O156" s="105">
        <f ca="1">IFERROR(fnEquipInstFactor*N156,"")</f>
        <v>4611577.6098591546</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805</v>
      </c>
      <c r="D157" s="70"/>
      <c r="E157" s="70" t="s">
        <v>785</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1150666</v>
      </c>
      <c r="L157" s="103">
        <f ca="1">IF(F157*G157=0,"",IFERROR(IF(F157*G157*$D$145/$D$142&lt;VLOOKUP(C157,fnEquipLibRange,3,FALSE),VLOOKUP(C157,fnEquipLibRange,3,FALSE),F157*G157*$D$145/$D$142/MAX(ROUNDUP(F157*G157*$D$145/$D$142/VLOOKUP(C157,fnEquipLibRange,4,FALSE),0),F157)),""))</f>
        <v>0.99999963138723358</v>
      </c>
      <c r="M157" s="103"/>
      <c r="N157" s="104">
        <f ca="1">IF($K157="","",IFERROR($K157*fnEquipCostCorr*fnEquipCostIndex*fnEquipConstMaterial,""))</f>
        <v>1048584908.9084506</v>
      </c>
      <c r="O157" s="105">
        <f ca="1">IFERROR(fnEquipInstFactor*N157,"")</f>
        <v>1048584908.9084506</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806</v>
      </c>
      <c r="D158" s="70"/>
      <c r="E158" s="70" t="s">
        <v>785</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1150666</v>
      </c>
      <c r="L158" s="103">
        <f ca="1">IF(F158*G158=0,"",IFERROR(IF(F158*G158*$D$145/$D$142&lt;VLOOKUP(C158,fnEquipLibRange,3,FALSE),VLOOKUP(C158,fnEquipLibRange,3,FALSE),F158*G158*$D$145/$D$142/MAX(ROUNDUP(F158*G158*$D$145/$D$142/VLOOKUP(C158,fnEquipLibRange,4,FALSE),0),F158)),""))</f>
        <v>0.99999963138723358</v>
      </c>
      <c r="M158" s="103"/>
      <c r="N158" s="104">
        <f ca="1">IF($K158="","",IFERROR($K158*fnEquipCostCorr*fnEquipCostIndex*fnEquipConstMaterial,""))</f>
        <v>74663637.492957741</v>
      </c>
      <c r="O158" s="105">
        <f ca="1">IFERROR(fnEquipInstFactor*N158,"")</f>
        <v>74663637.492957741</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807</v>
      </c>
      <c r="D159" s="70"/>
      <c r="E159" s="70" t="s">
        <v>785</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1150666</v>
      </c>
      <c r="L159" s="103">
        <f ca="1">IF(F159*G159=0,"",IFERROR(IF(F159*G159*$D$145/$D$142&lt;VLOOKUP(C159,fnEquipLibRange,3,FALSE),VLOOKUP(C159,fnEquipLibRange,3,FALSE),F159*G159*$D$145/$D$142/MAX(ROUNDUP(F159*G159*$D$145/$D$142/VLOOKUP(C159,fnEquipLibRange,4,FALSE),0),F159)),""))</f>
        <v>0.99999963138723358</v>
      </c>
      <c r="M159" s="103"/>
      <c r="N159" s="104">
        <f ca="1">IF($K159="","",IFERROR($K159*fnEquipCostCorr*fnEquipCostIndex*fnEquipConstMaterial,""))</f>
        <v>147131285.64788732</v>
      </c>
      <c r="O159" s="105">
        <f ca="1">IFERROR(fnEquipInstFactor*N159,"")</f>
        <v>147131285.64788732</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808</v>
      </c>
      <c r="D160" s="70"/>
      <c r="E160" s="70" t="s">
        <v>785</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1150666</v>
      </c>
      <c r="L160" s="103">
        <f ca="1">IF(F160*G160=0,"",IFERROR(IF(F160*G160*$D$145/$D$142&lt;VLOOKUP(C160,fnEquipLibRange,3,FALSE),VLOOKUP(C160,fnEquipLibRange,3,FALSE),F160*G160*$D$145/$D$142/MAX(ROUNDUP(F160*G160*$D$145/$D$142/VLOOKUP(C160,fnEquipLibRange,4,FALSE),0),F160)),""))</f>
        <v>0.99999963138723358</v>
      </c>
      <c r="M160" s="103"/>
      <c r="N160" s="104">
        <f ca="1">IF($K160="","",IFERROR($K160*fnEquipCostCorr*fnEquipCostIndex*fnEquipConstMaterial,""))</f>
        <v>451275808.96478873</v>
      </c>
      <c r="O160" s="105">
        <f ca="1">IFERROR(fnEquipInstFactor*N160,"")</f>
        <v>451275808.96478873</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816</v>
      </c>
      <c r="D161" s="70"/>
      <c r="E161" s="70" t="s">
        <v>785</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1150666</v>
      </c>
      <c r="L161" s="103">
        <f ca="1">IF(F161*G161=0,"",IFERROR(IF(F161*G161*$D$145/$D$142&lt;VLOOKUP(C161,fnEquipLibRange,3,FALSE),VLOOKUP(C161,fnEquipLibRange,3,FALSE),F161*G161*$D$145/$D$142/MAX(ROUNDUP(F161*G161*$D$145/$D$142/VLOOKUP(C161,fnEquipLibRange,4,FALSE),0),F161)),""))</f>
        <v>0.99999963138723358</v>
      </c>
      <c r="M161" s="103"/>
      <c r="N161" s="104">
        <f ca="1">IF($K161="","",IFERROR($K161*fnEquipCostCorr*fnEquipCostIndex*fnEquipConstMaterial,""))</f>
        <v>16469920.035211267</v>
      </c>
      <c r="O161" s="105">
        <f ca="1">IFERROR(fnEquipInstFactor*N161,"")</f>
        <v>16469920.035211267</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817</v>
      </c>
      <c r="D162" s="70"/>
      <c r="E162" s="70" t="s">
        <v>785</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1150666</v>
      </c>
      <c r="L162" s="103">
        <f ca="1">IF(F162*G162=0,"",IFERROR(IF(F162*G162*$D$145/$D$142&lt;VLOOKUP(C162,fnEquipLibRange,3,FALSE),VLOOKUP(C162,fnEquipLibRange,3,FALSE),F162*G162*$D$145/$D$142/MAX(ROUNDUP(F162*G162*$D$145/$D$142/VLOOKUP(C162,fnEquipLibRange,4,FALSE),0),F162)),""))</f>
        <v>0.99999963138723358</v>
      </c>
      <c r="M162" s="103"/>
      <c r="N162" s="104">
        <f ca="1">IF($K162="","",IFERROR($K162*fnEquipCostCorr*fnEquipCostIndex*fnEquipConstMaterial,""))</f>
        <v>54899733.450704224</v>
      </c>
      <c r="O162" s="105">
        <f ca="1">IFERROR(fnEquipInstFactor*N162,"")</f>
        <v>54899733.450704224</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810</v>
      </c>
      <c r="D163" s="70"/>
      <c r="E163" s="70" t="s">
        <v>785</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143833.19698122781</v>
      </c>
      <c r="M163" s="103"/>
      <c r="N163" s="104">
        <f ca="1">IF($K163="","",IFERROR($K163*fnEquipCostCorr*fnEquipCostIndex*fnEquipConstMaterial,""))</f>
        <v>8234.9569820942397</v>
      </c>
      <c r="O163" s="105">
        <f ca="1">IFERROR(fnEquipInstFactor*N163,"")</f>
        <v>8234.9569820942397</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1017</v>
      </c>
      <c r="D164" s="70"/>
      <c r="E164" s="70" t="s">
        <v>785</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71917</v>
      </c>
      <c r="L164" s="103">
        <f ca="1">IF(F164*G164=0,"",IFERROR(IF(F164*G164*$D$145/$D$142&lt;VLOOKUP(C164,fnEquipLibRange,3,FALSE),VLOOKUP(C164,fnEquipLibRange,3,FALSE),F164*G164*$D$145/$D$142/MAX(ROUNDUP(F164*G164*$D$145/$D$142/VLOOKUP(C164,fnEquipLibRange,4,FALSE),0),F164)),""))</f>
        <v>0.99999441704484204</v>
      </c>
      <c r="M164" s="103"/>
      <c r="N164" s="104">
        <f ca="1">IF($K164="","",IFERROR($K164*fnEquipCostCorr*fnEquipCostIndex*fnEquipConstMaterial,""))</f>
        <v>171562561.61971831</v>
      </c>
      <c r="O164" s="105">
        <f ca="1">IFERROR(fnEquipInstFactor*N164,"")</f>
        <v>171562561.61971831</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6.5" hidden="1" outlineLevel="1" thickBot="1">
      <c r="B170" s="21"/>
      <c r="C170" s="22"/>
      <c r="D170" s="22"/>
      <c r="E170" s="22"/>
      <c r="F170" s="22"/>
      <c r="G170" s="22"/>
      <c r="H170" s="22"/>
      <c r="I170" s="22"/>
      <c r="J170" s="22"/>
      <c r="K170" s="22"/>
      <c r="L170" s="100"/>
      <c r="M170" s="100"/>
      <c r="N170" s="22"/>
      <c r="O170" s="22"/>
      <c r="P170" s="22"/>
      <c r="Q170" s="23"/>
    </row>
    <row r="171" spans="2:20" ht="32.1" hidden="1" customHeight="1" outlineLevel="1">
      <c r="B171" s="431" t="str">
        <f>"Equipment Cost Totals: "&amp;C134</f>
        <v>Equipment Cost Totals: Nanoparticles - Flow Synthesis</v>
      </c>
      <c r="C171" s="432"/>
      <c r="D171" s="432"/>
      <c r="E171" s="433"/>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3423356447.8003263</v>
      </c>
    </row>
    <row r="174" spans="2:20" hidden="1" outlineLevel="1">
      <c r="B174" s="16"/>
      <c r="C174" s="18"/>
      <c r="D174" s="163" t="s">
        <v>358</v>
      </c>
      <c r="E174" s="309">
        <f ca="1">SUM(O150:O169)</f>
        <v>3423356447.8003263</v>
      </c>
    </row>
    <row r="175" spans="2:20" hidden="1" outlineLevel="1">
      <c r="B175" s="16"/>
      <c r="C175" s="18"/>
      <c r="D175" s="163" t="s">
        <v>1004</v>
      </c>
      <c r="E175" s="310">
        <f ca="1">SUM(P150:P169)</f>
        <v>17979.25</v>
      </c>
    </row>
    <row r="176" spans="2:20" ht="16.5" hidden="1" outlineLevel="1" thickBot="1">
      <c r="B176" s="21"/>
      <c r="C176" s="22"/>
      <c r="D176" s="22"/>
      <c r="E176" s="23"/>
    </row>
    <row r="177" spans="1:9" ht="16.5"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1058</v>
      </c>
      <c r="D180" s="18"/>
      <c r="E180" s="18"/>
      <c r="F180" s="18"/>
      <c r="G180" s="19"/>
      <c r="I180" s="201"/>
    </row>
    <row r="181" spans="1:9" hidden="1" outlineLevel="1">
      <c r="B181" s="16"/>
      <c r="C181" s="18" t="s">
        <v>1009</v>
      </c>
      <c r="D181" s="18"/>
      <c r="E181" s="18"/>
      <c r="F181" s="18"/>
      <c r="G181" s="19"/>
      <c r="I181" s="201"/>
    </row>
    <row r="182" spans="1:9" ht="16.5" hidden="1" outlineLevel="1" thickBot="1">
      <c r="B182" s="16"/>
      <c r="C182" s="18"/>
      <c r="D182" s="18"/>
      <c r="E182" s="18"/>
      <c r="F182" s="18"/>
      <c r="G182" s="19"/>
      <c r="I182" s="201"/>
    </row>
    <row r="183" spans="1:9" ht="32.1" hidden="1" customHeight="1" outlineLevel="1">
      <c r="B183" s="431" t="str">
        <f>"Scaling Inputs: "&amp;C181</f>
        <v>Scaling Inputs: Wet Impregnation - Metal on Metal Oxide</v>
      </c>
      <c r="C183" s="432"/>
      <c r="D183" s="432"/>
      <c r="E183" s="432"/>
      <c r="F183" s="432"/>
      <c r="G183" s="433"/>
      <c r="I183" s="201"/>
    </row>
    <row r="184" spans="1:9" hidden="1" outlineLevel="1">
      <c r="B184" s="16"/>
      <c r="C184" s="17" t="s">
        <v>1754</v>
      </c>
      <c r="D184" s="18"/>
      <c r="E184" s="18"/>
      <c r="F184" s="18"/>
      <c r="G184" s="19"/>
      <c r="I184" s="201"/>
    </row>
    <row r="185" spans="1:9" hidden="1" outlineLevel="1">
      <c r="B185" s="16"/>
      <c r="C185" s="138" t="s">
        <v>1755</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919</v>
      </c>
      <c r="F186" s="48"/>
      <c r="G186" s="19"/>
      <c r="I186" s="201"/>
    </row>
    <row r="187" spans="1:9" hidden="1" outlineLevel="1">
      <c r="B187" s="16"/>
      <c r="C187" s="138"/>
      <c r="D187" s="177" t="s">
        <v>922</v>
      </c>
      <c r="E187" s="48" t="s">
        <v>921</v>
      </c>
      <c r="F187" s="42" t="s">
        <v>162</v>
      </c>
      <c r="G187" s="19"/>
      <c r="I187" s="201"/>
    </row>
    <row r="188" spans="1:9" hidden="1" outlineLevel="1">
      <c r="B188" s="16"/>
      <c r="C188" s="138"/>
      <c r="D188" s="177" t="s">
        <v>969</v>
      </c>
      <c r="E188" s="48" t="s">
        <v>920</v>
      </c>
      <c r="F188" s="42" t="s">
        <v>162</v>
      </c>
      <c r="G188" s="19"/>
      <c r="I188" s="201"/>
    </row>
    <row r="189" spans="1:9" hidden="1" outlineLevel="1">
      <c r="B189" s="16"/>
      <c r="C189" s="138" t="s">
        <v>1756</v>
      </c>
      <c r="D189" s="49">
        <f>IFERROR(D185*VLOOKUP(D186,UnitConv[],5,FALSE)/VLOOKUP(OutMassUnit,UnitConv[],5,FALSE)*IF(D187="active phase",100/APWeightPercent,1)/CHOOSE(MATCH(D188,{"hour","day","week","month","year"},0),1,24,24*7,7884/12,7884),"-----")</f>
        <v>2204.6226218487759</v>
      </c>
      <c r="E189" s="48" t="str">
        <f>OutMassUnit&amp;" catalyst/hour"</f>
        <v>lb catalyst/hour</v>
      </c>
      <c r="F189" s="48"/>
      <c r="G189" s="19"/>
      <c r="I189" s="201"/>
    </row>
    <row r="190" spans="1:9" hidden="1" outlineLevel="1">
      <c r="B190" s="16"/>
      <c r="C190" s="135"/>
      <c r="D190" s="99"/>
      <c r="E190" s="48"/>
      <c r="F190" s="48"/>
      <c r="G190" s="19"/>
      <c r="I190" s="201"/>
    </row>
    <row r="191" spans="1:9" hidden="1" outlineLevel="1">
      <c r="B191" s="16"/>
      <c r="C191" s="17" t="s">
        <v>1731</v>
      </c>
      <c r="D191" s="18"/>
      <c r="E191" s="18"/>
      <c r="F191" s="18"/>
      <c r="G191" s="19"/>
      <c r="I191" s="201"/>
    </row>
    <row r="192" spans="1:9" hidden="1" outlineLevel="1">
      <c r="B192" s="16"/>
      <c r="C192" s="138" t="s">
        <v>1753</v>
      </c>
      <c r="D192" s="49">
        <f>IF(DesignProductionRate=0,"-----",DesignProductionRate)</f>
        <v>12683.916793505834</v>
      </c>
      <c r="E192" s="48" t="str">
        <f>OutMassUnit&amp;" catalyst/hour"</f>
        <v>lb catalyst/hour</v>
      </c>
      <c r="F192" s="42" t="s">
        <v>162</v>
      </c>
      <c r="G192" s="19"/>
      <c r="I192" s="201"/>
    </row>
    <row r="193" spans="2:21" ht="16.5" hidden="1" outlineLevel="1" thickBot="1">
      <c r="B193" s="16"/>
      <c r="C193" s="18"/>
      <c r="D193" s="305"/>
      <c r="E193" s="18"/>
      <c r="F193" s="18"/>
      <c r="G193" s="19"/>
    </row>
    <row r="194" spans="2:21" s="308" customFormat="1" ht="32.1" hidden="1" customHeight="1" outlineLevel="1">
      <c r="B194" s="431" t="str">
        <f>"Equipment List: "&amp;C181</f>
        <v>Equipment List: Wet Impregnation - Metal on Metal Oxide</v>
      </c>
      <c r="C194" s="432"/>
      <c r="D194" s="432"/>
      <c r="E194" s="432"/>
      <c r="F194" s="432"/>
      <c r="G194" s="432"/>
      <c r="H194" s="306"/>
      <c r="I194" s="306"/>
      <c r="J194" s="306"/>
      <c r="K194" s="306"/>
      <c r="L194" s="306"/>
      <c r="M194" s="306"/>
      <c r="N194" s="306"/>
      <c r="O194" s="306"/>
      <c r="P194" s="306"/>
      <c r="Q194" s="307"/>
    </row>
    <row r="195" spans="2:21" ht="18.75" hidden="1" outlineLevel="1">
      <c r="B195" s="16"/>
      <c r="C195" s="429" t="s">
        <v>439</v>
      </c>
      <c r="D195" s="429"/>
      <c r="E195" s="429"/>
      <c r="F195" s="429"/>
      <c r="G195" s="429"/>
      <c r="H195" s="429"/>
      <c r="I195" s="429"/>
      <c r="J195" s="73"/>
      <c r="K195" s="429" t="s">
        <v>321</v>
      </c>
      <c r="L195" s="429"/>
      <c r="M195" s="73"/>
      <c r="N195" s="429" t="s">
        <v>322</v>
      </c>
      <c r="O195" s="429"/>
      <c r="P195" s="429"/>
      <c r="Q195" s="19"/>
      <c r="S195" s="430" t="s">
        <v>1007</v>
      </c>
      <c r="T195" s="430"/>
      <c r="U195" s="308"/>
    </row>
    <row r="196" spans="2:21" hidden="1" outlineLevel="1">
      <c r="B196" s="16"/>
      <c r="C196" s="64" t="s">
        <v>306</v>
      </c>
      <c r="D196" s="64" t="s">
        <v>312</v>
      </c>
      <c r="E196" s="64" t="s">
        <v>313</v>
      </c>
      <c r="F196" s="64" t="s">
        <v>309</v>
      </c>
      <c r="G196" s="64" t="s">
        <v>314</v>
      </c>
      <c r="H196" s="64" t="s">
        <v>307</v>
      </c>
      <c r="I196" s="64" t="s">
        <v>308</v>
      </c>
      <c r="J196" s="64"/>
      <c r="K196" s="64" t="s">
        <v>1083</v>
      </c>
      <c r="L196" s="64" t="s">
        <v>1084</v>
      </c>
      <c r="M196" s="64"/>
      <c r="N196" s="64" t="s">
        <v>310</v>
      </c>
      <c r="O196" s="64" t="s">
        <v>358</v>
      </c>
      <c r="P196" s="64" t="s">
        <v>311</v>
      </c>
      <c r="Q196" s="19"/>
      <c r="S196" s="311" t="s">
        <v>306</v>
      </c>
      <c r="T196" s="311" t="s">
        <v>207</v>
      </c>
      <c r="U196" s="308"/>
    </row>
    <row r="197" spans="2:21" hidden="1" outlineLevel="1">
      <c r="B197" s="16"/>
      <c r="C197" s="69" t="s">
        <v>574</v>
      </c>
      <c r="D197" s="70" t="s">
        <v>963</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306.75651119859208</v>
      </c>
      <c r="M197" s="103"/>
      <c r="N197" s="104">
        <f ca="1">IF($K197="","",IFERROR($K197*fnEquipCostCorr*fnEquipCostIndex*fnEquipConstMaterial,""))</f>
        <v>8601.4939647616429</v>
      </c>
      <c r="O197" s="105">
        <f ca="1">IFERROR(fnEquipInstFactor*N197,"")</f>
        <v>8601.4939647616429</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575</v>
      </c>
      <c r="D198" s="70" t="s">
        <v>964</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205.18150749044901</v>
      </c>
      <c r="M198" s="103"/>
      <c r="N198" s="104">
        <f ca="1">IF($K198="","",IFERROR($K198*fnEquipCostCorr*fnEquipCostIndex*fnEquipConstMaterial,""))</f>
        <v>5876.5075090451064</v>
      </c>
      <c r="O198" s="105">
        <f ca="1">IFERROR(fnEquipInstFactor*N198,"")</f>
        <v>10107.592915557583</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13.635387073820397</v>
      </c>
      <c r="M199" s="103"/>
      <c r="N199" s="104">
        <f ca="1">IF($K199="","",IFERROR($K199*fnEquipCostCorr*fnEquipCostIndex*fnEquipConstMaterial,""))</f>
        <v>253717.63880967343</v>
      </c>
      <c r="O199" s="105">
        <f ca="1">IFERROR(fnEquipInstFactor*N199,"")</f>
        <v>431319.98597644485</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17.087383801369864</v>
      </c>
      <c r="M200" s="103"/>
      <c r="N200" s="104">
        <f ca="1">IF($K200="","",IFERROR($K200*fnEquipCostCorr*fnEquipCostIndex*fnEquipConstMaterial,""))</f>
        <v>294398.3089185743</v>
      </c>
      <c r="O200" s="105">
        <f ca="1">IFERROR(fnEquipInstFactor*N200,"")</f>
        <v>500477.12516157632</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739</v>
      </c>
      <c r="D201" s="70" t="s">
        <v>965</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29348.595495532969</v>
      </c>
      <c r="O201" s="105">
        <f ca="1">IFERROR(fnEquipInstFactor*N201,"")</f>
        <v>47251.238747808085</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678</v>
      </c>
      <c r="D202" s="70" t="s">
        <v>966</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493.63553203957372</v>
      </c>
      <c r="M202" s="103"/>
      <c r="N202" s="104">
        <f ca="1">IF($K202="","",IFERROR($K202*fnEquipCostCorr*fnEquipCostIndex*fnEquipConstMaterial,""))</f>
        <v>326592.53244416125</v>
      </c>
      <c r="O202" s="105">
        <f ca="1">IFERROR(fnEquipInstFactor*N202,"")</f>
        <v>486622.87334180024</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640</v>
      </c>
      <c r="D203" s="70" t="s">
        <v>967</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1435.0088395335745</v>
      </c>
      <c r="O203" s="105">
        <f ca="1">IFERROR(fnEquipInstFactor*N203,"")</f>
        <v>2310.364231649055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766</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1150.6655758498223</v>
      </c>
      <c r="M204" s="103"/>
      <c r="N204" s="104">
        <f ca="1">IF($K204="","",IFERROR($K204*fnEquipCostCorr*fnEquipCostIndex*fnEquipConstMaterial,""))</f>
        <v>9417.3562665785375</v>
      </c>
      <c r="O204" s="105">
        <f ca="1">IFERROR(fnEquipInstFactor*N204,"")</f>
        <v>17704.629781167649</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766</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11506.655758498224</v>
      </c>
      <c r="M205" s="103"/>
      <c r="N205" s="104">
        <f ca="1">IF($K205="","",IFERROR($K205*fnEquipCostCorr*fnEquipCostIndex*fnEquipConstMaterial,""))</f>
        <v>30685.202980625458</v>
      </c>
      <c r="O205" s="105">
        <f ca="1">IFERROR(fnEquipInstFactor*N205,"")</f>
        <v>57688.18160357586</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766</v>
      </c>
      <c r="D206" s="70" t="s">
        <v>968</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11506.655758498224</v>
      </c>
      <c r="M206" s="103"/>
      <c r="N206" s="104">
        <f ca="1">IF($K206="","",IFERROR($K206*fnEquipCostCorr*fnEquipCostIndex*fnEquipConstMaterial,""))</f>
        <v>30685.202980625458</v>
      </c>
      <c r="O206" s="105">
        <f ca="1">IFERROR(fnEquipInstFactor*N206,"")</f>
        <v>57688.18160357586</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6.5" hidden="1" outlineLevel="1" thickBot="1">
      <c r="B212" s="21"/>
      <c r="C212" s="22"/>
      <c r="D212" s="22"/>
      <c r="E212" s="22"/>
      <c r="F212" s="22"/>
      <c r="G212" s="22"/>
      <c r="H212" s="22"/>
      <c r="I212" s="22"/>
      <c r="J212" s="22"/>
      <c r="K212" s="22"/>
      <c r="L212" s="100"/>
      <c r="M212" s="100"/>
      <c r="N212" s="22"/>
      <c r="O212" s="22"/>
      <c r="P212" s="22"/>
      <c r="Q212" s="23"/>
    </row>
    <row r="213" spans="1:20" ht="32.1" hidden="1" customHeight="1" outlineLevel="1">
      <c r="B213" s="431" t="str">
        <f>"Equipment Cost Totals: "&amp;C181</f>
        <v>Equipment Cost Totals: Wet Impregnation - Metal on Metal Oxide</v>
      </c>
      <c r="C213" s="432"/>
      <c r="D213" s="432"/>
      <c r="E213" s="433"/>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990757.8482091116</v>
      </c>
    </row>
    <row r="216" spans="1:20" hidden="1" outlineLevel="1">
      <c r="B216" s="16"/>
      <c r="C216" s="18"/>
      <c r="D216" s="163" t="s">
        <v>358</v>
      </c>
      <c r="E216" s="309">
        <f ca="1">SUM(O197:O211)</f>
        <v>1619771.6673279172</v>
      </c>
    </row>
    <row r="217" spans="1:20" hidden="1" outlineLevel="1">
      <c r="B217" s="16"/>
      <c r="C217" s="18"/>
      <c r="D217" s="163" t="s">
        <v>1004</v>
      </c>
      <c r="E217" s="310">
        <f ca="1">SUM(P197:P211)</f>
        <v>0.9</v>
      </c>
    </row>
    <row r="218" spans="1:20" ht="16.5" hidden="1" outlineLevel="1" thickBot="1">
      <c r="B218" s="21"/>
      <c r="C218" s="22"/>
      <c r="D218" s="22"/>
      <c r="E218" s="23"/>
    </row>
    <row r="219" spans="1:20" ht="16.5"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outlineLevel="1">
      <c r="B221" s="13"/>
      <c r="C221" s="14"/>
      <c r="D221" s="14"/>
      <c r="E221" s="14"/>
      <c r="F221" s="14"/>
      <c r="G221" s="15"/>
      <c r="I221" s="201"/>
    </row>
    <row r="222" spans="1:20" outlineLevel="1">
      <c r="B222" s="16"/>
      <c r="C222" s="17" t="s">
        <v>1058</v>
      </c>
      <c r="D222" s="18"/>
      <c r="E222" s="18"/>
      <c r="F222" s="18"/>
      <c r="G222" s="19"/>
      <c r="I222" s="201"/>
    </row>
    <row r="223" spans="1:20" outlineLevel="1">
      <c r="B223" s="16"/>
      <c r="C223" s="18" t="s">
        <v>1001</v>
      </c>
      <c r="D223" s="18"/>
      <c r="E223" s="18"/>
      <c r="F223" s="18"/>
      <c r="G223" s="19"/>
      <c r="I223" s="201"/>
    </row>
    <row r="224" spans="1:20" ht="16.5" outlineLevel="1" thickBot="1">
      <c r="B224" s="16"/>
      <c r="C224" s="18"/>
      <c r="D224" s="18"/>
      <c r="E224" s="18"/>
      <c r="F224" s="18"/>
      <c r="G224" s="19"/>
      <c r="I224" s="201"/>
    </row>
    <row r="225" spans="2:21" ht="32.1" customHeight="1" outlineLevel="1">
      <c r="B225" s="431" t="str">
        <f>"Scaling Inputs: "&amp;C223</f>
        <v>Scaling Inputs: Zeolite for FCC</v>
      </c>
      <c r="C225" s="432"/>
      <c r="D225" s="432"/>
      <c r="E225" s="432"/>
      <c r="F225" s="432"/>
      <c r="G225" s="433"/>
      <c r="I225" s="201"/>
    </row>
    <row r="226" spans="2:21" outlineLevel="1">
      <c r="B226" s="16"/>
      <c r="C226" s="17" t="s">
        <v>1754</v>
      </c>
      <c r="D226" s="18"/>
      <c r="E226" s="18"/>
      <c r="F226" s="18"/>
      <c r="G226" s="19"/>
      <c r="I226" s="201"/>
    </row>
    <row r="227" spans="2:21" outlineLevel="1">
      <c r="B227" s="16"/>
      <c r="C227" s="138" t="s">
        <v>1755</v>
      </c>
      <c r="D227" s="177">
        <v>100000000</v>
      </c>
      <c r="E227" s="48" t="str">
        <f>IF(COUNTBLANK(D228:D230)&gt;0,"select units below",D228&amp;" "&amp;D229&amp;"/"&amp;D230)</f>
        <v>lb catalyst/year</v>
      </c>
      <c r="F227" s="42" t="s">
        <v>162</v>
      </c>
      <c r="G227" s="19"/>
      <c r="I227" s="201"/>
    </row>
    <row r="228" spans="2:21" outlineLevel="1">
      <c r="B228" s="16"/>
      <c r="C228" s="138"/>
      <c r="D228" s="177" t="s">
        <v>20</v>
      </c>
      <c r="E228" s="48" t="s">
        <v>919</v>
      </c>
      <c r="F228" s="48"/>
      <c r="G228" s="19"/>
      <c r="I228" s="201"/>
    </row>
    <row r="229" spans="2:21" outlineLevel="1">
      <c r="B229" s="16"/>
      <c r="C229" s="138"/>
      <c r="D229" s="177" t="s">
        <v>922</v>
      </c>
      <c r="E229" s="48" t="s">
        <v>921</v>
      </c>
      <c r="F229" s="42" t="s">
        <v>162</v>
      </c>
      <c r="G229" s="19"/>
      <c r="I229" s="201"/>
    </row>
    <row r="230" spans="2:21" outlineLevel="1">
      <c r="B230" s="16"/>
      <c r="C230" s="138"/>
      <c r="D230" s="177" t="s">
        <v>1841</v>
      </c>
      <c r="E230" s="48" t="s">
        <v>920</v>
      </c>
      <c r="F230" s="42" t="s">
        <v>162</v>
      </c>
      <c r="G230" s="19"/>
      <c r="I230" s="201"/>
    </row>
    <row r="231" spans="2:21" outlineLevel="1">
      <c r="B231" s="16"/>
      <c r="C231" s="138" t="s">
        <v>1756</v>
      </c>
      <c r="D231" s="49">
        <f>IFERROR(D227*VLOOKUP(D228,UnitConv[],5,FALSE)/VLOOKUP(OutMassUnit,UnitConv[],5,FALSE)*IF(D229="active phase",100/APWeightPercent,1)/CHOOSE(MATCH(D230,{"hour","day","week","month","year"},0),1,24,24*7,7884/12,7884),"-----")</f>
        <v>12683.916793505834</v>
      </c>
      <c r="E231" s="48" t="str">
        <f>OutMassUnit&amp;" catalyst/hour"</f>
        <v>lb catalyst/hour</v>
      </c>
      <c r="F231" s="48"/>
      <c r="G231" s="19"/>
      <c r="I231" s="201"/>
    </row>
    <row r="232" spans="2:21" outlineLevel="1">
      <c r="B232" s="16"/>
      <c r="C232" s="135"/>
      <c r="D232" s="99"/>
      <c r="E232" s="48"/>
      <c r="F232" s="48"/>
      <c r="G232" s="19"/>
      <c r="I232" s="201"/>
    </row>
    <row r="233" spans="2:21" outlineLevel="1">
      <c r="B233" s="16"/>
      <c r="C233" s="17" t="s">
        <v>1731</v>
      </c>
      <c r="D233" s="18"/>
      <c r="E233" s="18"/>
      <c r="F233" s="18"/>
      <c r="G233" s="19"/>
      <c r="I233" s="201"/>
    </row>
    <row r="234" spans="2:21" outlineLevel="1">
      <c r="B234" s="16"/>
      <c r="C234" s="138" t="s">
        <v>1753</v>
      </c>
      <c r="D234" s="49">
        <f>IF(DesignProductionRate=0,"-----",DesignProductionRate)</f>
        <v>12683.916793505834</v>
      </c>
      <c r="E234" s="48" t="str">
        <f>OutMassUnit&amp;" catalyst/hour"</f>
        <v>lb catalyst/hour</v>
      </c>
      <c r="F234" s="42" t="s">
        <v>162</v>
      </c>
      <c r="G234" s="19"/>
      <c r="I234" s="201"/>
    </row>
    <row r="235" spans="2:21" ht="16.5" outlineLevel="1" thickBot="1">
      <c r="B235" s="16"/>
      <c r="C235" s="18"/>
      <c r="D235" s="305"/>
      <c r="E235" s="18"/>
      <c r="F235" s="18"/>
      <c r="G235" s="19"/>
    </row>
    <row r="236" spans="2:21" s="308" customFormat="1" ht="32.1" customHeight="1" outlineLevel="1">
      <c r="B236" s="431" t="str">
        <f>"Equipment List: "&amp;C223</f>
        <v>Equipment List: Zeolite for FCC</v>
      </c>
      <c r="C236" s="432"/>
      <c r="D236" s="432"/>
      <c r="E236" s="432"/>
      <c r="F236" s="432"/>
      <c r="G236" s="432"/>
      <c r="H236" s="306"/>
      <c r="I236" s="306"/>
      <c r="J236" s="306"/>
      <c r="K236" s="306"/>
      <c r="L236" s="306"/>
      <c r="M236" s="306"/>
      <c r="N236" s="306"/>
      <c r="O236" s="306"/>
      <c r="P236" s="306"/>
      <c r="Q236" s="307"/>
    </row>
    <row r="237" spans="2:21" ht="18.75" outlineLevel="1">
      <c r="B237" s="16"/>
      <c r="C237" s="429" t="s">
        <v>1853</v>
      </c>
      <c r="D237" s="429"/>
      <c r="E237" s="429"/>
      <c r="F237" s="429"/>
      <c r="G237" s="429"/>
      <c r="H237" s="429"/>
      <c r="I237" s="429"/>
      <c r="J237" s="73"/>
      <c r="K237" s="429" t="s">
        <v>1852</v>
      </c>
      <c r="L237" s="429"/>
      <c r="M237" s="73"/>
      <c r="N237" s="429" t="s">
        <v>322</v>
      </c>
      <c r="O237" s="429"/>
      <c r="P237" s="429"/>
      <c r="Q237" s="19"/>
      <c r="S237" s="430" t="s">
        <v>1007</v>
      </c>
      <c r="T237" s="430"/>
      <c r="U237" s="308"/>
    </row>
    <row r="238" spans="2:21" outlineLevel="1">
      <c r="B238" s="16"/>
      <c r="C238" s="64" t="s">
        <v>306</v>
      </c>
      <c r="D238" s="64" t="s">
        <v>312</v>
      </c>
      <c r="E238" s="64" t="s">
        <v>313</v>
      </c>
      <c r="F238" s="64" t="s">
        <v>309</v>
      </c>
      <c r="G238" s="64" t="s">
        <v>314</v>
      </c>
      <c r="H238" s="64" t="s">
        <v>307</v>
      </c>
      <c r="I238" s="64" t="s">
        <v>308</v>
      </c>
      <c r="J238" s="64"/>
      <c r="K238" s="64" t="s">
        <v>1083</v>
      </c>
      <c r="L238" s="64" t="s">
        <v>1084</v>
      </c>
      <c r="M238" s="64"/>
      <c r="N238" s="64" t="s">
        <v>310</v>
      </c>
      <c r="O238" s="64" t="s">
        <v>358</v>
      </c>
      <c r="P238" s="64" t="s">
        <v>311</v>
      </c>
      <c r="Q238" s="19"/>
      <c r="S238" s="311" t="s">
        <v>306</v>
      </c>
      <c r="T238" s="311" t="s">
        <v>207</v>
      </c>
      <c r="U238" s="308"/>
    </row>
    <row r="239" spans="2:2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11.36</v>
      </c>
      <c r="M239" s="103"/>
      <c r="N239" s="104">
        <f ca="1">IF($K239="","",IFERROR($K239*fnEquipCostCorr*fnEquipCostIndex*fnEquipConstMaterial,""))</f>
        <v>451556.45773828059</v>
      </c>
      <c r="O239" s="105">
        <f ca="1">IFERROR(fnEquipInstFactor*N239,"")</f>
        <v>767645.97815507697</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75.709999999999994</v>
      </c>
      <c r="M240" s="103"/>
      <c r="N240" s="104">
        <f ca="1">IF($K240="","",IFERROR($K240*fnEquipCostCorr*fnEquipCostIndex*fnEquipConstMaterial,""))</f>
        <v>1716720.3717098595</v>
      </c>
      <c r="O240" s="105">
        <f ca="1">IFERROR(fnEquipInstFactor*N240,"")</f>
        <v>2918424.6319067609</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outlineLevel="1">
      <c r="B241" s="16"/>
      <c r="C241" s="69" t="s">
        <v>460</v>
      </c>
      <c r="D241" s="70"/>
      <c r="E241" s="70" t="str">
        <f ca="1">IFERROR(VLOOKUP(C241,fnEquipLibRange,16,FALSE),"")</f>
        <v>Carbon steel</v>
      </c>
      <c r="F241" s="70">
        <v>2</v>
      </c>
      <c r="G241" s="131">
        <v>4010.7000000000003</v>
      </c>
      <c r="H241" s="107" t="str">
        <f ca="1">IFERROR(VLOOKUP(C241,fnEquipLibRange,2,FALSE),"")</f>
        <v>Volume, ft3</v>
      </c>
      <c r="I241" s="101" t="str">
        <f ca="1">IF(ISBLANK(G241),"",IF(G241&lt;VLOOKUP(C241,fnEquipLibRange,3,FALSE),"&gt;&gt;&gt; Too Small &lt;&lt;&lt;",IF(G241&gt;VLOOKUP(C241,fnEquipLibRange,4,FALSE),"&gt;&gt;&gt; Too Large &lt;&lt;&lt;","Yes")))</f>
        <v>&gt;&gt;&gt; Too Large &lt;&lt;&lt;</v>
      </c>
      <c r="J241" s="101"/>
      <c r="K241" s="102">
        <f ca="1">IF(F241*G241=0,"",IFERROR(IF(F241*G241*$D$234/$D$231&lt;VLOOKUP(C241,fnEquipLibRange,3,FALSE),MAX(1,F241),MAX(ROUNDUP(F241*G241*$D$234/$D$231/VLOOKUP(C241,fnEquipLibRange,4,FALSE),0),F241)),""))</f>
        <v>9</v>
      </c>
      <c r="L241" s="103">
        <f ca="1">IF(F241*G241=0,"",IFERROR(IF(F241*G241*$D$234/$D$231&lt;VLOOKUP(C241,fnEquipLibRange,3,FALSE),VLOOKUP(C241,fnEquipLibRange,3,FALSE),F241*G241*$D$234/$D$231/MAX(ROUNDUP(F241*G241*$D$234/$D$231/VLOOKUP(C241,fnEquipLibRange,4,FALSE),0),F241)),""))</f>
        <v>891.26666666666677</v>
      </c>
      <c r="M241" s="103"/>
      <c r="N241" s="104">
        <f ca="1">IF($K241="","",IFERROR($K241*fnEquipCostCorr*fnEquipCostIndex*fnEquipConstMaterial,""))</f>
        <v>3231935.0767071247</v>
      </c>
      <c r="O241" s="105">
        <f ca="1">IFERROR(fnEquipInstFactor*N241,"")</f>
        <v>5817483.138072825</v>
      </c>
      <c r="P241" s="106">
        <f ca="1">IFERROR(fnEquipLaborFactor*K241,"")</f>
        <v>1.44</v>
      </c>
      <c r="Q241" s="19"/>
      <c r="S241" s="95" t="str">
        <f t="shared" si="4"/>
        <v>Crystallizer, batch evaporative</v>
      </c>
      <c r="T241" s="11" t="str">
        <f ca="1">IFERROR(IF(INDEX(fnEquipLibRange,fnEquipRowNum,39)="","",INDEX(fnEquipLibRange,fnEquipRowNum,39)),"")</f>
        <v>Stainless steel</v>
      </c>
    </row>
    <row r="242" spans="2:20" outlineLevel="1">
      <c r="B242" s="16"/>
      <c r="C242" s="69" t="s">
        <v>552</v>
      </c>
      <c r="D242" s="70"/>
      <c r="E242" s="70" t="s">
        <v>1720</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100</v>
      </c>
      <c r="M242" s="103"/>
      <c r="N242" s="104">
        <f ca="1">IF($K242="","",IFERROR($K242*fnEquipCostCorr*fnEquipCostIndex*fnEquipConstMaterial,""))</f>
        <v>427116.94493401062</v>
      </c>
      <c r="O242" s="105">
        <f ca="1">IFERROR(fnEquipInstFactor*N242,"")</f>
        <v>721827.63693847798</v>
      </c>
      <c r="P242" s="106">
        <f ca="1">IFERROR(fnEquipLaborFactor*K242,"")</f>
        <v>0.4</v>
      </c>
      <c r="Q242" s="19"/>
      <c r="S242" s="95" t="str">
        <f t="shared" si="4"/>
        <v>Filter, rotary-drum vacuum</v>
      </c>
      <c r="T242" s="11" t="str">
        <f ca="1">IFERROR(IF(INDEX(fnEquipLibRange,fnEquipRowNum,39)="","",INDEX(fnEquipLibRange,fnEquipRowNum,39)),"")</f>
        <v/>
      </c>
    </row>
    <row r="243" spans="2:20"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5.68</v>
      </c>
      <c r="M243" s="103"/>
      <c r="N243" s="104">
        <f ca="1">IF($K243="","",IFERROR($K243*fnEquipCostCorr*fnEquipCostIndex*fnEquipConstMaterial,""))</f>
        <v>150155.95759853683</v>
      </c>
      <c r="O243" s="105">
        <f ca="1">IFERROR(fnEquipInstFactor*N243,"")</f>
        <v>255265.12791751261</v>
      </c>
      <c r="P243" s="106">
        <f ca="1">IFERROR(fnEquipLaborFactor*K243,"")</f>
        <v>0.3</v>
      </c>
      <c r="Q243" s="19"/>
      <c r="S243" s="95" t="str">
        <f t="shared" si="4"/>
        <v>Reactor, jacketed, agitated</v>
      </c>
      <c r="T243" s="11" t="str">
        <f ca="1">IFERROR(IF(INDEX(fnEquipLibRange,fnEquipRowNum,39)="","",INDEX(fnEquipLibRange,fnEquipRowNum,39)),"")</f>
        <v/>
      </c>
    </row>
    <row r="244" spans="2:20"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0.76</v>
      </c>
      <c r="M244" s="103"/>
      <c r="N244" s="104">
        <f ca="1">IF($K244="","",IFERROR($K244*fnEquipCostCorr*fnEquipCostIndex*fnEquipConstMaterial,""))</f>
        <v>68530.304179404731</v>
      </c>
      <c r="O244" s="105">
        <f ca="1">IFERROR(fnEquipInstFactor*N244,"")</f>
        <v>116501.51710498804</v>
      </c>
      <c r="P244" s="106">
        <f ca="1">IFERROR(fnEquipLaborFactor*K244,"")</f>
        <v>0.3</v>
      </c>
      <c r="Q244" s="19"/>
      <c r="S244" s="95" t="str">
        <f t="shared" si="4"/>
        <v>Reactor, jacketed, agitated</v>
      </c>
      <c r="T244" s="11" t="str">
        <f ca="1">IFERROR(IF(INDEX(fnEquipLibRange,fnEquipRowNum,39)="","",INDEX(fnEquipLibRange,fnEquipRowNum,39)),"")</f>
        <v/>
      </c>
    </row>
    <row r="245" spans="2:20" outlineLevel="1">
      <c r="B245" s="16"/>
      <c r="C245" s="69" t="s">
        <v>480</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600</v>
      </c>
      <c r="M245" s="103"/>
      <c r="N245" s="104">
        <f ca="1">IF($K245="","",IFERROR($K245*fnEquipCostCorr*fnEquipCostIndex*fnEquipConstMaterial,""))</f>
        <v>258896.19535520946</v>
      </c>
      <c r="O245" s="105">
        <f ca="1">IFERROR(fnEquipInstFactor*N245,"")</f>
        <v>541093.04829238774</v>
      </c>
      <c r="P245" s="106">
        <f ca="1">IFERROR(fnEquipLaborFactor*K245,"")</f>
        <v>0.25</v>
      </c>
      <c r="Q245" s="19"/>
      <c r="S245" s="95" t="str">
        <f t="shared" si="4"/>
        <v>Evaporator, forced circulation</v>
      </c>
      <c r="T245" s="11" t="str">
        <f ca="1">IFERROR(IF(INDEX(fnEquipLibRange,fnEquipRowNum,39)="","",INDEX(fnEquipLibRange,fnEquipRowNum,39)),"")</f>
        <v/>
      </c>
    </row>
    <row r="246" spans="2:20"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11.36</v>
      </c>
      <c r="M246" s="103"/>
      <c r="N246" s="104">
        <f ca="1">IF($K246="","",IFERROR($K246*fnEquipCostCorr*fnEquipCostIndex*fnEquipConstMaterial,""))</f>
        <v>225778.22886914029</v>
      </c>
      <c r="O246" s="105">
        <f ca="1">IFERROR(fnEquipInstFactor*N246,"")</f>
        <v>383822.98907753848</v>
      </c>
      <c r="P246" s="106">
        <f ca="1">IFERROR(fnEquipLaborFactor*K246,"")</f>
        <v>0.3</v>
      </c>
      <c r="Q246" s="19"/>
      <c r="S246" s="95" t="str">
        <f t="shared" si="4"/>
        <v>Reactor, jacketed, agitated</v>
      </c>
      <c r="T246" s="11" t="str">
        <f ca="1">IFERROR(IF(INDEX(fnEquipLibRange,fnEquipRowNum,39)="","",INDEX(fnEquipLibRange,fnEquipRowNum,39)),"")</f>
        <v/>
      </c>
    </row>
    <row r="247" spans="2:20" outlineLevel="1">
      <c r="B247" s="16"/>
      <c r="C247" s="69" t="s">
        <v>758</v>
      </c>
      <c r="D247" s="70"/>
      <c r="E247" s="70" t="s">
        <v>353</v>
      </c>
      <c r="F247" s="70">
        <v>1</v>
      </c>
      <c r="G247" s="131">
        <v>738.27</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738.27</v>
      </c>
      <c r="M247" s="103"/>
      <c r="N247" s="104">
        <f ca="1">IF($K247="","",IFERROR($K247*fnEquipCostCorr*fnEquipCostIndex*fnEquipConstMaterial,""))</f>
        <v>286307.01716921717</v>
      </c>
      <c r="O247" s="105">
        <f ca="1">IFERROR(fnEquipInstFactor*N247,"")</f>
        <v>469543.50815751613</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24.04</v>
      </c>
      <c r="M248" s="103"/>
      <c r="N248" s="104">
        <f ca="1">IF($K248="","",IFERROR($K248*fnEquipCostCorr*fnEquipCostIndex*fnEquipConstMaterial,""))</f>
        <v>371739.85225417453</v>
      </c>
      <c r="O248" s="105">
        <f ca="1">IFERROR(fnEquipInstFactor*N248,"")</f>
        <v>631957.74883209669</v>
      </c>
      <c r="P248" s="106">
        <f ca="1">IFERROR(fnEquipLaborFactor*K248,"")</f>
        <v>0.3</v>
      </c>
      <c r="Q248" s="19"/>
      <c r="S248" s="95" t="str">
        <f t="shared" si="4"/>
        <v>Reactor, jacketed, agitated</v>
      </c>
      <c r="T248" s="11" t="str">
        <f ca="1">IFERROR(IF(INDEX(fnEquipLibRange,fnEquipRowNum,39)="","",INDEX(fnEquipLibRange,fnEquipRowNum,39)),"")</f>
        <v/>
      </c>
    </row>
    <row r="249" spans="2:20"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28.39</v>
      </c>
      <c r="M249" s="103"/>
      <c r="N249" s="104">
        <f ca="1">IF($K249="","",IFERROR($K249*fnEquipCostCorr*fnEquipCostIndex*fnEquipConstMaterial,""))</f>
        <v>417795.47955732897</v>
      </c>
      <c r="O249" s="105">
        <f ca="1">IFERROR(fnEquipInstFactor*N249,"")</f>
        <v>710252.31524745922</v>
      </c>
      <c r="P249" s="106">
        <f ca="1">IFERROR(fnEquipLaborFactor*K249,"")</f>
        <v>0.3</v>
      </c>
      <c r="Q249" s="19"/>
      <c r="S249" s="95" t="str">
        <f t="shared" si="4"/>
        <v>Reactor, jacketed, agitated</v>
      </c>
      <c r="T249" s="11" t="str">
        <f ca="1">IFERROR(IF(INDEX(fnEquipLibRange,fnEquipRowNum,39)="","",INDEX(fnEquipLibRange,fnEquipRowNum,39)),"")</f>
        <v/>
      </c>
    </row>
    <row r="250" spans="2:20" outlineLevel="1">
      <c r="B250" s="16"/>
      <c r="C250" s="69" t="s">
        <v>552</v>
      </c>
      <c r="D250" s="70"/>
      <c r="E250" s="70" t="s">
        <v>1720</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100</v>
      </c>
      <c r="M250" s="103"/>
      <c r="N250" s="104">
        <f ca="1">IF($K250="","",IFERROR($K250*fnEquipCostCorr*fnEquipCostIndex*fnEquipConstMaterial,""))</f>
        <v>213558.47246700531</v>
      </c>
      <c r="O250" s="105">
        <f ca="1">IFERROR(fnEquipInstFactor*N250,"")</f>
        <v>360913.81846923899</v>
      </c>
      <c r="P250" s="106">
        <f ca="1">IFERROR(fnEquipLaborFactor*K250,"")</f>
        <v>0.2</v>
      </c>
      <c r="Q250" s="19"/>
      <c r="S250" s="95" t="str">
        <f t="shared" si="4"/>
        <v>Filter, rotary-drum vacuum</v>
      </c>
      <c r="T250" s="11" t="str">
        <f ca="1">IFERROR(IF(INDEX(fnEquipLibRange,fnEquipRowNum,39)="","",INDEX(fnEquipLibRange,fnEquipRowNum,39)),"")</f>
        <v/>
      </c>
    </row>
    <row r="251" spans="2:20" outlineLevel="1">
      <c r="B251" s="16"/>
      <c r="C251" s="69" t="s">
        <v>517</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100</v>
      </c>
      <c r="M251" s="103"/>
      <c r="N251" s="104">
        <f ca="1">IF($K251="","",IFERROR($K251*fnEquipCostCorr*fnEquipCostIndex*fnEquipConstMaterial,""))</f>
        <v>600138.12395364919</v>
      </c>
      <c r="O251" s="105">
        <f ca="1">IFERROR(fnEquipInstFactor*N251,"")</f>
        <v>840193.37353510887</v>
      </c>
      <c r="P251" s="106">
        <f ca="1">IFERROR(fnEquipLaborFactor*K251,"")</f>
        <v>0.60000000000000009</v>
      </c>
      <c r="Q251" s="19"/>
      <c r="S251" s="95" t="str">
        <f t="shared" si="4"/>
        <v>Muller mixer</v>
      </c>
      <c r="T251" s="11" t="str">
        <f ca="1">IFERROR(IF(INDEX(fnEquipLibRange,fnEquipRowNum,39)="","",INDEX(fnEquipLibRange,fnEquipRowNum,39)),"")</f>
        <v/>
      </c>
    </row>
    <row r="252" spans="2:20" outlineLevel="1">
      <c r="B252" s="16"/>
      <c r="C252" s="69" t="s">
        <v>761</v>
      </c>
      <c r="D252" s="70"/>
      <c r="E252" s="70" t="s">
        <v>340</v>
      </c>
      <c r="F252" s="70">
        <v>1</v>
      </c>
      <c r="G252" s="131">
        <v>8645.4000000000015</v>
      </c>
      <c r="H252" s="107" t="str">
        <f ca="1">IFERROR(VLOOKUP(C252,fnEquipLibRange,2,FALSE),"")</f>
        <v>evap rate kg/h</v>
      </c>
      <c r="I252" s="101" t="str">
        <f ca="1">IF(ISBLANK(G252),"",IF(G252&lt;VLOOKUP(C252,fnEquipLibRange,3,FALSE),"&gt;&gt;&gt; Too Small &lt;&lt;&lt;",IF(G252&gt;VLOOKUP(C252,fnEquipLibRange,4,FALSE),"&gt;&gt;&gt; Too Large &lt;&lt;&lt;","Yes")))</f>
        <v>&gt;&gt;&gt; Too Large &lt;&lt;&lt;</v>
      </c>
      <c r="J252" s="101"/>
      <c r="K252" s="102">
        <f ca="1">IF(F252*G252=0,"",IFERROR(IF(F252*G252*$D$234/$D$231&lt;VLOOKUP(C252,fnEquipLibRange,3,FALSE),MAX(1,F252),MAX(ROUNDUP(F252*G252*$D$234/$D$231/VLOOKUP(C252,fnEquipLibRange,4,FALSE),0),F252)),""))</f>
        <v>3</v>
      </c>
      <c r="L252" s="103">
        <f ca="1">IF(F252*G252=0,"",IFERROR(IF(F252*G252*$D$234/$D$231&lt;VLOOKUP(C252,fnEquipLibRange,3,FALSE),VLOOKUP(C252,fnEquipLibRange,3,FALSE),F252*G252*$D$234/$D$231/MAX(ROUNDUP(F252*G252*$D$234/$D$231/VLOOKUP(C252,fnEquipLibRange,4,FALSE),0),F252)),""))</f>
        <v>2881.8000000000006</v>
      </c>
      <c r="M252" s="103"/>
      <c r="N252" s="104">
        <f ca="1">IF($K252="","",IFERROR($K252*fnEquipCostCorr*fnEquipCostIndex*fnEquipConstMaterial,""))</f>
        <v>3930958.0961027839</v>
      </c>
      <c r="O252" s="105">
        <f ca="1">IFERROR(fnEquipInstFactor*N252,"")</f>
        <v>6446771.2776085651</v>
      </c>
      <c r="P252" s="106">
        <f ca="1">IFERROR(fnEquipLaborFactor*K252,"")</f>
        <v>3</v>
      </c>
      <c r="Q252" s="19"/>
      <c r="S252" s="95" t="str">
        <f t="shared" si="4"/>
        <v>Dryer, spray (Sinnott)</v>
      </c>
      <c r="T252" s="11" t="str">
        <f ca="1">IFERROR(IF(INDEX(fnEquipLibRange,fnEquipRowNum,39)="","",INDEX(fnEquipLibRange,fnEquipRowNum,39)),"")</f>
        <v/>
      </c>
    </row>
    <row r="253" spans="2:20"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1.1399999999999999</v>
      </c>
      <c r="M253" s="103"/>
      <c r="N253" s="104">
        <f ca="1">IF($K253="","",IFERROR($K253*fnEquipCostCorr*fnEquipCostIndex*fnEquipConstMaterial,""))</f>
        <v>76352.46480465107</v>
      </c>
      <c r="O253" s="105">
        <f ca="1">IFERROR(fnEquipInstFactor*N253,"")</f>
        <v>129799.19016790681</v>
      </c>
      <c r="P253" s="106">
        <f ca="1">IFERROR(fnEquipLaborFactor*K253,"")</f>
        <v>0.3</v>
      </c>
      <c r="Q253" s="19"/>
      <c r="S253" s="95" t="str">
        <f t="shared" si="4"/>
        <v>Reactor, jacketed, agitated</v>
      </c>
      <c r="T253" s="11" t="str">
        <f ca="1">IFERROR(IF(INDEX(fnEquipLibRange,fnEquipRowNum,39)="","",INDEX(fnEquipLibRange,fnEquipRowNum,39)),"")</f>
        <v/>
      </c>
    </row>
    <row r="254" spans="2:20"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30.28</v>
      </c>
      <c r="M254" s="103"/>
      <c r="N254" s="104">
        <f ca="1">IF($K254="","",IFERROR($K254*fnEquipCostCorr*fnEquipCostIndex*fnEquipConstMaterial,""))</f>
        <v>437356.26013160439</v>
      </c>
      <c r="O254" s="105">
        <f ca="1">IFERROR(fnEquipInstFactor*N254,"")</f>
        <v>743505.64222372742</v>
      </c>
      <c r="P254" s="106">
        <f ca="1">IFERROR(fnEquipLaborFactor*K254,"")</f>
        <v>0.3</v>
      </c>
      <c r="Q254" s="19"/>
      <c r="S254" s="95" t="str">
        <f t="shared" si="4"/>
        <v>Reactor, jacketed, agitated</v>
      </c>
      <c r="T254" s="11" t="str">
        <f ca="1">IFERROR(IF(INDEX(fnEquipLibRange,fnEquipRowNum,39)="","",INDEX(fnEquipLibRange,fnEquipRowNum,39)),"")</f>
        <v/>
      </c>
    </row>
    <row r="255" spans="2:20" outlineLevel="1">
      <c r="B255" s="16"/>
      <c r="C255" s="69" t="s">
        <v>552</v>
      </c>
      <c r="D255" s="70"/>
      <c r="E255" s="70" t="s">
        <v>1720</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255</v>
      </c>
      <c r="M255" s="103"/>
      <c r="N255" s="104">
        <f ca="1">IF($K255="","",IFERROR($K255*fnEquipCostCorr*fnEquipCostIndex*fnEquipConstMaterial,""))</f>
        <v>302407.24356051895</v>
      </c>
      <c r="O255" s="105">
        <f ca="1">IFERROR(fnEquipInstFactor*N255,"")</f>
        <v>511068.24161727703</v>
      </c>
      <c r="P255" s="106">
        <f ca="1">IFERROR(fnEquipLaborFactor*K255,"")</f>
        <v>0.2</v>
      </c>
      <c r="Q255" s="19"/>
      <c r="S255" s="95" t="str">
        <f t="shared" si="4"/>
        <v>Filter, rotary-drum vacuum</v>
      </c>
      <c r="T255" s="11" t="str">
        <f ca="1">IFERROR(IF(INDEX(fnEquipLibRange,fnEquipRowNum,39)="","",INDEX(fnEquipLibRange,fnEquipRowNum,39)),"")</f>
        <v/>
      </c>
    </row>
    <row r="256" spans="2:20" outlineLevel="1">
      <c r="B256" s="16"/>
      <c r="C256" s="69" t="s">
        <v>278</v>
      </c>
      <c r="D256" s="70"/>
      <c r="E256" s="70" t="s">
        <v>1719</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3.79</v>
      </c>
      <c r="M256" s="103"/>
      <c r="N256" s="104">
        <f ca="1">IF($K256="","",IFERROR($K256*fnEquipCostCorr*fnEquipCostIndex*fnEquipConstMaterial,""))</f>
        <v>158523.02570793274</v>
      </c>
      <c r="O256" s="105">
        <f ca="1">IFERROR(fnEquipInstFactor*N256,"")</f>
        <v>269489.14370348566</v>
      </c>
      <c r="P256" s="106">
        <f ca="1">IFERROR(fnEquipLaborFactor*K256,"")</f>
        <v>0.3</v>
      </c>
      <c r="Q256" s="19"/>
      <c r="S256" s="95" t="str">
        <f t="shared" si="4"/>
        <v>Reactor, jacketed, agitated</v>
      </c>
      <c r="T256" s="11" t="str">
        <f ca="1">IFERROR(IF(INDEX(fnEquipLibRange,fnEquipRowNum,39)="","",INDEX(fnEquipLibRange,fnEquipRowNum,39)),"")</f>
        <v/>
      </c>
    </row>
    <row r="257" spans="2:20" outlineLevel="1">
      <c r="B257" s="16"/>
      <c r="C257" s="69" t="s">
        <v>278</v>
      </c>
      <c r="D257" s="70"/>
      <c r="E257" s="70" t="s">
        <v>1719</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30.28</v>
      </c>
      <c r="M257" s="103"/>
      <c r="N257" s="104">
        <f ca="1">IF($K257="","",IFERROR($K257*fnEquipCostCorr*fnEquipCostIndex*fnEquipConstMaterial,""))</f>
        <v>568563.13817108574</v>
      </c>
      <c r="O257" s="105">
        <f ca="1">IFERROR(fnEquipInstFactor*N257,"")</f>
        <v>966557.3348908457</v>
      </c>
      <c r="P257" s="106">
        <f ca="1">IFERROR(fnEquipLaborFactor*K257,"")</f>
        <v>0.3</v>
      </c>
      <c r="Q257" s="19"/>
      <c r="S257" s="95" t="str">
        <f t="shared" si="4"/>
        <v>Reactor, jacketed, agitated</v>
      </c>
      <c r="T257" s="11" t="str">
        <f ca="1">IFERROR(IF(INDEX(fnEquipLibRange,fnEquipRowNum,39)="","",INDEX(fnEquipLibRange,fnEquipRowNum,39)),"")</f>
        <v/>
      </c>
    </row>
    <row r="258" spans="2:20" outlineLevel="1">
      <c r="B258" s="16"/>
      <c r="C258" s="69" t="s">
        <v>552</v>
      </c>
      <c r="D258" s="70"/>
      <c r="E258" s="70" t="s">
        <v>1720</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255</v>
      </c>
      <c r="M258" s="103"/>
      <c r="N258" s="104">
        <f ca="1">IF($K258="","",IFERROR($K258*fnEquipCostCorr*fnEquipCostIndex*fnEquipConstMaterial,""))</f>
        <v>302407.24356051895</v>
      </c>
      <c r="O258" s="105">
        <f ca="1">IFERROR(fnEquipInstFactor*N258,"")</f>
        <v>511068.24161727703</v>
      </c>
      <c r="P258" s="106">
        <f ca="1">IFERROR(fnEquipLaborFactor*K258,"")</f>
        <v>0.2</v>
      </c>
      <c r="Q258" s="19"/>
      <c r="S258" s="95" t="str">
        <f t="shared" si="4"/>
        <v>Filter, rotary-drum vacuum</v>
      </c>
      <c r="T258" s="11" t="str">
        <f ca="1">IFERROR(IF(INDEX(fnEquipLibRange,fnEquipRowNum,39)="","",INDEX(fnEquipLibRange,fnEquipRowNum,39)),"")</f>
        <v/>
      </c>
    </row>
    <row r="259" spans="2:20" outlineLevel="1">
      <c r="B259" s="16"/>
      <c r="C259" s="69" t="s">
        <v>1115</v>
      </c>
      <c r="D259" s="70"/>
      <c r="E259" s="70" t="str">
        <f ca="1">IFERROR(VLOOKUP(C259,fnEquipLibRange,16,FALSE),"")</f>
        <v>Carbon steel</v>
      </c>
      <c r="F259" s="70">
        <v>1</v>
      </c>
      <c r="G259" s="131">
        <v>2323.4</v>
      </c>
      <c r="H259" s="107" t="str">
        <f ca="1">IFERROR(VLOOKUP(C259,fnEquipLibRange,2,FALSE),"")</f>
        <v>Free tube surface area, m2</v>
      </c>
      <c r="I259" s="101" t="str">
        <f ca="1">IF(ISBLANK(G259),"",IF(G259&lt;VLOOKUP(C259,fnEquipLibRange,3,FALSE),"&gt;&gt;&gt; Too Small &lt;&lt;&lt;",IF(G259&gt;VLOOKUP(C259,fnEquipLibRange,4,FALSE),"&gt;&gt;&gt; Too Large &lt;&lt;&lt;","Yes")))</f>
        <v>&gt;&gt;&gt; Too Large &lt;&lt;&lt;</v>
      </c>
      <c r="J259" s="101"/>
      <c r="K259" s="102">
        <f ca="1">IF(F259*G259=0,"",IFERROR(IF(F259*G259*$D$234/$D$231&lt;VLOOKUP(C259,fnEquipLibRange,3,FALSE),MAX(1,F259),MAX(ROUNDUP(F259*G259*$D$234/$D$231/VLOOKUP(C259,fnEquipLibRange,4,FALSE),0),F259)),""))</f>
        <v>2</v>
      </c>
      <c r="L259" s="103">
        <f ca="1">IF(F259*G259=0,"",IFERROR(IF(F259*G259*$D$234/$D$231&lt;VLOOKUP(C259,fnEquipLibRange,3,FALSE),VLOOKUP(C259,fnEquipLibRange,3,FALSE),F259*G259*$D$234/$D$231/MAX(ROUNDUP(F259*G259*$D$234/$D$231/VLOOKUP(C259,fnEquipLibRange,4,FALSE),0),F259)),""))</f>
        <v>1161.7</v>
      </c>
      <c r="M259" s="103"/>
      <c r="N259" s="104">
        <f ca="1">IF($K259="","",IFERROR($K259*fnEquipCostCorr*fnEquipCostIndex*fnEquipConstMaterial,""))</f>
        <v>3674202.268381177</v>
      </c>
      <c r="O259" s="105">
        <f ca="1">IFERROR(fnEquipInstFactor*N259,"")</f>
        <v>6025691.7201451296</v>
      </c>
      <c r="P259" s="106">
        <f ca="1">IFERROR(fnEquipLaborFactor*K259,"")</f>
        <v>1</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outlineLevel="1">
      <c r="B260" s="16"/>
      <c r="C260" s="69" t="s">
        <v>285</v>
      </c>
      <c r="D260" s="70" t="s">
        <v>1854</v>
      </c>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1577</v>
      </c>
      <c r="M260" s="103"/>
      <c r="N260" s="104">
        <f ca="1">IF($K260="","",IFERROR($K260*fnEquipCostCorr*fnEquipCostIndex*fnEquipConstMaterial,""))</f>
        <v>2650022.800668865</v>
      </c>
      <c r="O260" s="105">
        <f ca="1">IFERROR(fnEquipInstFactor*N260,"")</f>
        <v>3180027.3608026379</v>
      </c>
      <c r="P260" s="106">
        <f ca="1">IFERROR(fnEquipLaborFactor*K260,"")</f>
        <v>1.2</v>
      </c>
      <c r="Q260" s="19"/>
      <c r="S260" s="95" t="str">
        <f t="shared" si="4"/>
        <v>Cooling tower w/ pumps, field assembled</v>
      </c>
      <c r="T260" s="11" t="str">
        <f ca="1">IFERROR(IF(INDEX(fnEquipLibRange,fnEquipRowNum,39)="","",INDEX(fnEquipLibRange,fnEquipRowNum,39)),"")</f>
        <v/>
      </c>
    </row>
    <row r="261" spans="2:20" outlineLevel="1">
      <c r="B261" s="16"/>
      <c r="C261" s="69" t="s">
        <v>1859</v>
      </c>
      <c r="D261" s="70" t="s">
        <v>1857</v>
      </c>
      <c r="E261" s="70" t="str">
        <f ca="1">IFERROR(VLOOKUP(C261,fnEquipLibRange,16,FALSE),"")</f>
        <v>Standard</v>
      </c>
      <c r="F261" s="70">
        <v>1</v>
      </c>
      <c r="G261" s="131">
        <v>10</v>
      </c>
      <c r="H261" s="107" t="str">
        <f ca="1">IFERROR(VLOOKUP(C261,fnEquipLibRange,2,FALSE),"")</f>
        <v>arbitrary units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1</v>
      </c>
      <c r="L261" s="103">
        <f ca="1">IF(F261*G261=0,"",IFERROR(IF(F261*G261*$D$234/$D$231&lt;VLOOKUP(C261,fnEquipLibRange,3,FALSE),VLOOKUP(C261,fnEquipLibRange,3,FALSE),F261*G261*$D$234/$D$231/MAX(ROUNDUP(F261*G261*$D$234/$D$231/VLOOKUP(C261,fnEquipLibRange,4,FALSE),0),F261)),""))</f>
        <v>10</v>
      </c>
      <c r="M261" s="103"/>
      <c r="N261" s="104">
        <f ca="1">IF($K261="","",IFERROR($K261*fnEquipCostCorr*fnEquipCostIndex*fnEquipConstMaterial,""))</f>
        <v>4099235.3724101833</v>
      </c>
      <c r="O261" s="105">
        <f ca="1">IFERROR(fnEquipInstFactor*N261,"")</f>
        <v>6640761.3033044972</v>
      </c>
      <c r="P261" s="106">
        <f ca="1">IFERROR(fnEquipLaborFactor*K261,"")</f>
        <v>0</v>
      </c>
      <c r="Q261" s="19"/>
      <c r="S261" s="95" t="str">
        <f t="shared" si="4"/>
        <v>FCC auxiliary equipment A: pumps, blowers, sm tanks</v>
      </c>
      <c r="T261" s="11" t="str">
        <f ca="1">IFERROR(IF(INDEX(fnEquipLibRange,fnEquipRowNum,39)="","",INDEX(fnEquipLibRange,fnEquipRowNum,39)),"")</f>
        <v>Targets 20% of main equipment purchase cost for the FCC process template. Use 10 at 100 M lb/yr scale.</v>
      </c>
    </row>
    <row r="262" spans="2:20" outlineLevel="1">
      <c r="B262" s="16"/>
      <c r="C262" s="69" t="s">
        <v>1860</v>
      </c>
      <c r="D262" s="70" t="s">
        <v>1858</v>
      </c>
      <c r="E262" s="70" t="str">
        <f ca="1">IFERROR(VLOOKUP(C262,fnEquipLibRange,16,FALSE),"")</f>
        <v>Standard</v>
      </c>
      <c r="F262" s="70">
        <v>1</v>
      </c>
      <c r="G262" s="131">
        <v>10</v>
      </c>
      <c r="H262" s="107" t="str">
        <f ca="1">IFERROR(VLOOKUP(C262,fnEquipLibRange,2,FALSE),"")</f>
        <v>arbitrary units</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1</v>
      </c>
      <c r="L262" s="103">
        <f ca="1">IF(F262*G262=0,"",IFERROR(IF(F262*G262*$D$234/$D$231&lt;VLOOKUP(C262,fnEquipLibRange,3,FALSE),VLOOKUP(C262,fnEquipLibRange,3,FALSE),F262*G262*$D$234/$D$231/MAX(ROUNDUP(F262*G262*$D$234/$D$231/VLOOKUP(C262,fnEquipLibRange,4,FALSE),0),F262)),""))</f>
        <v>10</v>
      </c>
      <c r="M262" s="103"/>
      <c r="N262" s="104">
        <f ca="1">IF($K262="","",IFERROR($K262*fnEquipCostCorr*fnEquipCostIndex*fnEquipConstMaterial,""))</f>
        <v>3074354.902379178</v>
      </c>
      <c r="O262" s="105">
        <f ca="1">IFERROR(fnEquipInstFactor*N262,"")</f>
        <v>4980454.9418542683</v>
      </c>
      <c r="P262" s="106">
        <f ca="1">IFERROR(fnEquipLaborFactor*K262,"")</f>
        <v>0</v>
      </c>
      <c r="Q262" s="19"/>
      <c r="S262" s="95" t="str">
        <f t="shared" si="4"/>
        <v>FCC auxiliary equipment B: storage tanks</v>
      </c>
      <c r="T262" s="11" t="str">
        <f ca="1">IFERROR(IF(INDEX(fnEquipLibRange,fnEquipRowNum,39)="","",INDEX(fnEquipLibRange,fnEquipRowNum,39)),"")</f>
        <v>Targets 15% of main equipment purchase cost for the FCC process template. Use 10 at 100 M lb/yr scale.</v>
      </c>
    </row>
    <row r="263" spans="2:20" outlineLevel="1">
      <c r="B263" s="16"/>
      <c r="C263" s="69"/>
      <c r="D263" s="70"/>
      <c r="E263" s="70" t="str">
        <f ca="1">IFERROR(VLOOKUP(C263,fnEquipLibRange,16,FALSE),"")</f>
        <v/>
      </c>
      <c r="F263" s="70"/>
      <c r="G263" s="131"/>
      <c r="H263" s="107" t="str">
        <f ca="1">IFERROR(VLOOKUP(C263,fnEquipLibRange,2,FALSE),"")</f>
        <v/>
      </c>
      <c r="I263" s="101" t="str">
        <f>IF(ISBLANK(G263),"",IF(G263&lt;VLOOKUP(C263,fnEquipLibRange,3,FALSE),"&gt;&gt;&gt; Too Small &lt;&lt;&lt;",IF(G263&gt;VLOOKUP(C263,fnEquipLibRange,4,FALSE),"&gt;&gt;&gt; Too Large &lt;&lt;&lt;","Yes")))</f>
        <v/>
      </c>
      <c r="J263" s="101"/>
      <c r="K263" s="102" t="str">
        <f>IF(F263*G263=0,"",IFERROR(IF(F263*G263*$D$234/$D$231&lt;VLOOKUP(C263,fnEquipLibRange,3,FALSE),MAX(1,F263),MAX(ROUNDUP(F263*G263*$D$234/$D$231/VLOOKUP(C263,fnEquipLibRange,4,FALSE),0),F263)),""))</f>
        <v/>
      </c>
      <c r="L263" s="103" t="str">
        <f>IF(F263*G263=0,"",IFERROR(IF(F263*G263*$D$234/$D$231&lt;VLOOKUP(C263,fnEquipLibRange,3,FALSE),VLOOKUP(C263,fnEquipLibRange,3,FALSE),F263*G263*$D$234/$D$231/MAX(ROUNDUP(F263*G263*$D$234/$D$231/VLOOKUP(C263,fnEquipLibRange,4,FALSE),0),F263)),""))</f>
        <v/>
      </c>
      <c r="M263" s="103"/>
      <c r="N263" s="104" t="str">
        <f>IF($K263="","",IFERROR($K263*fnEquipCostCorr*fnEquipCostIndex*fnEquipConstMaterial,""))</f>
        <v/>
      </c>
      <c r="O263" s="105" t="str">
        <f ca="1">IFERROR(fnEquipInstFactor*N263,"")</f>
        <v/>
      </c>
      <c r="P263" s="106" t="str">
        <f ca="1">IFERROR(fnEquipLaborFactor*K263,"")</f>
        <v/>
      </c>
      <c r="Q263" s="19"/>
      <c r="S263" s="95" t="str">
        <f t="shared" si="4"/>
        <v/>
      </c>
      <c r="T263" s="11" t="str">
        <f ca="1">IFERROR(IF(INDEX(fnEquipLibRange,fnEquipRowNum,39)="","",INDEX(fnEquipLibRange,fnEquipRowNum,39)),"")</f>
        <v/>
      </c>
    </row>
    <row r="264" spans="2:20" outlineLevel="1">
      <c r="B264" s="16"/>
      <c r="C264" s="69"/>
      <c r="D264" s="70"/>
      <c r="E264" s="70" t="str">
        <f ca="1">IFERROR(VLOOKUP(C264,fnEquipLibRange,16,FALSE),"")</f>
        <v/>
      </c>
      <c r="F264" s="70"/>
      <c r="G264" s="131"/>
      <c r="H264" s="107" t="str">
        <f ca="1">IFERROR(VLOOKUP(C264,fnEquipLibRange,2,FALSE),"")</f>
        <v/>
      </c>
      <c r="I264" s="101" t="str">
        <f>IF(ISBLANK(G264),"",IF(G264&lt;VLOOKUP(C264,fnEquipLibRange,3,FALSE),"&gt;&gt;&gt; Too Small &lt;&lt;&lt;",IF(G264&gt;VLOOKUP(C264,fnEquipLibRange,4,FALSE),"&gt;&gt;&gt; Too Large &lt;&lt;&lt;","Yes")))</f>
        <v/>
      </c>
      <c r="J264" s="101"/>
      <c r="K264" s="102" t="str">
        <f>IF(F264*G264=0,"",IFERROR(IF(F264*G264*$D$234/$D$231&lt;VLOOKUP(C264,fnEquipLibRange,3,FALSE),MAX(1,F264),MAX(ROUNDUP(F264*G264*$D$234/$D$231/VLOOKUP(C264,fnEquipLibRange,4,FALSE),0),F264)),""))</f>
        <v/>
      </c>
      <c r="L264" s="103" t="str">
        <f>IF(F264*G264=0,"",IFERROR(IF(F264*G264*$D$234/$D$231&lt;VLOOKUP(C264,fnEquipLibRange,3,FALSE),VLOOKUP(C264,fnEquipLibRange,3,FALSE),F264*G264*$D$234/$D$231/MAX(ROUNDUP(F264*G264*$D$234/$D$231/VLOOKUP(C264,fnEquipLibRange,4,FALSE),0),F264)),""))</f>
        <v/>
      </c>
      <c r="M264" s="103"/>
      <c r="N264" s="104" t="str">
        <f>IF($K264="","",IFERROR($K264*fnEquipCostCorr*fnEquipCostIndex*fnEquipConstMaterial,""))</f>
        <v/>
      </c>
      <c r="O264" s="105" t="str">
        <f ca="1">IFERROR(fnEquipInstFactor*N264,"")</f>
        <v/>
      </c>
      <c r="P264" s="106" t="str">
        <f ca="1">IFERROR(fnEquipLaborFactor*K264,"")</f>
        <v/>
      </c>
      <c r="Q264" s="19"/>
      <c r="S264" s="95" t="str">
        <f t="shared" si="4"/>
        <v/>
      </c>
      <c r="T264" s="11" t="str">
        <f ca="1">IFERROR(IF(INDEX(fnEquipLibRange,fnEquipRowNum,39)="","",INDEX(fnEquipLibRange,fnEquipRowNum,39)),"")</f>
        <v/>
      </c>
    </row>
    <row r="265" spans="2:20" outlineLevel="1">
      <c r="B265" s="16"/>
      <c r="C265" s="69"/>
      <c r="D265" s="70"/>
      <c r="E265" s="70" t="str">
        <f ca="1">IFERROR(VLOOKUP(C265,fnEquipLibRange,16,FALSE),"")</f>
        <v/>
      </c>
      <c r="F265" s="70"/>
      <c r="G265" s="131"/>
      <c r="H265" s="107" t="str">
        <f ca="1">IFERROR(VLOOKUP(C265,fnEquipLibRange,2,FALSE),"")</f>
        <v/>
      </c>
      <c r="I265" s="101" t="str">
        <f>IF(ISBLANK(G265),"",IF(G265&lt;VLOOKUP(C265,fnEquipLibRange,3,FALSE),"&gt;&gt;&gt; Too Small &lt;&lt;&lt;",IF(G265&gt;VLOOKUP(C265,fnEquipLibRange,4,FALSE),"&gt;&gt;&gt; Too Large &lt;&lt;&lt;","Yes")))</f>
        <v/>
      </c>
      <c r="J265" s="101"/>
      <c r="K265" s="102" t="str">
        <f>IF(F265*G265=0,"",IFERROR(IF(F265*G265*$D$234/$D$231&lt;VLOOKUP(C265,fnEquipLibRange,3,FALSE),MAX(1,F265),MAX(ROUNDUP(F265*G265*$D$234/$D$231/VLOOKUP(C265,fnEquipLibRange,4,FALSE),0),F265)),""))</f>
        <v/>
      </c>
      <c r="L265" s="103" t="str">
        <f>IF(F265*G265=0,"",IFERROR(IF(F265*G265*$D$234/$D$231&lt;VLOOKUP(C265,fnEquipLibRange,3,FALSE),VLOOKUP(C265,fnEquipLibRange,3,FALSE),F265*G265*$D$234/$D$231/MAX(ROUNDUP(F265*G265*$D$234/$D$231/VLOOKUP(C265,fnEquipLibRange,4,FALSE),0),F265)),""))</f>
        <v/>
      </c>
      <c r="M265" s="103"/>
      <c r="N265" s="104" t="str">
        <f>IF($K265="","",IFERROR($K265*fnEquipCostCorr*fnEquipCostIndex*fnEquipConstMaterial,""))</f>
        <v/>
      </c>
      <c r="O265" s="105" t="str">
        <f ca="1">IFERROR(fnEquipInstFactor*N265,"")</f>
        <v/>
      </c>
      <c r="P265" s="106" t="str">
        <f ca="1">IFERROR(fnEquipLaborFactor*K265,"")</f>
        <v/>
      </c>
      <c r="Q265" s="19"/>
      <c r="S265" s="95" t="str">
        <f t="shared" si="4"/>
        <v/>
      </c>
      <c r="T265" s="11" t="str">
        <f ca="1">IFERROR(IF(INDEX(fnEquipLibRange,fnEquipRowNum,39)="","",INDEX(fnEquipLibRange,fnEquipRowNum,39)),"")</f>
        <v/>
      </c>
    </row>
    <row r="266" spans="2:20"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6.5" outlineLevel="1" thickBot="1">
      <c r="B279" s="21"/>
      <c r="C279" s="22"/>
      <c r="D279" s="22"/>
      <c r="E279" s="22"/>
      <c r="F279" s="22"/>
      <c r="G279" s="22"/>
      <c r="H279" s="22"/>
      <c r="I279" s="22"/>
      <c r="J279" s="22"/>
      <c r="K279" s="22"/>
      <c r="L279" s="100"/>
      <c r="M279" s="100"/>
      <c r="N279" s="22"/>
      <c r="O279" s="22"/>
      <c r="P279" s="22"/>
      <c r="Q279" s="23"/>
    </row>
    <row r="280" spans="1:20" ht="32.1" customHeight="1" outlineLevel="1">
      <c r="B280" s="431" t="str">
        <f>"Equipment Cost Totals: "&amp;C223</f>
        <v>Equipment Cost Totals: Zeolite for FCC</v>
      </c>
      <c r="C280" s="432"/>
      <c r="D280" s="432"/>
      <c r="E280" s="433"/>
    </row>
    <row r="281" spans="1:20" outlineLevel="1">
      <c r="B281" s="16"/>
      <c r="C281" s="17" t="str">
        <f>"Equipment Cost Totals for "&amp;C223</f>
        <v>Equipment Cost Totals for Zeolite for FCC</v>
      </c>
      <c r="D281" s="18"/>
      <c r="E281" s="19"/>
      <c r="L281" s="11" t="s">
        <v>1863</v>
      </c>
      <c r="N281" s="416">
        <f ca="1">SUM(O239:O260)/SUM(N239:N260)</f>
        <v>1.6236474270064272</v>
      </c>
      <c r="O281" s="416"/>
    </row>
    <row r="282" spans="1:20" outlineLevel="1">
      <c r="B282" s="16"/>
      <c r="C282" s="18"/>
      <c r="D282" s="163" t="s">
        <v>310</v>
      </c>
      <c r="E282" s="309">
        <f ca="1">SUM(N239:N278)</f>
        <v>27694611.298371442</v>
      </c>
      <c r="N282" s="416"/>
      <c r="O282" s="416"/>
    </row>
    <row r="283" spans="1:20" outlineLevel="1">
      <c r="B283" s="16"/>
      <c r="C283" s="18"/>
      <c r="D283" s="163" t="s">
        <v>358</v>
      </c>
      <c r="E283" s="309">
        <f ca="1">SUM(O239:O278)</f>
        <v>44940119.229642615</v>
      </c>
    </row>
    <row r="284" spans="1:20" outlineLevel="1">
      <c r="B284" s="16"/>
      <c r="C284" s="18"/>
      <c r="D284" s="163" t="s">
        <v>1004</v>
      </c>
      <c r="E284" s="310">
        <f ca="1">SUM(P239:P278)</f>
        <v>12.89</v>
      </c>
    </row>
    <row r="285" spans="1:20" ht="16.5" outlineLevel="1" thickBot="1">
      <c r="B285" s="21"/>
      <c r="C285" s="22"/>
      <c r="D285" s="22"/>
      <c r="E285" s="23"/>
    </row>
    <row r="286" spans="1:20">
      <c r="A286" s="314" t="str">
        <f>"&lt;– show/hide "&amp;B220</f>
        <v>&lt;– show/hide Process Template: Zeolite for FCC</v>
      </c>
    </row>
  </sheetData>
  <mergeCells count="37">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 ref="C101:I101"/>
    <mergeCell ref="K101:L101"/>
    <mergeCell ref="N34:P34"/>
    <mergeCell ref="K34:L34"/>
    <mergeCell ref="C34:I34"/>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s>
  <conditionalFormatting sqref="C36:G75">
    <cfRule type="containsBlanks" dxfId="134" priority="24">
      <formula>LEN(TRIM(C36))=0</formula>
    </cfRule>
  </conditionalFormatting>
  <conditionalFormatting sqref="C6 D24:D27">
    <cfRule type="containsBlanks" dxfId="133" priority="23">
      <formula>LEN(TRIM(C6))=0</formula>
    </cfRule>
  </conditionalFormatting>
  <conditionalFormatting sqref="C103:G122">
    <cfRule type="containsBlanks" dxfId="132" priority="11">
      <formula>LEN(TRIM(C103))=0</formula>
    </cfRule>
  </conditionalFormatting>
  <conditionalFormatting sqref="D91:D94">
    <cfRule type="containsBlanks" dxfId="131" priority="10">
      <formula>LEN(TRIM(D91))=0</formula>
    </cfRule>
  </conditionalFormatting>
  <conditionalFormatting sqref="C150:G169">
    <cfRule type="containsBlanks" dxfId="130" priority="7">
      <formula>LEN(TRIM(C150))=0</formula>
    </cfRule>
  </conditionalFormatting>
  <conditionalFormatting sqref="D138:D141">
    <cfRule type="containsBlanks" dxfId="129" priority="6">
      <formula>LEN(TRIM(D138))=0</formula>
    </cfRule>
  </conditionalFormatting>
  <conditionalFormatting sqref="C197:G211">
    <cfRule type="containsBlanks" dxfId="128" priority="5">
      <formula>LEN(TRIM(C197))=0</formula>
    </cfRule>
  </conditionalFormatting>
  <conditionalFormatting sqref="D185:D188">
    <cfRule type="containsBlanks" dxfId="127" priority="4">
      <formula>LEN(TRIM(D185))=0</formula>
    </cfRule>
  </conditionalFormatting>
  <conditionalFormatting sqref="C239:G260 C265:D278 C261:C265 E261:G278">
    <cfRule type="containsBlanks" dxfId="126" priority="3">
      <formula>LEN(TRIM(C239))=0</formula>
    </cfRule>
  </conditionalFormatting>
  <conditionalFormatting sqref="D227:D230">
    <cfRule type="containsBlanks" dxfId="125" priority="2">
      <formula>LEN(TRIM(D227))=0</formula>
    </cfRule>
  </conditionalFormatting>
  <conditionalFormatting sqref="D261:D265">
    <cfRule type="containsBlanks" dxfId="124" priority="1">
      <formula>LEN(TRIM(D261))=0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6 A266:D268 A239:B264 D239:E241 H239:XFD264 D243:E246 D242 D248:E249 D247 D251:E251 D250 D253:E254 D252 D259:E259 D256 D257 D258 A231:XFD236 A227:C230 E227:XFD227 A238:XFD238 A237:B237 L237:XFD237 D237:J237 A286:XFD1048576 A281:H281 A282:G282 T281:XFD281 T282:XFD282 J281 A280:J280 T280:XFD280 A283:G283 T283:XFD283 E260 A279:XFD279 A269:B269 D269 H269:XFD269 A265:B265 H265:XFD265 D255 F266:XFD268 A270:D278 F270:XFD278 I282:J282 I283:J283 A284:G284 I284:J284 A285:J285 T285:XFD285 T284:XFD284 E229:XFD230 E228:G228 I228:XFD228"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 activePane="bottomLeft" state="frozenSplit"/>
      <selection pane="bottomLeft"/>
    </sheetView>
  </sheetViews>
  <sheetFormatPr defaultColWidth="10.875" defaultRowHeight="15.75" outlineLevelCol="1"/>
  <cols>
    <col min="1" max="2" width="2.5" style="11" customWidth="1"/>
    <col min="3" max="3" width="14.125" style="11" bestFit="1" customWidth="1"/>
    <col min="4" max="4" width="25.125" style="11" customWidth="1"/>
    <col min="5" max="6" width="10.875" style="11" hidden="1" customWidth="1" outlineLevel="1"/>
    <col min="7" max="7" width="10.875" style="11" collapsed="1"/>
    <col min="8" max="8" width="2.5" style="11" customWidth="1"/>
    <col min="9" max="9" width="11.375" style="11" bestFit="1" customWidth="1"/>
    <col min="10" max="11" width="10.875" style="11" customWidth="1" outlineLevel="1"/>
    <col min="12" max="12" width="10.875" style="11" customWidth="1"/>
    <col min="13" max="13" width="16.5" style="11" bestFit="1" customWidth="1"/>
    <col min="14" max="14" width="11.875" style="11" bestFit="1" customWidth="1"/>
    <col min="15" max="15" width="2.5" style="11" customWidth="1"/>
    <col min="16" max="16" width="4.875" style="11" customWidth="1"/>
    <col min="17" max="17" width="2.5" style="11" customWidth="1"/>
    <col min="18" max="16384" width="10.875" style="11"/>
  </cols>
  <sheetData>
    <row r="1" spans="2:22" s="111" customFormat="1" ht="24" customHeight="1">
      <c r="B1" s="108" t="str">
        <f>"CatCost v"&amp;Version&amp;": "&amp;EstimateName</f>
        <v>CatCost v1.0.0: FCC RE USY</v>
      </c>
      <c r="H1" s="109" t="s">
        <v>44</v>
      </c>
      <c r="V1" s="112"/>
    </row>
    <row r="2" spans="2:22" ht="16.5" thickBot="1"/>
    <row r="3" spans="2:22" ht="21" thickBot="1">
      <c r="B3" s="419" t="s">
        <v>1059</v>
      </c>
      <c r="C3" s="420"/>
      <c r="D3" s="420"/>
      <c r="E3" s="420"/>
      <c r="F3" s="420"/>
      <c r="G3" s="420"/>
      <c r="H3" s="421"/>
    </row>
    <row r="4" spans="2:22">
      <c r="B4" s="13"/>
      <c r="C4" s="14"/>
      <c r="D4" s="14"/>
      <c r="E4" s="14"/>
      <c r="F4" s="14"/>
      <c r="G4" s="14"/>
      <c r="H4" s="14"/>
      <c r="I4" s="14"/>
      <c r="J4" s="14"/>
      <c r="K4" s="14"/>
      <c r="L4" s="14"/>
      <c r="M4" s="14"/>
      <c r="N4" s="14"/>
      <c r="O4" s="14"/>
      <c r="P4" s="14"/>
      <c r="Q4" s="15"/>
    </row>
    <row r="5" spans="2:22">
      <c r="B5" s="16"/>
      <c r="C5" s="17" t="s">
        <v>997</v>
      </c>
      <c r="D5" s="18"/>
      <c r="E5" s="18"/>
      <c r="F5" s="18"/>
      <c r="G5" s="18"/>
      <c r="H5" s="18"/>
      <c r="I5" s="18"/>
      <c r="J5" s="18"/>
      <c r="K5" s="18"/>
      <c r="L5" s="18"/>
      <c r="M5" s="18"/>
      <c r="N5" s="18"/>
      <c r="O5" s="18"/>
      <c r="P5" s="18"/>
      <c r="Q5" s="19"/>
    </row>
    <row r="6" spans="2:22">
      <c r="B6" s="16"/>
      <c r="C6" s="427" t="str">
        <f>IF('3b Equip'!C6="","",'3b Equip'!C6)</f>
        <v>Zeolite for FCC</v>
      </c>
      <c r="D6" s="435"/>
      <c r="E6" s="18"/>
      <c r="F6" s="18"/>
      <c r="G6" s="18"/>
      <c r="H6" s="18"/>
      <c r="I6" s="18"/>
      <c r="J6" s="18"/>
      <c r="K6" s="18"/>
      <c r="L6" s="18"/>
      <c r="M6" s="18"/>
      <c r="N6" s="18"/>
      <c r="O6" s="18"/>
      <c r="P6" s="18"/>
      <c r="Q6" s="19"/>
    </row>
    <row r="7" spans="2:22">
      <c r="B7" s="16"/>
      <c r="C7" s="304" t="s">
        <v>998</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999</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lb catalyst</v>
      </c>
      <c r="E11" s="65" t="s">
        <v>40</v>
      </c>
      <c r="F11" s="65" t="s">
        <v>41</v>
      </c>
      <c r="G11" s="122" t="s">
        <v>175</v>
      </c>
      <c r="H11" s="122"/>
      <c r="I11" s="122" t="s">
        <v>422</v>
      </c>
      <c r="J11" s="65" t="s">
        <v>40</v>
      </c>
      <c r="K11" s="65" t="s">
        <v>41</v>
      </c>
      <c r="L11" s="199" t="s">
        <v>175</v>
      </c>
      <c r="M11" s="64" t="str">
        <f>"Cost ("&amp;CurrencySymbol&amp;"/"&amp;OutMassUnit&amp;" catalyst)"</f>
        <v>Cost ($/lb catalyst)</v>
      </c>
      <c r="N11" s="64" t="str">
        <f>"Cost ("&amp;CurrencySymbol&amp;"/year)"</f>
        <v>Cost ($/year)</v>
      </c>
      <c r="O11" s="64"/>
      <c r="P11" s="64"/>
      <c r="Q11" s="19"/>
    </row>
    <row r="12" spans="2:22">
      <c r="B12" s="16"/>
      <c r="C12" s="116" t="s">
        <v>381</v>
      </c>
      <c r="D12" s="18">
        <f t="shared" ref="D12:F17" ca="1" si="0">IFERROR(IF(ISBLANK(OFFSET(INDEX($C$21:$C$986,MATCH($C$6,$C$21:$C$986,0)),ROW()-ROW($C$9),COLUMN()-COLUMN($C$9))),"",OFFSET(INDEX($C$21:$C$986,MATCH($C$6,$C$21:$C$986,0)),ROW()-ROW($C$9),COLUMN()-COLUMN($C$9))),"")</f>
        <v>0.11622047244094488</v>
      </c>
      <c r="E12" s="18" t="str">
        <f t="shared" ca="1" si="0"/>
        <v/>
      </c>
      <c r="F12" s="18" t="str">
        <f t="shared" ca="1" si="0"/>
        <v/>
      </c>
      <c r="G12" s="116" t="s">
        <v>405</v>
      </c>
      <c r="H12" s="116"/>
      <c r="I12" s="120">
        <v>0.14000000000000001</v>
      </c>
      <c r="J12" s="72">
        <v>0.12</v>
      </c>
      <c r="K12" s="72">
        <v>0.2</v>
      </c>
      <c r="L12" s="107" t="str">
        <f t="shared" ref="L12:L17" si="1">CurrencySymbol&amp;"/"&amp;G12</f>
        <v>$/kgal</v>
      </c>
      <c r="M12" s="198">
        <f ca="1">IFERROR(D12*I12,0)</f>
        <v>1.6270866141732284E-2</v>
      </c>
      <c r="N12" s="117">
        <f t="shared" ref="N12:N17" ca="1" si="2">IFERROR(M12*ActualProduction,"")</f>
        <v>1627086.6141732284</v>
      </c>
      <c r="O12" s="117"/>
      <c r="P12" s="42" t="s">
        <v>162</v>
      </c>
      <c r="Q12" s="19"/>
    </row>
    <row r="13" spans="2:22">
      <c r="B13" s="16"/>
      <c r="C13" s="116" t="s">
        <v>382</v>
      </c>
      <c r="D13" s="18">
        <f t="shared" ca="1" si="0"/>
        <v>0</v>
      </c>
      <c r="E13" s="18" t="str">
        <f t="shared" ca="1" si="0"/>
        <v/>
      </c>
      <c r="F13" s="18" t="str">
        <f t="shared" ca="1" si="0"/>
        <v/>
      </c>
      <c r="G13" s="116" t="s">
        <v>405</v>
      </c>
      <c r="H13" s="116"/>
      <c r="I13" s="120">
        <v>1.3</v>
      </c>
      <c r="J13" s="72"/>
      <c r="K13" s="72"/>
      <c r="L13" s="107" t="str">
        <f t="shared" si="1"/>
        <v>$/kgal</v>
      </c>
      <c r="M13" s="198">
        <f t="shared" ref="M13:M17" ca="1" si="3">IFERROR(D13*I13,0)</f>
        <v>0</v>
      </c>
      <c r="N13" s="117">
        <f t="shared" ca="1" si="2"/>
        <v>0</v>
      </c>
      <c r="O13" s="117"/>
      <c r="P13" s="117"/>
      <c r="Q13" s="19"/>
    </row>
    <row r="14" spans="2:22">
      <c r="B14" s="16"/>
      <c r="C14" s="116" t="s">
        <v>383</v>
      </c>
      <c r="D14" s="18">
        <f t="shared" ca="1" si="0"/>
        <v>1.5748031496062992E-3</v>
      </c>
      <c r="E14" s="18" t="str">
        <f t="shared" ca="1" si="0"/>
        <v/>
      </c>
      <c r="F14" s="18" t="str">
        <f t="shared" ca="1" si="0"/>
        <v/>
      </c>
      <c r="G14" s="116" t="s">
        <v>406</v>
      </c>
      <c r="H14" s="116"/>
      <c r="I14" s="120">
        <v>5</v>
      </c>
      <c r="J14" s="72">
        <v>7</v>
      </c>
      <c r="K14" s="72">
        <v>4</v>
      </c>
      <c r="L14" s="107" t="str">
        <f t="shared" si="1"/>
        <v>$/ton</v>
      </c>
      <c r="M14" s="198">
        <f t="shared" ca="1" si="3"/>
        <v>7.874015748031496E-3</v>
      </c>
      <c r="N14" s="117">
        <f t="shared" ca="1" si="2"/>
        <v>787401.57480314956</v>
      </c>
      <c r="O14" s="117"/>
      <c r="P14" s="117"/>
      <c r="Q14" s="19"/>
    </row>
    <row r="15" spans="2:22">
      <c r="B15" s="16"/>
      <c r="C15" s="116" t="s">
        <v>384</v>
      </c>
      <c r="D15" s="18">
        <f t="shared" ca="1" si="0"/>
        <v>0</v>
      </c>
      <c r="E15" s="18" t="str">
        <f t="shared" ca="1" si="0"/>
        <v/>
      </c>
      <c r="F15" s="18" t="str">
        <f t="shared" ca="1" si="0"/>
        <v/>
      </c>
      <c r="G15" s="116" t="s">
        <v>406</v>
      </c>
      <c r="H15" s="116"/>
      <c r="I15" s="120">
        <v>5.7</v>
      </c>
      <c r="J15" s="72"/>
      <c r="K15" s="72"/>
      <c r="L15" s="107" t="str">
        <f t="shared" si="1"/>
        <v>$/ton</v>
      </c>
      <c r="M15" s="198">
        <f t="shared" ca="1" si="3"/>
        <v>0</v>
      </c>
      <c r="N15" s="117">
        <f t="shared" ca="1" si="2"/>
        <v>0</v>
      </c>
      <c r="O15" s="117"/>
      <c r="P15" s="117"/>
      <c r="Q15" s="19"/>
    </row>
    <row r="16" spans="2:22">
      <c r="B16" s="16"/>
      <c r="C16" s="116" t="s">
        <v>385</v>
      </c>
      <c r="D16" s="18">
        <f t="shared" ca="1" si="0"/>
        <v>0.17</v>
      </c>
      <c r="E16" s="18" t="str">
        <f t="shared" ca="1" si="0"/>
        <v/>
      </c>
      <c r="F16" s="18" t="str">
        <f t="shared" ca="1" si="0"/>
        <v/>
      </c>
      <c r="G16" s="116" t="s">
        <v>407</v>
      </c>
      <c r="H16" s="116"/>
      <c r="I16" s="120">
        <v>5.5E-2</v>
      </c>
      <c r="J16" s="72">
        <v>0.04</v>
      </c>
      <c r="K16" s="72">
        <v>0.12</v>
      </c>
      <c r="L16" s="107" t="str">
        <f t="shared" si="1"/>
        <v>$/kWh</v>
      </c>
      <c r="M16" s="198">
        <f t="shared" ca="1" si="3"/>
        <v>9.3500000000000007E-3</v>
      </c>
      <c r="N16" s="117">
        <f t="shared" ca="1" si="2"/>
        <v>935000.00000000012</v>
      </c>
      <c r="O16" s="117"/>
      <c r="P16" s="117"/>
      <c r="Q16" s="19"/>
    </row>
    <row r="17" spans="2:17">
      <c r="B17" s="16"/>
      <c r="C17" s="116" t="s">
        <v>386</v>
      </c>
      <c r="D17" s="18">
        <f t="shared" ca="1" si="0"/>
        <v>5.905511811023622E-3</v>
      </c>
      <c r="E17" s="18" t="str">
        <f t="shared" ca="1" si="0"/>
        <v/>
      </c>
      <c r="F17" s="18" t="str">
        <f t="shared" ca="1" si="0"/>
        <v/>
      </c>
      <c r="G17" s="116" t="s">
        <v>408</v>
      </c>
      <c r="H17" s="116"/>
      <c r="I17" s="120">
        <v>3</v>
      </c>
      <c r="J17" s="72">
        <v>2</v>
      </c>
      <c r="K17" s="72">
        <v>5</v>
      </c>
      <c r="L17" s="107" t="str">
        <f t="shared" si="1"/>
        <v>$/MMBtu</v>
      </c>
      <c r="M17" s="198">
        <f t="shared" ca="1" si="3"/>
        <v>1.7716535433070866E-2</v>
      </c>
      <c r="N17" s="117">
        <f t="shared" ca="1" si="2"/>
        <v>1771653.5433070867</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($/lb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5.1211417322834643E-2</v>
      </c>
      <c r="N20" s="117">
        <f ca="1">M20*ActualProduction</f>
        <v>5121141.7322834646</v>
      </c>
      <c r="O20" s="117"/>
      <c r="P20" s="117"/>
      <c r="Q20" s="19"/>
    </row>
    <row r="21" spans="2:17" ht="16.5" thickBot="1">
      <c r="B21" s="21"/>
      <c r="C21" s="22"/>
      <c r="D21" s="22"/>
      <c r="E21" s="22"/>
      <c r="F21" s="22"/>
      <c r="G21" s="22"/>
      <c r="H21" s="22"/>
      <c r="I21" s="22"/>
      <c r="J21" s="22"/>
      <c r="K21" s="22"/>
      <c r="L21" s="22"/>
      <c r="M21" s="22"/>
      <c r="N21" s="22"/>
      <c r="O21" s="22"/>
      <c r="P21" s="22"/>
      <c r="Q21" s="23"/>
    </row>
    <row r="22" spans="2:17" ht="16.5" thickBot="1"/>
    <row r="23" spans="2:17" ht="21" thickBot="1">
      <c r="B23" s="419" t="s">
        <v>1000</v>
      </c>
      <c r="C23" s="420"/>
      <c r="D23" s="421"/>
    </row>
    <row r="24" spans="2:17">
      <c r="B24" s="13"/>
      <c r="C24" s="14"/>
      <c r="D24" s="14"/>
      <c r="E24" s="14"/>
      <c r="F24" s="14"/>
      <c r="G24" s="14"/>
      <c r="H24" s="15"/>
    </row>
    <row r="25" spans="2:17">
      <c r="B25" s="16"/>
      <c r="C25" s="277" t="s">
        <v>1005</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lb catalyst</v>
      </c>
      <c r="E27" s="65" t="s">
        <v>40</v>
      </c>
      <c r="F27" s="65" t="s">
        <v>41</v>
      </c>
      <c r="G27" s="122" t="s">
        <v>175</v>
      </c>
      <c r="H27" s="19"/>
    </row>
    <row r="28" spans="2:17">
      <c r="B28" s="16"/>
      <c r="C28" s="116" t="s">
        <v>381</v>
      </c>
      <c r="D28" s="120"/>
      <c r="E28" s="72"/>
      <c r="F28" s="72"/>
      <c r="G28" s="119" t="s">
        <v>405</v>
      </c>
      <c r="H28" s="19"/>
    </row>
    <row r="29" spans="2:17">
      <c r="B29" s="16"/>
      <c r="C29" s="116" t="s">
        <v>382</v>
      </c>
      <c r="D29" s="120"/>
      <c r="E29" s="72"/>
      <c r="F29" s="72"/>
      <c r="G29" s="119" t="s">
        <v>405</v>
      </c>
      <c r="H29" s="19"/>
    </row>
    <row r="30" spans="2:17">
      <c r="B30" s="16"/>
      <c r="C30" s="116" t="s">
        <v>383</v>
      </c>
      <c r="D30" s="120"/>
      <c r="E30" s="72"/>
      <c r="F30" s="72"/>
      <c r="G30" s="119" t="s">
        <v>406</v>
      </c>
      <c r="H30" s="19"/>
    </row>
    <row r="31" spans="2:17">
      <c r="B31" s="16"/>
      <c r="C31" s="116" t="s">
        <v>384</v>
      </c>
      <c r="D31" s="120"/>
      <c r="E31" s="72"/>
      <c r="F31" s="72"/>
      <c r="G31" s="119" t="s">
        <v>406</v>
      </c>
      <c r="H31" s="19"/>
    </row>
    <row r="32" spans="2:17">
      <c r="B32" s="16"/>
      <c r="C32" s="116" t="s">
        <v>385</v>
      </c>
      <c r="D32" s="120"/>
      <c r="E32" s="72"/>
      <c r="F32" s="72"/>
      <c r="G32" s="119" t="s">
        <v>407</v>
      </c>
      <c r="H32" s="19"/>
    </row>
    <row r="33" spans="2:8">
      <c r="B33" s="16"/>
      <c r="C33" s="116" t="s">
        <v>386</v>
      </c>
      <c r="D33" s="120"/>
      <c r="E33" s="72"/>
      <c r="F33" s="72"/>
      <c r="G33" s="119" t="s">
        <v>408</v>
      </c>
      <c r="H33" s="19"/>
    </row>
    <row r="34" spans="2:8" ht="16.5" thickBot="1">
      <c r="B34" s="21"/>
      <c r="C34" s="22"/>
      <c r="D34" s="22"/>
      <c r="E34" s="22"/>
      <c r="F34" s="22"/>
      <c r="G34" s="22"/>
      <c r="H34" s="23"/>
    </row>
    <row r="35" spans="2:8">
      <c r="B35" s="16"/>
      <c r="C35" s="10"/>
      <c r="D35" s="10"/>
      <c r="E35" s="10"/>
      <c r="F35" s="10"/>
      <c r="G35" s="10"/>
      <c r="H35" s="19"/>
    </row>
    <row r="36" spans="2:8">
      <c r="B36" s="16"/>
      <c r="C36" s="277" t="s">
        <v>1002</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lb catalyst</v>
      </c>
      <c r="E38" s="65" t="s">
        <v>40</v>
      </c>
      <c r="F38" s="65" t="s">
        <v>41</v>
      </c>
      <c r="G38" s="122" t="s">
        <v>175</v>
      </c>
      <c r="H38" s="19"/>
    </row>
    <row r="39" spans="2:8">
      <c r="B39" s="16"/>
      <c r="C39" s="116" t="s">
        <v>381</v>
      </c>
      <c r="D39" s="120">
        <v>2.2977479460207614E-4</v>
      </c>
      <c r="E39" s="72"/>
      <c r="F39" s="72"/>
      <c r="G39" s="119" t="s">
        <v>405</v>
      </c>
      <c r="H39" s="19"/>
    </row>
    <row r="40" spans="2:8">
      <c r="B40" s="16"/>
      <c r="C40" s="116" t="s">
        <v>382</v>
      </c>
      <c r="D40" s="120">
        <v>3.4466219190311422E-6</v>
      </c>
      <c r="E40" s="72"/>
      <c r="F40" s="72"/>
      <c r="G40" s="119" t="s">
        <v>405</v>
      </c>
      <c r="H40" s="19"/>
    </row>
    <row r="41" spans="2:8">
      <c r="B41" s="16"/>
      <c r="C41" s="116" t="s">
        <v>383</v>
      </c>
      <c r="D41" s="120">
        <v>1.4978024554953857E-4</v>
      </c>
      <c r="E41" s="72"/>
      <c r="F41" s="72"/>
      <c r="G41" s="119" t="s">
        <v>406</v>
      </c>
      <c r="H41" s="19"/>
    </row>
    <row r="42" spans="2:8">
      <c r="B42" s="16"/>
      <c r="C42" s="116" t="s">
        <v>384</v>
      </c>
      <c r="D42" s="120">
        <v>7.4413705145790214E-4</v>
      </c>
      <c r="E42" s="72"/>
      <c r="F42" s="72"/>
      <c r="G42" s="119" t="s">
        <v>406</v>
      </c>
      <c r="H42" s="19"/>
    </row>
    <row r="43" spans="2:8">
      <c r="B43" s="16"/>
      <c r="C43" s="116" t="s">
        <v>385</v>
      </c>
      <c r="D43" s="120">
        <v>0.47435653979238757</v>
      </c>
      <c r="E43" s="72"/>
      <c r="F43" s="72"/>
      <c r="G43" s="119" t="s">
        <v>407</v>
      </c>
      <c r="H43" s="19"/>
    </row>
    <row r="44" spans="2:8">
      <c r="B44" s="16"/>
      <c r="C44" s="116" t="s">
        <v>386</v>
      </c>
      <c r="D44" s="120">
        <v>5.0157098101038071E-3</v>
      </c>
      <c r="E44" s="72"/>
      <c r="F44" s="72"/>
      <c r="G44" s="119" t="s">
        <v>408</v>
      </c>
      <c r="H44" s="19"/>
    </row>
    <row r="45" spans="2:8" ht="16.5" thickBot="1">
      <c r="B45" s="21"/>
      <c r="C45" s="22"/>
      <c r="D45" s="22"/>
      <c r="E45" s="22"/>
      <c r="F45" s="22"/>
      <c r="G45" s="22"/>
      <c r="H45" s="23"/>
    </row>
    <row r="46" spans="2:8">
      <c r="B46" s="16"/>
      <c r="C46" s="10"/>
      <c r="D46" s="10"/>
      <c r="E46" s="10"/>
      <c r="F46" s="10"/>
      <c r="G46" s="10"/>
      <c r="H46" s="19"/>
    </row>
    <row r="47" spans="2:8">
      <c r="B47" s="16"/>
      <c r="C47" s="277" t="s">
        <v>1008</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lb catalyst</v>
      </c>
      <c r="E49" s="65" t="s">
        <v>40</v>
      </c>
      <c r="F49" s="65" t="s">
        <v>41</v>
      </c>
      <c r="G49" s="122" t="s">
        <v>175</v>
      </c>
      <c r="H49" s="19"/>
    </row>
    <row r="50" spans="2:8">
      <c r="B50" s="16"/>
      <c r="C50" s="116" t="s">
        <v>381</v>
      </c>
      <c r="D50" s="120">
        <v>0</v>
      </c>
      <c r="E50" s="72"/>
      <c r="F50" s="72"/>
      <c r="G50" s="119" t="s">
        <v>405</v>
      </c>
      <c r="H50" s="19"/>
    </row>
    <row r="51" spans="2:8">
      <c r="B51" s="16"/>
      <c r="C51" s="116" t="s">
        <v>382</v>
      </c>
      <c r="D51" s="120">
        <v>0</v>
      </c>
      <c r="E51" s="72"/>
      <c r="F51" s="72"/>
      <c r="G51" s="119" t="s">
        <v>405</v>
      </c>
      <c r="H51" s="19"/>
    </row>
    <row r="52" spans="2:8">
      <c r="B52" s="16"/>
      <c r="C52" s="116" t="s">
        <v>383</v>
      </c>
      <c r="D52" s="120">
        <v>0</v>
      </c>
      <c r="E52" s="72"/>
      <c r="F52" s="72"/>
      <c r="G52" s="119" t="s">
        <v>406</v>
      </c>
      <c r="H52" s="19"/>
    </row>
    <row r="53" spans="2:8">
      <c r="B53" s="16"/>
      <c r="C53" s="116" t="s">
        <v>384</v>
      </c>
      <c r="D53" s="120">
        <v>0</v>
      </c>
      <c r="E53" s="72"/>
      <c r="F53" s="72"/>
      <c r="G53" s="119" t="s">
        <v>406</v>
      </c>
      <c r="H53" s="19"/>
    </row>
    <row r="54" spans="2:8">
      <c r="B54" s="16"/>
      <c r="C54" s="116" t="s">
        <v>385</v>
      </c>
      <c r="D54" s="120">
        <v>0.26</v>
      </c>
      <c r="E54" s="72"/>
      <c r="F54" s="72"/>
      <c r="G54" s="119" t="s">
        <v>407</v>
      </c>
      <c r="H54" s="19"/>
    </row>
    <row r="55" spans="2:8">
      <c r="B55" s="16"/>
      <c r="C55" s="116" t="s">
        <v>386</v>
      </c>
      <c r="D55" s="120">
        <v>0</v>
      </c>
      <c r="E55" s="72"/>
      <c r="F55" s="72"/>
      <c r="G55" s="119" t="s">
        <v>408</v>
      </c>
      <c r="H55" s="19"/>
    </row>
    <row r="56" spans="2:8" ht="16.5" thickBot="1">
      <c r="B56" s="21"/>
      <c r="C56" s="22"/>
      <c r="D56" s="22"/>
      <c r="E56" s="22"/>
      <c r="F56" s="22"/>
      <c r="G56" s="22"/>
      <c r="H56" s="23"/>
    </row>
    <row r="57" spans="2:8">
      <c r="B57" s="16"/>
      <c r="C57" s="10"/>
      <c r="D57" s="10"/>
      <c r="E57" s="10"/>
      <c r="F57" s="10"/>
      <c r="G57" s="10"/>
      <c r="H57" s="19"/>
    </row>
    <row r="58" spans="2:8">
      <c r="B58" s="16"/>
      <c r="C58" s="277" t="s">
        <v>1009</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lb catalyst</v>
      </c>
      <c r="E60" s="65" t="s">
        <v>40</v>
      </c>
      <c r="F60" s="65" t="s">
        <v>41</v>
      </c>
      <c r="G60" s="122" t="s">
        <v>175</v>
      </c>
      <c r="H60" s="19"/>
    </row>
    <row r="61" spans="2:8">
      <c r="B61" s="16"/>
      <c r="C61" s="116" t="s">
        <v>381</v>
      </c>
      <c r="D61" s="120">
        <v>1.4318305217993082E-3</v>
      </c>
      <c r="E61" s="72"/>
      <c r="F61" s="72"/>
      <c r="G61" s="119" t="s">
        <v>405</v>
      </c>
      <c r="H61" s="19"/>
    </row>
    <row r="62" spans="2:8">
      <c r="B62" s="16"/>
      <c r="C62" s="116" t="s">
        <v>382</v>
      </c>
      <c r="D62" s="120">
        <v>2.1477457826989625E-5</v>
      </c>
      <c r="E62" s="72"/>
      <c r="F62" s="72"/>
      <c r="G62" s="119" t="s">
        <v>405</v>
      </c>
      <c r="H62" s="19"/>
    </row>
    <row r="63" spans="2:8">
      <c r="B63" s="16"/>
      <c r="C63" s="116" t="s">
        <v>383</v>
      </c>
      <c r="D63" s="120">
        <v>7.8214835239608701E-4</v>
      </c>
      <c r="E63" s="72"/>
      <c r="F63" s="72"/>
      <c r="G63" s="119" t="s">
        <v>406</v>
      </c>
      <c r="H63" s="19"/>
    </row>
    <row r="64" spans="2:8">
      <c r="B64" s="16"/>
      <c r="C64" s="116" t="s">
        <v>384</v>
      </c>
      <c r="D64" s="120">
        <v>3.8858633634846094E-3</v>
      </c>
      <c r="E64" s="72"/>
      <c r="F64" s="72"/>
      <c r="G64" s="119" t="s">
        <v>406</v>
      </c>
      <c r="H64" s="19"/>
    </row>
    <row r="65" spans="2:8">
      <c r="B65" s="16"/>
      <c r="C65" s="116" t="s">
        <v>385</v>
      </c>
      <c r="D65" s="120">
        <v>7.2965093425605536</v>
      </c>
      <c r="E65" s="72"/>
      <c r="F65" s="72"/>
      <c r="G65" s="119" t="s">
        <v>407</v>
      </c>
      <c r="H65" s="19"/>
    </row>
    <row r="66" spans="2:8">
      <c r="B66" s="16"/>
      <c r="C66" s="116" t="s">
        <v>386</v>
      </c>
      <c r="D66" s="120">
        <v>2.6191899670588228E-2</v>
      </c>
      <c r="E66" s="72"/>
      <c r="F66" s="72"/>
      <c r="G66" s="119" t="s">
        <v>408</v>
      </c>
      <c r="H66" s="19"/>
    </row>
    <row r="67" spans="2:8" ht="16.5" thickBot="1">
      <c r="B67" s="21"/>
      <c r="C67" s="22"/>
      <c r="D67" s="22"/>
      <c r="E67" s="22"/>
      <c r="F67" s="22"/>
      <c r="G67" s="22"/>
      <c r="H67" s="23"/>
    </row>
    <row r="68" spans="2:8">
      <c r="B68" s="16"/>
      <c r="C68" s="10"/>
      <c r="D68" s="10"/>
      <c r="E68" s="10"/>
      <c r="F68" s="10"/>
      <c r="G68" s="10"/>
      <c r="H68" s="19"/>
    </row>
    <row r="69" spans="2:8">
      <c r="B69" s="16"/>
      <c r="C69" s="277" t="s">
        <v>1001</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lb catalyst</v>
      </c>
      <c r="E71" s="65" t="s">
        <v>40</v>
      </c>
      <c r="F71" s="65" t="s">
        <v>41</v>
      </c>
      <c r="G71" s="122" t="s">
        <v>175</v>
      </c>
      <c r="H71" s="19"/>
    </row>
    <row r="72" spans="2:8">
      <c r="B72" s="16"/>
      <c r="C72" s="116" t="s">
        <v>381</v>
      </c>
      <c r="D72" s="120">
        <v>0.11622047244094488</v>
      </c>
      <c r="E72" s="72"/>
      <c r="F72" s="72"/>
      <c r="G72" s="119" t="s">
        <v>405</v>
      </c>
      <c r="H72" s="19"/>
    </row>
    <row r="73" spans="2:8">
      <c r="B73" s="16"/>
      <c r="C73" s="116" t="s">
        <v>382</v>
      </c>
      <c r="D73" s="120">
        <v>0</v>
      </c>
      <c r="E73" s="72"/>
      <c r="F73" s="72"/>
      <c r="G73" s="119" t="s">
        <v>405</v>
      </c>
      <c r="H73" s="19"/>
    </row>
    <row r="74" spans="2:8">
      <c r="B74" s="16"/>
      <c r="C74" s="116" t="s">
        <v>383</v>
      </c>
      <c r="D74" s="120">
        <v>1.5748031496062992E-3</v>
      </c>
      <c r="E74" s="72"/>
      <c r="F74" s="72"/>
      <c r="G74" s="119" t="s">
        <v>406</v>
      </c>
      <c r="H74" s="19"/>
    </row>
    <row r="75" spans="2:8">
      <c r="B75" s="16"/>
      <c r="C75" s="116" t="s">
        <v>384</v>
      </c>
      <c r="D75" s="120">
        <v>0</v>
      </c>
      <c r="E75" s="72"/>
      <c r="F75" s="72"/>
      <c r="G75" s="119" t="s">
        <v>406</v>
      </c>
      <c r="H75" s="19"/>
    </row>
    <row r="76" spans="2:8">
      <c r="B76" s="16"/>
      <c r="C76" s="116" t="s">
        <v>385</v>
      </c>
      <c r="D76" s="120">
        <v>0.17</v>
      </c>
      <c r="E76" s="72"/>
      <c r="F76" s="72"/>
      <c r="G76" s="119" t="s">
        <v>407</v>
      </c>
      <c r="H76" s="19"/>
    </row>
    <row r="77" spans="2:8">
      <c r="B77" s="16"/>
      <c r="C77" s="116" t="s">
        <v>386</v>
      </c>
      <c r="D77" s="120">
        <v>5.905511811023622E-3</v>
      </c>
      <c r="E77" s="72"/>
      <c r="F77" s="72"/>
      <c r="G77" s="119" t="s">
        <v>408</v>
      </c>
      <c r="H77" s="19"/>
    </row>
    <row r="78" spans="2:8" ht="16.5" thickBot="1">
      <c r="B78" s="21"/>
      <c r="C78" s="22"/>
      <c r="D78" s="22"/>
      <c r="E78" s="22"/>
      <c r="F78" s="22"/>
      <c r="G78" s="22"/>
      <c r="H78" s="23"/>
    </row>
  </sheetData>
  <mergeCells count="3">
    <mergeCell ref="B23:D23"/>
    <mergeCell ref="C6:D6"/>
    <mergeCell ref="B3:H3"/>
  </mergeCells>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5:I15 A12:H13 J13:XFD13 A18:XFD45 A16:H17 L17:XFD17 A7:XFD11 A6:B6 E6:XFD6 A46:XFD71 A78:XFD1048576 A72:C77 E72:XFD77 L12:XFD12 A14:I14 L14:XFD14 L15:XFD15 L16:XFD16"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defaultColWidth="11" defaultRowHeight="15.75" outlineLevelCol="1"/>
  <cols>
    <col min="1" max="2" width="2.5" style="11" customWidth="1"/>
    <col min="3" max="3" width="33" style="11" customWidth="1"/>
    <col min="4" max="4" width="11" style="11"/>
    <col min="5" max="5" width="12.375" style="11" customWidth="1" outlineLevel="1"/>
    <col min="6" max="6" width="12.625" style="11" customWidth="1" outlineLevel="1"/>
    <col min="7" max="7" width="27" style="11" bestFit="1" customWidth="1"/>
    <col min="8" max="8" width="16.5" style="11" bestFit="1" customWidth="1"/>
    <col min="9" max="9" width="2.5" style="11" customWidth="1"/>
    <col min="10" max="10" width="4.875" style="11" customWidth="1"/>
    <col min="11" max="11" width="2.5" style="11" customWidth="1"/>
    <col min="12" max="16384" width="11" style="11"/>
  </cols>
  <sheetData>
    <row r="1" spans="2:21" s="10" customFormat="1" ht="24" customHeight="1">
      <c r="B1" s="108" t="str">
        <f>"CatCost v"&amp;Version&amp;": "&amp;EstimateName</f>
        <v>CatCost v1.0.0: FCC RE USY</v>
      </c>
      <c r="G1" s="109" t="s">
        <v>44</v>
      </c>
      <c r="K1" s="110"/>
      <c r="L1" s="110"/>
      <c r="M1" s="110"/>
      <c r="N1" s="110"/>
      <c r="O1" s="110"/>
      <c r="P1" s="110"/>
      <c r="Q1" s="110"/>
      <c r="R1" s="110"/>
      <c r="S1" s="110"/>
      <c r="T1" s="109"/>
      <c r="U1" s="110"/>
    </row>
    <row r="2" spans="2:21" ht="16.5" thickBot="1"/>
    <row r="3" spans="2:21" ht="21" thickBot="1">
      <c r="B3" s="419" t="s">
        <v>1060</v>
      </c>
      <c r="C3" s="420"/>
      <c r="D3" s="420"/>
      <c r="E3" s="420"/>
      <c r="F3" s="420"/>
      <c r="G3" s="421"/>
    </row>
    <row r="4" spans="2:21">
      <c r="B4" s="13"/>
      <c r="C4" s="14"/>
      <c r="D4" s="14"/>
      <c r="E4" s="14"/>
      <c r="F4" s="14"/>
      <c r="G4" s="14"/>
      <c r="H4" s="14"/>
      <c r="I4" s="14"/>
      <c r="J4" s="14"/>
      <c r="K4" s="15"/>
    </row>
    <row r="5" spans="2:21">
      <c r="B5" s="16"/>
      <c r="C5" s="20" t="s">
        <v>390</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392</v>
      </c>
      <c r="D7" s="18"/>
      <c r="E7" s="123"/>
      <c r="F7" s="123"/>
      <c r="G7" s="18"/>
      <c r="H7" s="18"/>
      <c r="I7" s="18"/>
      <c r="J7" s="18"/>
      <c r="K7" s="19"/>
    </row>
    <row r="8" spans="2:21">
      <c r="B8" s="16"/>
      <c r="C8" s="124" t="s">
        <v>191</v>
      </c>
      <c r="D8" s="48">
        <v>100</v>
      </c>
      <c r="E8" s="129">
        <v>75</v>
      </c>
      <c r="F8" s="132">
        <v>125</v>
      </c>
      <c r="G8" s="48" t="s">
        <v>216</v>
      </c>
      <c r="H8" s="125">
        <f t="shared" ref="H8:H18" ca="1" si="0">IFERROR(D8/100*EquipPurchase,"")</f>
        <v>27694611.298371442</v>
      </c>
      <c r="I8" s="125"/>
      <c r="J8" s="125"/>
      <c r="K8" s="19"/>
    </row>
    <row r="9" spans="2:21">
      <c r="B9" s="16"/>
      <c r="C9" s="124" t="s">
        <v>192</v>
      </c>
      <c r="D9" s="128">
        <f ca="1">IFERROR(EquipInstalled/EquipPurchase*100-100,0)</f>
        <v>62.270265307118734</v>
      </c>
      <c r="E9" s="130">
        <f ca="1">D9*0.85</f>
        <v>52.929725511050925</v>
      </c>
      <c r="F9" s="133">
        <f ca="1">D9*1.25</f>
        <v>77.837831633898418</v>
      </c>
      <c r="G9" s="61" t="s">
        <v>216</v>
      </c>
      <c r="H9" s="125">
        <f t="shared" ca="1" si="0"/>
        <v>17245507.931271177</v>
      </c>
      <c r="I9" s="125"/>
      <c r="J9" s="125"/>
      <c r="K9" s="19"/>
    </row>
    <row r="10" spans="2:21">
      <c r="B10" s="16"/>
      <c r="C10" s="124" t="s">
        <v>193</v>
      </c>
      <c r="D10" s="56">
        <v>26</v>
      </c>
      <c r="E10" s="60">
        <v>18</v>
      </c>
      <c r="F10" s="60">
        <v>36</v>
      </c>
      <c r="G10" s="58" t="s">
        <v>216</v>
      </c>
      <c r="H10" s="125">
        <f t="shared" ca="1" si="0"/>
        <v>7200598.9375765752</v>
      </c>
      <c r="I10" s="125"/>
      <c r="J10" s="125"/>
      <c r="K10" s="19"/>
    </row>
    <row r="11" spans="2:21">
      <c r="B11" s="16"/>
      <c r="C11" s="124" t="s">
        <v>194</v>
      </c>
      <c r="D11" s="56">
        <v>31</v>
      </c>
      <c r="E11" s="60">
        <v>16</v>
      </c>
      <c r="F11" s="60">
        <v>68</v>
      </c>
      <c r="G11" s="47" t="s">
        <v>216</v>
      </c>
      <c r="H11" s="125">
        <f t="shared" ca="1" si="0"/>
        <v>8585329.5024951473</v>
      </c>
      <c r="I11" s="125"/>
      <c r="J11" s="125"/>
      <c r="K11" s="19"/>
    </row>
    <row r="12" spans="2:21">
      <c r="B12" s="16"/>
      <c r="C12" s="124" t="s">
        <v>195</v>
      </c>
      <c r="D12" s="56">
        <v>10</v>
      </c>
      <c r="E12" s="60">
        <v>10</v>
      </c>
      <c r="F12" s="60">
        <v>11</v>
      </c>
      <c r="G12" s="47" t="s">
        <v>216</v>
      </c>
      <c r="H12" s="125">
        <f t="shared" ca="1" si="0"/>
        <v>2769461.1298371442</v>
      </c>
      <c r="I12" s="125"/>
      <c r="J12" s="125"/>
      <c r="K12" s="19"/>
    </row>
    <row r="13" spans="2:21">
      <c r="B13" s="16"/>
      <c r="C13" s="124" t="s">
        <v>196</v>
      </c>
      <c r="D13" s="56">
        <v>29</v>
      </c>
      <c r="E13" s="60">
        <v>7</v>
      </c>
      <c r="F13" s="60">
        <v>47</v>
      </c>
      <c r="G13" s="47" t="s">
        <v>216</v>
      </c>
      <c r="H13" s="125">
        <f t="shared" ca="1" si="0"/>
        <v>8031437.2765277177</v>
      </c>
      <c r="I13" s="125"/>
      <c r="J13" s="125"/>
      <c r="K13" s="19"/>
    </row>
    <row r="14" spans="2:21">
      <c r="B14" s="16"/>
      <c r="C14" s="124" t="s">
        <v>197</v>
      </c>
      <c r="D14" s="56">
        <v>12</v>
      </c>
      <c r="E14" s="60">
        <v>10</v>
      </c>
      <c r="F14" s="60">
        <v>15</v>
      </c>
      <c r="G14" s="47" t="s">
        <v>216</v>
      </c>
      <c r="H14" s="125">
        <f t="shared" ca="1" si="0"/>
        <v>3323353.3558045728</v>
      </c>
      <c r="I14" s="125"/>
      <c r="J14" s="125"/>
      <c r="K14" s="19"/>
    </row>
    <row r="15" spans="2:21">
      <c r="B15" s="16"/>
      <c r="C15" s="124" t="s">
        <v>198</v>
      </c>
      <c r="D15" s="56">
        <v>55</v>
      </c>
      <c r="E15" s="60">
        <v>40</v>
      </c>
      <c r="F15" s="60">
        <v>70</v>
      </c>
      <c r="G15" s="47" t="s">
        <v>216</v>
      </c>
      <c r="H15" s="125">
        <f t="shared" ca="1" si="0"/>
        <v>15232036.214104295</v>
      </c>
      <c r="I15" s="125"/>
      <c r="J15" s="125"/>
      <c r="K15" s="19"/>
    </row>
    <row r="16" spans="2:21">
      <c r="B16" s="16"/>
      <c r="C16" s="124" t="s">
        <v>199</v>
      </c>
      <c r="D16" s="56">
        <v>5</v>
      </c>
      <c r="E16" s="60">
        <v>2</v>
      </c>
      <c r="F16" s="60">
        <v>6</v>
      </c>
      <c r="G16" s="47" t="s">
        <v>216</v>
      </c>
      <c r="H16" s="125">
        <f t="shared" ca="1" si="0"/>
        <v>1384730.5649185721</v>
      </c>
      <c r="I16" s="125"/>
      <c r="J16" s="125"/>
      <c r="K16" s="19"/>
    </row>
    <row r="17" spans="2:11">
      <c r="B17" s="16"/>
      <c r="C17" s="149" t="s">
        <v>200</v>
      </c>
      <c r="D17" s="56">
        <v>6</v>
      </c>
      <c r="E17" s="60">
        <v>4</v>
      </c>
      <c r="F17" s="60">
        <v>8</v>
      </c>
      <c r="G17" s="47" t="s">
        <v>216</v>
      </c>
      <c r="H17" s="150">
        <f t="shared" ca="1" si="0"/>
        <v>1661676.6779022864</v>
      </c>
      <c r="I17" s="125"/>
      <c r="J17" s="125"/>
      <c r="K17" s="19"/>
    </row>
    <row r="18" spans="2:11">
      <c r="B18" s="16"/>
      <c r="C18" s="20" t="s">
        <v>393</v>
      </c>
      <c r="D18" s="126">
        <f ca="1">SUM(D8:D17)</f>
        <v>336.27026530711873</v>
      </c>
      <c r="E18" s="115"/>
      <c r="F18" s="115"/>
      <c r="G18" s="20" t="s">
        <v>216</v>
      </c>
      <c r="H18" s="127">
        <f t="shared" ca="1" si="0"/>
        <v>93128742.888808936</v>
      </c>
      <c r="I18" s="127"/>
      <c r="J18" s="127"/>
      <c r="K18" s="19"/>
    </row>
    <row r="19" spans="2:11">
      <c r="B19" s="16"/>
      <c r="C19" s="18"/>
      <c r="D19" s="18"/>
      <c r="E19" s="123"/>
      <c r="F19" s="123"/>
      <c r="G19" s="18"/>
      <c r="H19" s="18"/>
      <c r="I19" s="18"/>
      <c r="J19" s="18"/>
      <c r="K19" s="19"/>
    </row>
    <row r="20" spans="2:11">
      <c r="B20" s="16"/>
      <c r="C20" s="121" t="s">
        <v>394</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8862275.6154788621</v>
      </c>
      <c r="I21" s="125"/>
      <c r="J21" s="125"/>
      <c r="K21" s="19"/>
    </row>
    <row r="22" spans="2:11">
      <c r="B22" s="16"/>
      <c r="C22" s="124" t="s">
        <v>202</v>
      </c>
      <c r="D22" s="56">
        <v>34</v>
      </c>
      <c r="E22" s="60">
        <v>34</v>
      </c>
      <c r="F22" s="60">
        <v>41</v>
      </c>
      <c r="G22" s="47" t="s">
        <v>216</v>
      </c>
      <c r="H22" s="125">
        <f t="shared" ca="1" si="1"/>
        <v>9416167.8414462917</v>
      </c>
      <c r="I22" s="125"/>
      <c r="J22" s="125"/>
      <c r="K22" s="19"/>
    </row>
    <row r="23" spans="2:11">
      <c r="B23" s="16"/>
      <c r="C23" s="124" t="s">
        <v>203</v>
      </c>
      <c r="D23" s="56">
        <v>4</v>
      </c>
      <c r="E23" s="60">
        <v>4</v>
      </c>
      <c r="F23" s="60">
        <v>4</v>
      </c>
      <c r="G23" s="47" t="s">
        <v>216</v>
      </c>
      <c r="H23" s="125">
        <f t="shared" ca="1" si="1"/>
        <v>1107784.4519348578</v>
      </c>
      <c r="I23" s="125"/>
      <c r="J23" s="125"/>
      <c r="K23" s="19"/>
    </row>
    <row r="24" spans="2:11">
      <c r="B24" s="16"/>
      <c r="C24" s="124" t="s">
        <v>204</v>
      </c>
      <c r="D24" s="56">
        <v>19</v>
      </c>
      <c r="E24" s="60">
        <v>17</v>
      </c>
      <c r="F24" s="60">
        <v>22</v>
      </c>
      <c r="G24" s="47" t="s">
        <v>216</v>
      </c>
      <c r="H24" s="125">
        <f t="shared" ca="1" si="1"/>
        <v>5261976.1466905735</v>
      </c>
      <c r="I24" s="125"/>
      <c r="J24" s="125"/>
      <c r="K24" s="19"/>
    </row>
    <row r="25" spans="2:11">
      <c r="B25" s="16"/>
      <c r="C25" s="149" t="s">
        <v>205</v>
      </c>
      <c r="D25" s="56">
        <v>37</v>
      </c>
      <c r="E25" s="60">
        <v>35</v>
      </c>
      <c r="F25" s="60">
        <v>44</v>
      </c>
      <c r="G25" s="47" t="s">
        <v>216</v>
      </c>
      <c r="H25" s="150">
        <f t="shared" ca="1" si="1"/>
        <v>10247006.180397434</v>
      </c>
      <c r="I25" s="125"/>
      <c r="J25" s="125"/>
      <c r="K25" s="19"/>
    </row>
    <row r="26" spans="2:11">
      <c r="B26" s="16"/>
      <c r="C26" s="20" t="s">
        <v>395</v>
      </c>
      <c r="D26" s="20">
        <f>SUM(D21:D25)</f>
        <v>126</v>
      </c>
      <c r="E26" s="115"/>
      <c r="F26" s="115"/>
      <c r="G26" s="20" t="s">
        <v>216</v>
      </c>
      <c r="H26" s="127">
        <f t="shared" ca="1" si="1"/>
        <v>34895210.235948019</v>
      </c>
      <c r="I26" s="127"/>
      <c r="J26" s="127"/>
      <c r="K26" s="19"/>
    </row>
    <row r="27" spans="2:11">
      <c r="B27" s="16"/>
      <c r="C27" s="18"/>
      <c r="D27" s="18"/>
      <c r="E27" s="123"/>
      <c r="F27" s="123"/>
      <c r="G27" s="18"/>
      <c r="H27" s="125"/>
      <c r="I27" s="125"/>
      <c r="J27" s="125"/>
      <c r="K27" s="19"/>
    </row>
    <row r="28" spans="2:11">
      <c r="B28" s="16"/>
      <c r="C28" s="20" t="s">
        <v>396</v>
      </c>
      <c r="D28" s="126">
        <f ca="1">D18+D26</f>
        <v>462.27026530711873</v>
      </c>
      <c r="E28" s="115"/>
      <c r="F28" s="115"/>
      <c r="G28" s="20" t="s">
        <v>216</v>
      </c>
      <c r="H28" s="127">
        <f ca="1">IFERROR(D28/100*EquipPurchase,"")</f>
        <v>128023953.12475695</v>
      </c>
      <c r="I28" s="127"/>
      <c r="J28" s="127"/>
      <c r="K28" s="19"/>
    </row>
    <row r="29" spans="2:11">
      <c r="B29" s="16"/>
      <c r="C29" s="149" t="s">
        <v>206</v>
      </c>
      <c r="D29" s="56">
        <v>75</v>
      </c>
      <c r="E29" s="60">
        <v>65</v>
      </c>
      <c r="F29" s="60">
        <v>85</v>
      </c>
      <c r="G29" s="47" t="s">
        <v>216</v>
      </c>
      <c r="H29" s="150">
        <f ca="1">IFERROR(D29/100*EquipPurchase,"")</f>
        <v>20770958.473778583</v>
      </c>
      <c r="I29" s="125"/>
      <c r="J29" s="42" t="s">
        <v>162</v>
      </c>
      <c r="K29" s="19"/>
    </row>
    <row r="30" spans="2:11">
      <c r="B30" s="16"/>
      <c r="C30" s="20" t="s">
        <v>418</v>
      </c>
      <c r="D30" s="126">
        <f ca="1">D28+D29</f>
        <v>537.27026530711873</v>
      </c>
      <c r="E30" s="115"/>
      <c r="F30" s="115"/>
      <c r="G30" s="20" t="s">
        <v>216</v>
      </c>
      <c r="H30" s="127">
        <f ca="1">IFERROR(D30/100*EquipPurchase,"")</f>
        <v>148794911.59853554</v>
      </c>
      <c r="I30" s="127"/>
      <c r="J30" s="127"/>
      <c r="K30" s="19"/>
    </row>
    <row r="31" spans="2:11" ht="16.5"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defaultColWidth="11" defaultRowHeight="15.75" outlineLevelCol="1"/>
  <cols>
    <col min="1" max="2" width="2.5" style="11" customWidth="1"/>
    <col min="3" max="3" width="39.125" style="11" customWidth="1"/>
    <col min="4" max="4" width="11" style="11" customWidth="1"/>
    <col min="5" max="6" width="11" style="11" customWidth="1" outlineLevel="1"/>
    <col min="7" max="7" width="44.625" style="11" bestFit="1" customWidth="1"/>
    <col min="8" max="8" width="14.125" style="11" bestFit="1" customWidth="1"/>
    <col min="9" max="9" width="16.5" style="11" bestFit="1" customWidth="1"/>
    <col min="10" max="10" width="2.5" style="11" customWidth="1"/>
    <col min="11" max="11" width="4.875" style="11" customWidth="1"/>
    <col min="12" max="12" width="2.5" style="11" customWidth="1"/>
    <col min="13" max="16384" width="11" style="11"/>
  </cols>
  <sheetData>
    <row r="1" spans="2:20" s="10" customFormat="1" ht="24" customHeight="1">
      <c r="B1" s="108" t="str">
        <f>"CatCost v"&amp;Version&amp;": "&amp;EstimateName</f>
        <v>CatCost v1.0.0: FCC RE USY</v>
      </c>
      <c r="G1" s="109" t="s">
        <v>44</v>
      </c>
      <c r="H1" s="110"/>
      <c r="I1" s="110"/>
      <c r="J1" s="110"/>
      <c r="K1" s="110"/>
      <c r="L1" s="110"/>
      <c r="M1" s="110"/>
      <c r="N1" s="110"/>
      <c r="O1" s="110"/>
      <c r="P1" s="110"/>
      <c r="Q1" s="110"/>
      <c r="R1" s="110"/>
      <c r="S1" s="109"/>
      <c r="T1" s="110"/>
    </row>
    <row r="2" spans="2:20" ht="16.5" thickBot="1"/>
    <row r="3" spans="2:20" ht="21" thickBot="1">
      <c r="B3" s="419" t="s">
        <v>1061</v>
      </c>
      <c r="C3" s="420"/>
      <c r="D3" s="420"/>
      <c r="E3" s="420"/>
      <c r="F3" s="420"/>
      <c r="G3" s="421"/>
    </row>
    <row r="4" spans="2:20">
      <c r="B4" s="13"/>
      <c r="C4" s="14"/>
      <c r="D4" s="14"/>
      <c r="E4" s="14"/>
      <c r="F4" s="14"/>
      <c r="G4" s="14"/>
      <c r="H4" s="14"/>
      <c r="I4" s="14"/>
      <c r="J4" s="14"/>
      <c r="K4" s="14"/>
      <c r="L4" s="15"/>
    </row>
    <row r="5" spans="2:20">
      <c r="B5" s="16"/>
      <c r="C5" s="20" t="s">
        <v>390</v>
      </c>
      <c r="D5" s="65" t="s">
        <v>39</v>
      </c>
      <c r="E5" s="65" t="s">
        <v>40</v>
      </c>
      <c r="F5" s="65" t="s">
        <v>41</v>
      </c>
      <c r="G5" s="64" t="s">
        <v>175</v>
      </c>
      <c r="H5" s="64" t="str">
        <f>"Cost ("&amp;CurrencySymbol&amp;"/year)"</f>
        <v>Cost ($/year)</v>
      </c>
      <c r="I5" s="64" t="str">
        <f>"Cost ("&amp;CurrencySymbol&amp;"/"&amp;OutMassUnit&amp;" catalyst)"</f>
        <v>Cost ($/lb catalyst)</v>
      </c>
      <c r="J5" s="64"/>
      <c r="K5" s="64"/>
      <c r="L5" s="19"/>
    </row>
    <row r="6" spans="2:20">
      <c r="B6" s="16"/>
      <c r="C6" s="18"/>
      <c r="D6" s="18"/>
      <c r="E6" s="18"/>
      <c r="F6" s="18"/>
      <c r="G6" s="18"/>
      <c r="H6" s="18"/>
      <c r="I6" s="18"/>
      <c r="J6" s="18"/>
      <c r="K6" s="18"/>
      <c r="L6" s="19"/>
    </row>
    <row r="7" spans="2:20">
      <c r="B7" s="16"/>
      <c r="C7" s="20" t="s">
        <v>419</v>
      </c>
      <c r="D7" s="18"/>
      <c r="E7" s="18"/>
      <c r="F7" s="18"/>
      <c r="G7" s="18"/>
      <c r="H7" s="18"/>
      <c r="I7" s="18"/>
      <c r="J7" s="18"/>
      <c r="K7" s="18"/>
      <c r="L7" s="19"/>
    </row>
    <row r="8" spans="2:20">
      <c r="B8" s="16"/>
      <c r="C8" s="124" t="s">
        <v>208</v>
      </c>
      <c r="D8" s="51">
        <f ca="1">IFERROR(ROUNDUP(LaborFacTotal,0),"")</f>
        <v>13</v>
      </c>
      <c r="E8" s="197">
        <f ca="1">IFERROR(MAX(D8-1,1),"")</f>
        <v>12</v>
      </c>
      <c r="F8" s="142">
        <f ca="1">IFERROR(D8+1,"")</f>
        <v>14</v>
      </c>
      <c r="G8" s="48" t="s">
        <v>421</v>
      </c>
      <c r="H8" s="18"/>
      <c r="I8" s="18"/>
      <c r="J8" s="18"/>
      <c r="K8" s="18"/>
      <c r="L8" s="19"/>
    </row>
    <row r="9" spans="2:20">
      <c r="B9" s="16"/>
      <c r="C9" s="124" t="s">
        <v>209</v>
      </c>
      <c r="D9" s="134">
        <f ca="1">IFERROR(LaborHours*D8,"")</f>
        <v>113880</v>
      </c>
      <c r="E9" s="143"/>
      <c r="F9" s="143"/>
      <c r="G9" s="48" t="s">
        <v>364</v>
      </c>
      <c r="H9" s="18"/>
      <c r="I9" s="18"/>
      <c r="J9" s="18"/>
      <c r="K9" s="18"/>
      <c r="L9" s="19"/>
    </row>
    <row r="10" spans="2:20">
      <c r="B10" s="16"/>
      <c r="C10" s="124" t="s">
        <v>360</v>
      </c>
      <c r="D10" s="141">
        <v>43</v>
      </c>
      <c r="E10" s="72">
        <f>D10*0.9</f>
        <v>38.700000000000003</v>
      </c>
      <c r="F10" s="72">
        <f>D10*1.15</f>
        <v>49.449999999999996</v>
      </c>
      <c r="G10" s="47" t="str">
        <f>CurrencySymbol&amp;"/hr"</f>
        <v>$/hr</v>
      </c>
      <c r="H10" s="18"/>
      <c r="I10" s="18"/>
      <c r="J10" s="18"/>
      <c r="K10" s="18"/>
      <c r="L10" s="19"/>
    </row>
    <row r="11" spans="2:20">
      <c r="B11" s="16"/>
      <c r="C11" s="139" t="s">
        <v>363</v>
      </c>
      <c r="D11" s="135"/>
      <c r="E11" s="143"/>
      <c r="F11" s="143"/>
      <c r="G11" s="48"/>
      <c r="H11" s="140">
        <f ca="1">IFERROR(D9*D10,"")</f>
        <v>4896840</v>
      </c>
      <c r="I11" s="118">
        <f ca="1">IF(H11="","",H11/ActualProduction)</f>
        <v>4.8968400000000002E-2</v>
      </c>
      <c r="J11" s="118"/>
      <c r="K11" s="118"/>
      <c r="L11" s="19"/>
    </row>
    <row r="12" spans="2:20">
      <c r="B12" s="16"/>
      <c r="C12" s="124"/>
      <c r="D12" s="135"/>
      <c r="E12" s="143"/>
      <c r="F12" s="143"/>
      <c r="G12" s="48"/>
      <c r="H12" s="136"/>
      <c r="I12" s="137"/>
      <c r="J12" s="137"/>
      <c r="K12" s="137"/>
      <c r="L12" s="19"/>
    </row>
    <row r="13" spans="2:20">
      <c r="B13" s="16"/>
      <c r="C13" s="121" t="s">
        <v>397</v>
      </c>
      <c r="D13" s="135"/>
      <c r="E13" s="143"/>
      <c r="F13" s="143"/>
      <c r="G13" s="48"/>
      <c r="H13" s="136"/>
      <c r="I13" s="137"/>
      <c r="J13" s="137"/>
      <c r="K13" s="137"/>
      <c r="L13" s="19"/>
    </row>
    <row r="14" spans="2:20">
      <c r="B14" s="16"/>
      <c r="C14" s="124" t="s">
        <v>362</v>
      </c>
      <c r="D14" s="141">
        <v>18</v>
      </c>
      <c r="E14" s="72">
        <v>10</v>
      </c>
      <c r="F14" s="72">
        <v>20</v>
      </c>
      <c r="G14" s="47" t="s">
        <v>361</v>
      </c>
      <c r="H14" s="136">
        <f ca="1">IFERROR(D14/100*$H$11,"")</f>
        <v>881431.2</v>
      </c>
      <c r="I14" s="137">
        <f t="shared" ref="I14:I28" ca="1" si="0">IF(H14="","",H14/ActualProduction)</f>
        <v>8.8143119999999995E-3</v>
      </c>
      <c r="J14" s="137"/>
      <c r="K14" s="137"/>
      <c r="L14" s="19"/>
    </row>
    <row r="15" spans="2:20">
      <c r="B15" s="16"/>
      <c r="C15" s="124" t="s">
        <v>365</v>
      </c>
      <c r="D15" s="141">
        <v>15</v>
      </c>
      <c r="E15" s="72">
        <v>10</v>
      </c>
      <c r="F15" s="72">
        <v>20</v>
      </c>
      <c r="G15" s="47" t="s">
        <v>361</v>
      </c>
      <c r="H15" s="136">
        <f ca="1">IFERROR(D15/100*$H$11,"")</f>
        <v>734526</v>
      </c>
      <c r="I15" s="137">
        <f t="shared" ca="1" si="0"/>
        <v>7.3452600000000002E-3</v>
      </c>
      <c r="J15" s="137"/>
      <c r="K15" s="137"/>
      <c r="L15" s="19"/>
    </row>
    <row r="16" spans="2:20">
      <c r="B16" s="16"/>
      <c r="C16" s="124" t="s">
        <v>369</v>
      </c>
      <c r="D16" s="141">
        <v>5</v>
      </c>
      <c r="E16" s="72">
        <v>5</v>
      </c>
      <c r="F16" s="72">
        <v>9</v>
      </c>
      <c r="G16" s="47" t="s">
        <v>366</v>
      </c>
      <c r="H16" s="125">
        <f ca="1">IFERROR(D16/100*FCI,"")</f>
        <v>6401197.6562378481</v>
      </c>
      <c r="I16" s="137">
        <f t="shared" ca="1" si="0"/>
        <v>6.4011976562378475E-2</v>
      </c>
      <c r="J16" s="137"/>
      <c r="K16" s="137"/>
      <c r="L16" s="19"/>
    </row>
    <row r="17" spans="2:12">
      <c r="B17" s="16"/>
      <c r="C17" s="149" t="s">
        <v>367</v>
      </c>
      <c r="D17" s="141">
        <v>15</v>
      </c>
      <c r="E17" s="72">
        <v>10</v>
      </c>
      <c r="F17" s="72">
        <v>20</v>
      </c>
      <c r="G17" s="47" t="s">
        <v>368</v>
      </c>
      <c r="H17" s="150">
        <f ca="1">IFERROR(D17/100*H16,"")</f>
        <v>960179.64843567717</v>
      </c>
      <c r="I17" s="151">
        <f t="shared" ca="1" si="0"/>
        <v>9.601796484356771E-3</v>
      </c>
      <c r="J17" s="137"/>
      <c r="K17" s="137"/>
      <c r="L17" s="19"/>
    </row>
    <row r="18" spans="2:12">
      <c r="B18" s="16"/>
      <c r="C18" s="121" t="s">
        <v>374</v>
      </c>
      <c r="D18" s="135"/>
      <c r="E18" s="143"/>
      <c r="F18" s="143"/>
      <c r="G18" s="48"/>
      <c r="H18" s="127">
        <f ca="1">SUM(H11:H17)</f>
        <v>13874174.504673524</v>
      </c>
      <c r="I18" s="118">
        <f ca="1">IFERROR(H18/ActualProduction,"")</f>
        <v>0.13874174504673523</v>
      </c>
      <c r="J18" s="118"/>
      <c r="K18" s="118"/>
      <c r="L18" s="19"/>
    </row>
    <row r="19" spans="2:12">
      <c r="B19" s="16"/>
      <c r="C19" s="138"/>
      <c r="D19" s="135"/>
      <c r="E19" s="143"/>
      <c r="F19" s="143"/>
      <c r="G19" s="48"/>
      <c r="H19" s="125"/>
      <c r="I19" s="137" t="str">
        <f t="shared" si="0"/>
        <v/>
      </c>
      <c r="J19" s="137"/>
      <c r="K19" s="137"/>
      <c r="L19" s="19"/>
    </row>
    <row r="20" spans="2:12">
      <c r="B20" s="16"/>
      <c r="C20" s="121" t="s">
        <v>420</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3200598.8281189241</v>
      </c>
      <c r="I21" s="137">
        <f t="shared" ca="1" si="0"/>
        <v>3.2005988281189238E-2</v>
      </c>
      <c r="J21" s="137"/>
      <c r="K21" s="137"/>
      <c r="L21" s="19"/>
    </row>
    <row r="22" spans="2:12">
      <c r="B22" s="16"/>
      <c r="C22" s="124" t="s">
        <v>371</v>
      </c>
      <c r="D22" s="141">
        <v>0.8</v>
      </c>
      <c r="E22" s="72">
        <v>0.4</v>
      </c>
      <c r="F22" s="72">
        <v>1</v>
      </c>
      <c r="G22" s="47" t="s">
        <v>366</v>
      </c>
      <c r="H22" s="125">
        <f ca="1">IFERROR(D22/100*FCI,"")</f>
        <v>1024191.6249980556</v>
      </c>
      <c r="I22" s="137">
        <f t="shared" ca="1" si="0"/>
        <v>1.0241916249980556E-2</v>
      </c>
      <c r="J22" s="137"/>
      <c r="K22" s="137"/>
      <c r="L22" s="19"/>
    </row>
    <row r="23" spans="2:12">
      <c r="B23" s="16"/>
      <c r="C23" s="124" t="s">
        <v>210</v>
      </c>
      <c r="D23" s="141">
        <v>10</v>
      </c>
      <c r="E23" s="72">
        <v>8</v>
      </c>
      <c r="F23" s="72">
        <v>12</v>
      </c>
      <c r="G23" s="47" t="s">
        <v>373</v>
      </c>
      <c r="H23" s="125">
        <f ca="1">IFERROR(D23/100*'3d CapEx'!H17,"")</f>
        <v>166167.66779022865</v>
      </c>
      <c r="I23" s="137">
        <f t="shared" ca="1" si="0"/>
        <v>1.6616766779022866E-3</v>
      </c>
      <c r="J23" s="137"/>
      <c r="K23" s="137"/>
      <c r="L23" s="19"/>
    </row>
    <row r="24" spans="2:12">
      <c r="B24" s="16"/>
      <c r="C24" s="149" t="s">
        <v>211</v>
      </c>
      <c r="D24" s="141">
        <v>60</v>
      </c>
      <c r="E24" s="72">
        <v>50</v>
      </c>
      <c r="F24" s="72">
        <v>70</v>
      </c>
      <c r="G24" s="47" t="s">
        <v>372</v>
      </c>
      <c r="H24" s="150">
        <f ca="1">IF(H18=0,"",D24/100*H18)</f>
        <v>8324504.7028041137</v>
      </c>
      <c r="I24" s="151">
        <f t="shared" ca="1" si="0"/>
        <v>8.3245047028041141E-2</v>
      </c>
      <c r="J24" s="137"/>
      <c r="K24" s="137"/>
      <c r="L24" s="19"/>
    </row>
    <row r="25" spans="2:12">
      <c r="B25" s="16"/>
      <c r="C25" s="20" t="s">
        <v>375</v>
      </c>
      <c r="D25" s="135"/>
      <c r="E25" s="143"/>
      <c r="F25" s="143"/>
      <c r="G25" s="48"/>
      <c r="H25" s="127">
        <f ca="1">SUM(H21:H24)</f>
        <v>12715462.823711321</v>
      </c>
      <c r="I25" s="118">
        <f ca="1">IFERROR(H25/ActualProduction,"")</f>
        <v>0.12715462823711321</v>
      </c>
      <c r="J25" s="118"/>
      <c r="K25" s="118"/>
      <c r="L25" s="19"/>
    </row>
    <row r="26" spans="2:12">
      <c r="B26" s="16"/>
      <c r="C26" s="18"/>
      <c r="D26" s="135"/>
      <c r="E26" s="143"/>
      <c r="F26" s="143"/>
      <c r="G26" s="48"/>
      <c r="H26" s="18"/>
      <c r="I26" s="137" t="str">
        <f t="shared" si="0"/>
        <v/>
      </c>
      <c r="J26" s="137"/>
      <c r="K26" s="137"/>
      <c r="L26" s="19"/>
    </row>
    <row r="27" spans="2:12">
      <c r="B27" s="16"/>
      <c r="C27" s="20" t="s">
        <v>403</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2774834.900934705</v>
      </c>
      <c r="I28" s="137">
        <f t="shared" ca="1" si="0"/>
        <v>2.7748349009347049E-2</v>
      </c>
      <c r="J28" s="137"/>
      <c r="K28" s="137"/>
      <c r="L28" s="19"/>
    </row>
    <row r="29" spans="2:12">
      <c r="B29" s="16"/>
      <c r="C29" s="124" t="s">
        <v>378</v>
      </c>
      <c r="D29" s="141">
        <v>10</v>
      </c>
      <c r="E29" s="72">
        <v>2</v>
      </c>
      <c r="F29" s="72">
        <v>20</v>
      </c>
      <c r="G29" s="47" t="s">
        <v>983</v>
      </c>
      <c r="H29" s="125">
        <f ca="1">D29/100*(MaterialsAnnualCost-IFERROR(IF(VLOOKUP('4 Spent Catalyst'!$D$6,Spent2[],6,FALSE)="Yes",'4 Spent Catalyst'!$D$16*'4 Spent Catalyst'!$D$32,0),0)*ActualProduction+UtilitiesAnnualCost+$H$18+$H$25)</f>
        <v>6800488.9060668321</v>
      </c>
      <c r="I29" s="137">
        <f ca="1">IFERROR(H29/ActualProduction,"")</f>
        <v>6.8004889060668317E-2</v>
      </c>
      <c r="J29" s="137"/>
      <c r="K29" s="42" t="s">
        <v>162</v>
      </c>
      <c r="L29" s="19"/>
    </row>
    <row r="30" spans="2:12">
      <c r="B30" s="16"/>
      <c r="C30" s="149" t="s">
        <v>377</v>
      </c>
      <c r="D30" s="141">
        <v>5</v>
      </c>
      <c r="E30" s="72">
        <v>4</v>
      </c>
      <c r="F30" s="72">
        <v>8</v>
      </c>
      <c r="G30" s="47" t="s">
        <v>983</v>
      </c>
      <c r="H30" s="150">
        <f ca="1">D30/100*(MaterialsAnnualCost-IFERROR(IF(VLOOKUP('4 Spent Catalyst'!$D$6,Spent2[],6,FALSE)="Yes",'4 Spent Catalyst'!$D$16*'4 Spent Catalyst'!$D$32,0),0)*ActualProduction+UtilitiesAnnualCost+$H$18+$H$25)</f>
        <v>3400244.4530334161</v>
      </c>
      <c r="I30" s="151">
        <f ca="1">IFERROR(H30/ActualProduction,"")</f>
        <v>3.4002444530334158E-2</v>
      </c>
      <c r="J30" s="137"/>
      <c r="K30" s="42" t="s">
        <v>162</v>
      </c>
      <c r="L30" s="19"/>
    </row>
    <row r="31" spans="2:12">
      <c r="B31" s="16"/>
      <c r="C31" s="20" t="s">
        <v>379</v>
      </c>
      <c r="D31" s="18"/>
      <c r="E31" s="18"/>
      <c r="F31" s="18"/>
      <c r="G31" s="18"/>
      <c r="H31" s="127">
        <f ca="1">SUM(H28:H30)</f>
        <v>12975568.260034952</v>
      </c>
      <c r="I31" s="118">
        <f ca="1">IFERROR(H31/ActualProduction,"")</f>
        <v>0.12975568260034953</v>
      </c>
      <c r="J31" s="118"/>
      <c r="K31" s="118"/>
      <c r="L31" s="19"/>
    </row>
    <row r="32" spans="2:12" ht="16.5"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2" activePane="bottomLeft" state="frozenSplit"/>
      <selection pane="bottomLeft"/>
    </sheetView>
  </sheetViews>
  <sheetFormatPr defaultColWidth="10.875" defaultRowHeight="15.75" outlineLevelCol="1"/>
  <cols>
    <col min="1" max="2" width="2.5" style="11" customWidth="1"/>
    <col min="3" max="3" width="32.5" style="11" bestFit="1" customWidth="1"/>
    <col min="4" max="4" width="26" style="11" bestFit="1" customWidth="1"/>
    <col min="5" max="6" width="7.875" style="11" hidden="1" customWidth="1" outlineLevel="1"/>
    <col min="7" max="7" width="13.375" style="11" bestFit="1" customWidth="1" collapsed="1"/>
    <col min="8" max="8" width="2.5" style="11" customWidth="1"/>
    <col min="9" max="9" width="4.875" style="11" customWidth="1"/>
    <col min="10" max="10" width="2.5" style="11" customWidth="1"/>
    <col min="11" max="11" width="10.875" style="11"/>
    <col min="12" max="12" width="2.5" style="11" customWidth="1"/>
    <col min="13" max="13" width="21.875" style="11" bestFit="1" customWidth="1"/>
    <col min="14" max="14" width="29.125" style="11" bestFit="1" customWidth="1"/>
    <col min="15" max="15" width="6.5" style="11" bestFit="1" customWidth="1"/>
    <col min="16" max="16" width="2.5" style="11" customWidth="1"/>
    <col min="17" max="17" width="4.875" style="11" customWidth="1"/>
    <col min="18" max="18" width="2.5" style="11" customWidth="1"/>
    <col min="19" max="16384" width="10.875" style="11"/>
  </cols>
  <sheetData>
    <row r="1" spans="1:18" s="10" customFormat="1" ht="24" customHeight="1">
      <c r="A1" s="110"/>
      <c r="B1" s="108" t="str">
        <f>"CatCost v"&amp;Version&amp;": "&amp;EstimateName</f>
        <v>CatCost v1.0.0: FCC RE USY</v>
      </c>
      <c r="G1" s="109" t="s">
        <v>44</v>
      </c>
      <c r="I1" s="110"/>
      <c r="J1" s="110"/>
      <c r="K1" s="110"/>
      <c r="L1" s="110"/>
      <c r="M1" s="110"/>
      <c r="N1" s="110"/>
      <c r="O1" s="110"/>
      <c r="P1" s="110"/>
      <c r="Q1" s="110"/>
      <c r="R1" s="109"/>
    </row>
    <row r="2" spans="1:18" ht="16.5" thickBot="1"/>
    <row r="3" spans="1:18" ht="21" thickBot="1">
      <c r="B3" s="419" t="s">
        <v>993</v>
      </c>
      <c r="C3" s="420"/>
      <c r="D3" s="421"/>
      <c r="H3" s="152"/>
      <c r="L3" s="419" t="s">
        <v>893</v>
      </c>
      <c r="M3" s="420"/>
      <c r="N3" s="421"/>
    </row>
    <row r="4" spans="1:18">
      <c r="B4" s="13"/>
      <c r="C4" s="14"/>
      <c r="D4" s="14"/>
      <c r="E4" s="14"/>
      <c r="F4" s="14"/>
      <c r="G4" s="14"/>
      <c r="H4" s="14"/>
      <c r="I4" s="14"/>
      <c r="J4" s="15"/>
      <c r="L4" s="13"/>
      <c r="M4" s="14"/>
      <c r="N4" s="14"/>
      <c r="O4" s="14"/>
      <c r="P4" s="14"/>
      <c r="Q4" s="14"/>
      <c r="R4" s="15"/>
    </row>
    <row r="5" spans="1:18">
      <c r="B5" s="16"/>
      <c r="C5" s="17" t="s">
        <v>431</v>
      </c>
      <c r="D5" s="18"/>
      <c r="E5" s="18"/>
      <c r="F5" s="18"/>
      <c r="G5" s="231" t="s">
        <v>175</v>
      </c>
      <c r="H5" s="18"/>
      <c r="I5" s="18"/>
      <c r="J5" s="19"/>
      <c r="L5" s="16"/>
      <c r="M5" s="33" t="s">
        <v>895</v>
      </c>
      <c r="N5" s="148" t="s">
        <v>873</v>
      </c>
      <c r="O5" s="18"/>
      <c r="P5" s="18"/>
      <c r="Q5" s="42" t="s">
        <v>162</v>
      </c>
      <c r="R5" s="19"/>
    </row>
    <row r="6" spans="1:18">
      <c r="B6" s="16"/>
      <c r="C6" s="33" t="s">
        <v>819</v>
      </c>
      <c r="D6" s="148"/>
      <c r="E6" s="48"/>
      <c r="F6" s="146"/>
      <c r="G6" s="144"/>
      <c r="H6" s="144"/>
      <c r="I6" s="18"/>
      <c r="J6" s="19"/>
      <c r="L6" s="16"/>
      <c r="M6" s="33" t="s">
        <v>897</v>
      </c>
      <c r="N6" s="48">
        <f>IFERROR(VLOOKUP($N$5,Spent4[],2,FALSE),"")</f>
        <v>46</v>
      </c>
      <c r="O6" s="48" t="s">
        <v>894</v>
      </c>
      <c r="P6" s="18"/>
      <c r="Q6" s="18"/>
      <c r="R6" s="19"/>
    </row>
    <row r="7" spans="1:18">
      <c r="B7" s="16"/>
      <c r="C7" s="144" t="s">
        <v>161</v>
      </c>
      <c r="D7" s="226"/>
      <c r="E7" s="48"/>
      <c r="F7" s="144"/>
      <c r="G7" s="48"/>
      <c r="H7" s="144"/>
      <c r="I7" s="42" t="s">
        <v>162</v>
      </c>
      <c r="J7" s="19"/>
      <c r="L7" s="16"/>
      <c r="M7" s="33" t="s">
        <v>896</v>
      </c>
      <c r="N7" s="128">
        <f>IFERROR(VLOOKUP($N$5,Spent4[],3,FALSE),"")</f>
        <v>736.84931525420961</v>
      </c>
      <c r="O7" s="48" t="s">
        <v>906</v>
      </c>
      <c r="P7" s="18"/>
      <c r="Q7" s="18"/>
      <c r="R7" s="19"/>
    </row>
    <row r="8" spans="1:18">
      <c r="B8" s="16"/>
      <c r="C8" s="144" t="s">
        <v>820</v>
      </c>
      <c r="D8" s="225"/>
      <c r="E8" s="63"/>
      <c r="F8" s="63"/>
      <c r="G8" s="47" t="s">
        <v>9</v>
      </c>
      <c r="H8" s="144"/>
      <c r="I8" s="42" t="s">
        <v>162</v>
      </c>
      <c r="J8" s="19"/>
      <c r="L8" s="16"/>
      <c r="M8" s="33" t="s">
        <v>207</v>
      </c>
      <c r="N8" s="48" t="str">
        <f>IFERROR(VLOOKUP($N$5,Spent4[],4,FALSE),"")</f>
        <v>containing 50% moisture</v>
      </c>
      <c r="O8" s="48"/>
      <c r="P8" s="18"/>
      <c r="Q8" s="18"/>
      <c r="R8" s="19"/>
    </row>
    <row r="9" spans="1:18" ht="16.5" thickBot="1">
      <c r="B9" s="16"/>
      <c r="C9" s="144" t="s">
        <v>821</v>
      </c>
      <c r="D9" s="225"/>
      <c r="E9" s="63"/>
      <c r="F9" s="63"/>
      <c r="G9" s="230" t="s">
        <v>894</v>
      </c>
      <c r="H9" s="144"/>
      <c r="I9" s="42" t="s">
        <v>162</v>
      </c>
      <c r="J9" s="19"/>
      <c r="L9" s="21"/>
      <c r="M9" s="175"/>
      <c r="N9" s="22"/>
      <c r="O9" s="22"/>
      <c r="P9" s="22"/>
      <c r="Q9" s="22"/>
      <c r="R9" s="23"/>
    </row>
    <row r="10" spans="1:18">
      <c r="B10" s="16"/>
      <c r="C10" s="144" t="s">
        <v>1045</v>
      </c>
      <c r="D10" s="227"/>
      <c r="E10" s="48"/>
      <c r="F10" s="144"/>
      <c r="G10" s="48"/>
      <c r="H10" s="144"/>
      <c r="I10" s="42" t="s">
        <v>162</v>
      </c>
      <c r="J10" s="19"/>
    </row>
    <row r="11" spans="1:18">
      <c r="B11" s="16"/>
      <c r="C11" s="144" t="s">
        <v>898</v>
      </c>
      <c r="D11" s="148"/>
      <c r="E11" s="48"/>
      <c r="F11" s="144"/>
      <c r="G11" s="48"/>
      <c r="H11" s="144"/>
      <c r="I11" s="42" t="s">
        <v>162</v>
      </c>
      <c r="J11" s="19"/>
    </row>
    <row r="12" spans="1:18">
      <c r="B12" s="16"/>
      <c r="C12" s="144" t="s">
        <v>1721</v>
      </c>
      <c r="D12" s="148"/>
      <c r="E12" s="48"/>
      <c r="F12" s="146"/>
      <c r="G12" s="48"/>
      <c r="H12" s="18"/>
      <c r="I12" s="42" t="s">
        <v>162</v>
      </c>
      <c r="J12" s="19"/>
    </row>
    <row r="13" spans="1:18">
      <c r="B13" s="16"/>
      <c r="C13" s="145"/>
      <c r="D13" s="147"/>
      <c r="E13" s="147"/>
      <c r="F13" s="147"/>
      <c r="G13" s="147"/>
      <c r="H13" s="147"/>
      <c r="I13" s="18"/>
      <c r="J13" s="19"/>
    </row>
    <row r="14" spans="1:18">
      <c r="B14" s="16"/>
      <c r="C14" s="17" t="s">
        <v>1024</v>
      </c>
      <c r="D14" s="65" t="s">
        <v>39</v>
      </c>
      <c r="E14" s="65" t="s">
        <v>40</v>
      </c>
      <c r="F14" s="65" t="s">
        <v>41</v>
      </c>
      <c r="G14" s="231" t="s">
        <v>175</v>
      </c>
      <c r="H14" s="147"/>
      <c r="I14" s="18"/>
      <c r="J14" s="19"/>
    </row>
    <row r="15" spans="1:18">
      <c r="B15" s="16"/>
      <c r="C15" s="33" t="s">
        <v>1027</v>
      </c>
      <c r="D15" s="327"/>
      <c r="E15" s="65"/>
      <c r="F15" s="65"/>
      <c r="G15" s="231"/>
      <c r="H15" s="147"/>
      <c r="I15" s="18"/>
      <c r="J15" s="19"/>
    </row>
    <row r="16" spans="1:18">
      <c r="B16" s="16"/>
      <c r="C16" s="237" t="s">
        <v>1047</v>
      </c>
      <c r="D16" s="54">
        <f>IFERROR($D$8/100*APWeightPercent/100,"")</f>
        <v>0</v>
      </c>
      <c r="E16" s="233"/>
      <c r="F16" s="233"/>
      <c r="G16" s="48" t="str">
        <f>OutMassUnit&amp;"/"&amp;OutMassUnit&amp;" catalyst"</f>
        <v>lb/lb catalyst</v>
      </c>
      <c r="H16" s="147"/>
      <c r="I16" s="42" t="s">
        <v>162</v>
      </c>
      <c r="J16" s="19"/>
    </row>
    <row r="17" spans="2:10">
      <c r="B17" s="16"/>
      <c r="C17" s="237" t="s">
        <v>831</v>
      </c>
      <c r="D17" s="328" t="str">
        <f>IFERROR(VLOOKUP($D$7,Spent1[],IF($D$10="Fixed Bed",7,IF($D$10="Slurry/Fluidized Bed",13,0)),FALSE),"")</f>
        <v/>
      </c>
      <c r="E17" s="319" t="str">
        <f>IFERROR(VLOOKUP($D$7,Spent1[],IF($D$10="Fixed Bed",5,IF($D$10="Slurry/Fluidized Bed",11,0)),FALSE),"")</f>
        <v/>
      </c>
      <c r="F17" s="319" t="str">
        <f>IFERROR(VLOOKUP($D$7,Spent1[],IF($D$10="Fixed Bed",6,IF($D$10="Slurry/Fluidized Bed",12,0)),FALSE),"")</f>
        <v/>
      </c>
      <c r="G17" s="48" t="s">
        <v>9</v>
      </c>
      <c r="H17" s="18"/>
      <c r="I17" s="42" t="s">
        <v>162</v>
      </c>
      <c r="J17" s="19"/>
    </row>
    <row r="18" spans="2:10">
      <c r="B18" s="16"/>
      <c r="C18" s="237" t="s">
        <v>1049</v>
      </c>
      <c r="D18" s="54" t="str">
        <f>IFERROR(D16*(100-D17)/100,"")</f>
        <v/>
      </c>
      <c r="E18" s="320"/>
      <c r="F18" s="320"/>
      <c r="G18" s="48" t="str">
        <f>OutMassUnit&amp;"/"&amp;OutMassUnit&amp;" catalyst"</f>
        <v>lb/lb catalyst</v>
      </c>
      <c r="H18" s="18"/>
      <c r="I18" s="18"/>
      <c r="J18" s="19"/>
    </row>
    <row r="19" spans="2:10">
      <c r="B19" s="16"/>
      <c r="C19" s="33" t="s">
        <v>1028</v>
      </c>
      <c r="D19" s="329"/>
      <c r="E19" s="135"/>
      <c r="F19" s="135"/>
      <c r="G19" s="145"/>
      <c r="H19" s="18"/>
      <c r="I19" s="18"/>
      <c r="J19" s="19"/>
    </row>
    <row r="20" spans="2:10">
      <c r="B20" s="16"/>
      <c r="C20" s="237" t="s">
        <v>1048</v>
      </c>
      <c r="D20" s="54">
        <f>IFERROR(1-APWeightPercent/100,"")</f>
        <v>0</v>
      </c>
      <c r="E20" s="135"/>
      <c r="F20" s="135"/>
      <c r="G20" s="48" t="str">
        <f>OutMassUnit&amp;"/"&amp;OutMassUnit&amp;" catalyst"</f>
        <v>lb/lb catalyst</v>
      </c>
      <c r="H20" s="18"/>
      <c r="I20" s="18"/>
      <c r="J20" s="19"/>
    </row>
    <row r="21" spans="2:10">
      <c r="B21" s="16"/>
      <c r="C21" s="237" t="s">
        <v>1029</v>
      </c>
      <c r="D21" s="328" t="str">
        <f>IFERROR(VLOOKUP($D$7,Spent1[],IF($D$10="Fixed Bed",4,IF($D$10="Slurry/Fluidized Bed",10,0)),FALSE),"")</f>
        <v/>
      </c>
      <c r="E21" s="319" t="str">
        <f>IFERROR(VLOOKUP($D$7,Spent1[],IF($D$10="Fixed Bed",2,IF($D$10="Slurry/Fluidized Bed",8,0)),FALSE),"")</f>
        <v/>
      </c>
      <c r="F21" s="319" t="str">
        <f>IFERROR(VLOOKUP($D$7,Spent1[],IF($D$10="Fixed Bed",3,IF($D$10="Slurry/Fluidized Bed",9,0)),FALSE),"")</f>
        <v/>
      </c>
      <c r="G21" s="48" t="s">
        <v>9</v>
      </c>
      <c r="H21" s="18"/>
      <c r="I21" s="42" t="s">
        <v>162</v>
      </c>
      <c r="J21" s="19"/>
    </row>
    <row r="22" spans="2:10">
      <c r="B22" s="16"/>
      <c r="C22" s="237" t="s">
        <v>1032</v>
      </c>
      <c r="D22" s="54" t="str">
        <f>IFERROR(D20*(100-D21)/100,"")</f>
        <v/>
      </c>
      <c r="E22" s="18"/>
      <c r="F22" s="18"/>
      <c r="G22" s="48" t="str">
        <f>OutMassUnit&amp;"/"&amp;OutMassUnit&amp;" catalyst"</f>
        <v>lb/lb catalyst</v>
      </c>
      <c r="H22" s="18"/>
      <c r="I22" s="18"/>
      <c r="J22" s="19"/>
    </row>
    <row r="23" spans="2:10">
      <c r="B23" s="16"/>
      <c r="C23" s="33" t="s">
        <v>1030</v>
      </c>
      <c r="D23" s="329"/>
      <c r="E23" s="18"/>
      <c r="F23" s="18"/>
      <c r="G23" s="145"/>
      <c r="H23" s="18"/>
      <c r="I23" s="18"/>
      <c r="J23" s="19"/>
    </row>
    <row r="24" spans="2:10">
      <c r="B24" s="16"/>
      <c r="C24" s="237" t="s">
        <v>1050</v>
      </c>
      <c r="D24" s="54">
        <f>IFERROR(SUM(D18,D22),"")</f>
        <v>0</v>
      </c>
      <c r="E24" s="18"/>
      <c r="F24" s="18"/>
      <c r="G24" s="48" t="str">
        <f>OutMassUnit&amp;"/"&amp;OutMassUnit&amp;" catalyst"</f>
        <v>lb/lb catalyst</v>
      </c>
      <c r="H24" s="18"/>
      <c r="I24" s="18"/>
      <c r="J24" s="19"/>
    </row>
    <row r="25" spans="2:10">
      <c r="B25" s="16"/>
      <c r="C25" s="237" t="s">
        <v>1051</v>
      </c>
      <c r="D25" s="54" t="str">
        <f>IFERROR($D$24*VLOOKUP(OutMassUnit,UnitConv[],5,FALSE)/VLOOKUP("lb",UnitConv[],5,FALSE)/$D$9*IF($G$9="lb/ft3",1,IF($G$9="kg/m3",0.45359237/28.31684659*1000,"")),"")</f>
        <v/>
      </c>
      <c r="E25" s="18"/>
      <c r="F25" s="18"/>
      <c r="G25" s="48" t="str">
        <f>"ft3/"&amp;OutMassUnit&amp;" catalyst"</f>
        <v>ft3/lb catalyst</v>
      </c>
      <c r="H25" s="18"/>
      <c r="I25" s="18"/>
      <c r="J25" s="19"/>
    </row>
    <row r="26" spans="2:10">
      <c r="B26" s="16"/>
      <c r="C26" s="20"/>
      <c r="D26" s="147"/>
      <c r="E26" s="18"/>
      <c r="F26" s="18"/>
      <c r="G26" s="145"/>
      <c r="H26" s="18"/>
      <c r="I26" s="18"/>
      <c r="J26" s="19"/>
    </row>
    <row r="27" spans="2:10">
      <c r="B27" s="16"/>
      <c r="C27" s="17" t="s">
        <v>1031</v>
      </c>
      <c r="D27" s="65" t="s">
        <v>39</v>
      </c>
      <c r="E27" s="65" t="s">
        <v>40</v>
      </c>
      <c r="F27" s="65" t="s">
        <v>41</v>
      </c>
      <c r="G27" s="231" t="s">
        <v>175</v>
      </c>
      <c r="H27" s="18"/>
      <c r="I27" s="18"/>
      <c r="J27" s="19"/>
    </row>
    <row r="28" spans="2:10">
      <c r="B28" s="16"/>
      <c r="C28" s="33" t="s">
        <v>1025</v>
      </c>
      <c r="D28" s="65"/>
      <c r="E28" s="65"/>
      <c r="F28" s="65"/>
      <c r="G28" s="231"/>
      <c r="H28" s="18"/>
      <c r="I28" s="18"/>
      <c r="J28" s="19"/>
    </row>
    <row r="29" spans="2:10">
      <c r="B29" s="16"/>
      <c r="C29" s="237" t="s">
        <v>832</v>
      </c>
      <c r="D29" s="328" t="str">
        <f>IFERROR(VLOOKUP($D$6,Spent2[],4,FALSE),"")</f>
        <v/>
      </c>
      <c r="E29" s="319" t="str">
        <f>IFERROR(VLOOKUP($D$6,Spent2[],2,FALSE),"")</f>
        <v/>
      </c>
      <c r="F29" s="319" t="str">
        <f>IFERROR(VLOOKUP($D$6,Spent2[],3,FALSE),"")</f>
        <v/>
      </c>
      <c r="G29" s="48" t="s">
        <v>9</v>
      </c>
      <c r="H29" s="18"/>
      <c r="I29" s="18"/>
      <c r="J29" s="19"/>
    </row>
    <row r="30" spans="2:10">
      <c r="B30" s="16"/>
      <c r="C30" s="237" t="s">
        <v>822</v>
      </c>
      <c r="D30" s="54" t="str">
        <f>IFERROR(D18*(100-D29)/100,"")</f>
        <v/>
      </c>
      <c r="E30" s="320"/>
      <c r="F30" s="320"/>
      <c r="G30" s="48" t="str">
        <f>OutMassUnit&amp;"/"&amp;OutMassUnit&amp;" catalyst"</f>
        <v>lb/lb catalyst</v>
      </c>
      <c r="H30" s="18"/>
      <c r="I30" s="18"/>
      <c r="J30" s="19"/>
    </row>
    <row r="31" spans="2:10">
      <c r="B31" s="16"/>
      <c r="C31" s="237" t="s">
        <v>908</v>
      </c>
      <c r="D31" s="54" t="str">
        <f>IFERROR(D30*VLOOKUP(OutMassUnit,UnitConv[],5,FALSE)/VLOOKUP("oz t",UnitConv[],5,FALSE),"")</f>
        <v/>
      </c>
      <c r="E31" s="320"/>
      <c r="F31" s="320"/>
      <c r="G31" s="48" t="str">
        <f>"oz t/"&amp;OutMassUnit&amp;" catalyst"</f>
        <v>oz t/lb catalyst</v>
      </c>
      <c r="H31" s="18"/>
      <c r="I31" s="18"/>
      <c r="J31" s="19"/>
    </row>
    <row r="32" spans="2:10">
      <c r="B32" s="16"/>
      <c r="C32" s="237" t="s">
        <v>1069</v>
      </c>
      <c r="D32" s="228" t="str">
        <f>IFERROR(VLOOKUP($D$6,Spent2[],13,FALSE),"")</f>
        <v/>
      </c>
      <c r="E32" s="232"/>
      <c r="F32" s="232"/>
      <c r="G32" s="48" t="str">
        <f>CurrencySymbol&amp;"/"&amp;OutMassUnit&amp;" metal"</f>
        <v>$/lb metal</v>
      </c>
      <c r="H32" s="18"/>
      <c r="I32" s="42" t="s">
        <v>162</v>
      </c>
      <c r="J32" s="19"/>
    </row>
    <row r="33" spans="2:10">
      <c r="B33" s="16"/>
      <c r="C33" s="330" t="s">
        <v>823</v>
      </c>
      <c r="D33" s="333" t="str">
        <f>IFERROR(D30*D32,"")</f>
        <v/>
      </c>
      <c r="E33" s="332"/>
      <c r="F33" s="332"/>
      <c r="G33" s="159" t="str">
        <f>CurrencySymbol&amp;"/"&amp;OutMassUnit&amp;" catalyst"</f>
        <v>$/lb catalyst</v>
      </c>
      <c r="H33" s="18"/>
      <c r="I33" s="18"/>
      <c r="J33" s="19"/>
    </row>
    <row r="34" spans="2:10">
      <c r="B34" s="16"/>
      <c r="C34" s="317" t="s">
        <v>1026</v>
      </c>
      <c r="D34" s="229"/>
      <c r="E34" s="234"/>
      <c r="F34" s="234"/>
      <c r="G34" s="20"/>
      <c r="H34" s="18"/>
      <c r="I34" s="42" t="s">
        <v>162</v>
      </c>
      <c r="J34" s="19"/>
    </row>
    <row r="35" spans="2:10">
      <c r="B35" s="16"/>
      <c r="C35" s="237" t="s">
        <v>824</v>
      </c>
      <c r="D35" s="228" t="str">
        <f>IFERROR(VLOOKUP($D$7,Spent1[],19,FALSE)*$D$25*VLOOKUP(BasisYear,ChemPPI[],14,FALSE)/VLOOKUP(2016,ChemPPI[],14,FALSE),"")</f>
        <v/>
      </c>
      <c r="E35" s="235" t="e">
        <f>IFERROR(VLOOKUP($D$7,Spent1[],17,FALSE)*$D$25,"")*VLOOKUP(BasisYear,ChemPPI[],14,FALSE)/VLOOKUP(2016,ChemPPI[],14,FALSE)</f>
        <v>#VALUE!</v>
      </c>
      <c r="F35" s="235" t="e">
        <f>IFERROR(VLOOKUP($D$7,Spent1[],18,FALSE)*$D$25,"")*VLOOKUP(BasisYear,ChemPPI[],14,FALSE)/VLOOKUP(2016,ChemPPI[],14,FALSE)</f>
        <v>#VALUE!</v>
      </c>
      <c r="G35" s="48" t="str">
        <f>CurrencySymbol&amp;"/"&amp;OutMassUnit&amp;" catalyst"</f>
        <v>$/lb catalyst</v>
      </c>
      <c r="H35" s="18"/>
      <c r="I35" s="42" t="s">
        <v>162</v>
      </c>
      <c r="J35" s="19"/>
    </row>
    <row r="36" spans="2:10">
      <c r="B36" s="16"/>
      <c r="C36" s="237" t="s">
        <v>825</v>
      </c>
      <c r="D36" s="228" t="str">
        <f>IFERROR(VLOOKUP($D$7,Spent1[],16,FALSE)*$D$24*VLOOKUP(OutMassUnit,UnitConv[],5,FALSE)/VLOOKUP("lb",UnitConv[],5,FALSE)*VLOOKUP(BasisYear,ChemPPI[],14,FALSE)/VLOOKUP(2016,ChemPPI[],14,FALSE),"")</f>
        <v/>
      </c>
      <c r="E36" s="235" t="e">
        <f>IFERROR(VLOOKUP($D$7,Spent1[],14,FALSE)*$D$24*VLOOKUP(OutMassUnit,UnitConv[],5,FALSE)/VLOOKUP("lb",UnitConv[],5,FALSE),"")*VLOOKUP(BasisYear,ChemPPI[],14,FALSE)/VLOOKUP(2016,ChemPPI[],14,FALSE)</f>
        <v>#VALUE!</v>
      </c>
      <c r="F36" s="235" t="e">
        <f>IFERROR(VLOOKUP($D$7,Spent1[],15,FALSE)*$D$24*VLOOKUP(OutMassUnit,UnitConv[],5,FALSE)/VLOOKUP("lb",UnitConv[],5,FALSE),"")*VLOOKUP(BasisYear,ChemPPI[],14,FALSE)/VLOOKUP(2016,ChemPPI[],14,FALSE)</f>
        <v>#VALUE!</v>
      </c>
      <c r="G36" s="48" t="str">
        <f>CurrencySymbol&amp;"/"&amp;OutMassUnit&amp;" catalyst"</f>
        <v>$/lb catalyst</v>
      </c>
      <c r="H36" s="18"/>
      <c r="I36" s="42" t="s">
        <v>162</v>
      </c>
      <c r="J36" s="19"/>
    </row>
    <row r="37" spans="2:10">
      <c r="B37" s="16"/>
      <c r="C37" s="237" t="s">
        <v>826</v>
      </c>
      <c r="D37" s="228" t="str">
        <f>IFERROR(VLOOKUP($D$6,Spent2[],5,FALSE)*$D$31*VLOOKUP(BasisYear,ChemPPI[],14,FALSE)/VLOOKUP(2016,ChemPPI[],14,FALSE),"")</f>
        <v/>
      </c>
      <c r="E37" s="232"/>
      <c r="F37" s="232"/>
      <c r="G37" s="48" t="str">
        <f>CurrencySymbol&amp;"/"&amp;OutMassUnit&amp;" catalyst"</f>
        <v>$/lb catalyst</v>
      </c>
      <c r="H37" s="18"/>
      <c r="I37" s="42" t="s">
        <v>162</v>
      </c>
      <c r="J37" s="19"/>
    </row>
    <row r="38" spans="2:10">
      <c r="B38" s="16"/>
      <c r="C38" s="237" t="s">
        <v>827</v>
      </c>
      <c r="D38" s="228" t="str">
        <f>IF($D$11="Yes",IFERROR(VLOOKUP($D$7,Spent1[],22,FALSE)*$D$25*VLOOKUP(BasisYear,ChemPPI[],14,FALSE)/VLOOKUP(2016,ChemPPI[],14,FALSE),""),IF($D$11="No",0,""))</f>
        <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$/lb catalyst</v>
      </c>
      <c r="H38" s="18"/>
      <c r="I38" s="42" t="s">
        <v>162</v>
      </c>
      <c r="J38" s="19"/>
    </row>
    <row r="39" spans="2:10">
      <c r="B39" s="16"/>
      <c r="C39" s="330" t="s">
        <v>1052</v>
      </c>
      <c r="D39" s="331">
        <f>SUM(D35:D38)</f>
        <v>0</v>
      </c>
      <c r="E39" s="332"/>
      <c r="F39" s="332"/>
      <c r="G39" s="159" t="str">
        <f>CurrencySymbol&amp;"/"&amp;OutMassUnit&amp;" catalyst"</f>
        <v>$/lb catalyst</v>
      </c>
      <c r="H39" s="18"/>
      <c r="I39" s="18"/>
      <c r="J39" s="19"/>
    </row>
    <row r="40" spans="2:10">
      <c r="B40" s="16"/>
      <c r="C40" s="20"/>
      <c r="D40" s="147"/>
      <c r="E40" s="18"/>
      <c r="F40" s="18"/>
      <c r="G40" s="145"/>
      <c r="H40" s="18"/>
      <c r="I40" s="18"/>
      <c r="J40" s="19"/>
    </row>
    <row r="41" spans="2:10">
      <c r="B41" s="16"/>
      <c r="C41" s="17" t="s">
        <v>828</v>
      </c>
      <c r="D41" s="147"/>
      <c r="E41" s="18"/>
      <c r="F41" s="18"/>
      <c r="G41" s="145"/>
      <c r="H41" s="18"/>
      <c r="I41" s="18"/>
      <c r="J41" s="19"/>
    </row>
    <row r="42" spans="2:10">
      <c r="B42" s="16"/>
      <c r="C42" s="20" t="s">
        <v>829</v>
      </c>
      <c r="D42" s="362" t="str">
        <f>IFERROR(-VLOOKUP($D$12,Spent3[],4,FALSE)*$D$24*VLOOKUP(OutMassUnit,UnitConv[],5,FALSE)/VLOOKUP("lb",UnitConv[],5,FALSE)*VLOOKUP(BasisYear,ChemPPI[],14,FALSE)/VLOOKUP(2016,ChemPPI[],14,FALSE),"")</f>
        <v/>
      </c>
      <c r="E42" s="362" t="e">
        <f>IFERROR(-VLOOKUP($D$12,Spent3[],2,FALSE)*$D$24*VLOOKUP(OutMassUnit,UnitConv[],5,FALSE)/VLOOKUP("lb",UnitConv[],5,FALSE),"")*VLOOKUP(BasisYear,ChemPPI[],14,FALSE)/VLOOKUP(2016,ChemPPI[],14,FALSE)</f>
        <v>#VALUE!</v>
      </c>
      <c r="F42" s="362" t="e">
        <f>IFERROR(-VLOOKUP($D$12,Spent3[],3,FALSE)*$D$24*VLOOKUP(OutMassUnit,UnitConv[],5,FALSE)/VLOOKUP("lb",UnitConv[],5,FALSE),"")*VLOOKUP(BasisYear,ChemPPI[],14,FALSE)/VLOOKUP(2016,ChemPPI[],14,FALSE)</f>
        <v>#VALUE!</v>
      </c>
      <c r="G42" s="20" t="str">
        <f>CurrencySymbol&amp;"/"&amp;OutMassUnit&amp;" catalyst"</f>
        <v>$/lb catalyst</v>
      </c>
      <c r="H42" s="18"/>
      <c r="I42" s="18"/>
      <c r="J42" s="19"/>
    </row>
    <row r="43" spans="2:10">
      <c r="B43" s="16"/>
      <c r="C43" s="20" t="s">
        <v>830</v>
      </c>
      <c r="D43" s="362" t="str">
        <f>IFERROR(VLOOKUP($D$12,Spent3[],7,FALSE)*$D$24*VLOOKUP(OutMassUnit,UnitConv[],5,FALSE)/VLOOKUP("lb",UnitConv[],5,FALSE)*VLOOKUP(BasisYear,ChemPPI[],14,FALSE)/VLOOKUP(2016,ChemPPI[],14,FALSE),"")</f>
        <v/>
      </c>
      <c r="E43" s="362" t="e">
        <f>IFERROR(VLOOKUP($D$12,Spent3[],5,FALSE)*$D$24*VLOOKUP(OutMassUnit,UnitConv[],5,FALSE)/VLOOKUP("lb",UnitConv[],5,FALSE),"")*VLOOKUP(BasisYear,ChemPPI[],14,FALSE)/VLOOKUP(2016,ChemPPI[],14,FALSE)</f>
        <v>#VALUE!</v>
      </c>
      <c r="F43" s="362" t="e">
        <f>IFERROR(VLOOKUP($D$12,Spent3[],6,FALSE)*$D$24*VLOOKUP(OutMassUnit,UnitConv[],5,FALSE)/VLOOKUP("lb",UnitConv[],5,FALSE),"")*VLOOKUP(BasisYear,ChemPPI[],14,FALSE)/VLOOKUP(2016,ChemPPI[],14,FALSE)</f>
        <v>#VALUE!</v>
      </c>
      <c r="G43" s="20" t="str">
        <f>CurrencySymbol&amp;"/"&amp;OutMassUnit&amp;" catalyst"</f>
        <v>$/lb catalyst</v>
      </c>
      <c r="H43" s="18"/>
      <c r="I43" s="18"/>
      <c r="J43" s="19"/>
    </row>
    <row r="44" spans="2:10">
      <c r="B44" s="16"/>
      <c r="C44" s="20"/>
      <c r="D44" s="147"/>
      <c r="E44" s="18"/>
      <c r="F44" s="18"/>
      <c r="G44" s="145"/>
      <c r="H44" s="18"/>
      <c r="I44" s="18"/>
      <c r="J44" s="19"/>
    </row>
    <row r="45" spans="2:10">
      <c r="B45" s="16"/>
      <c r="C45" s="360" t="s">
        <v>1118</v>
      </c>
      <c r="D45" s="361" t="str">
        <f>IFERROR(IF(COUNTBLANK(D6:D12)+COUNTBLANK(G9)&gt;0,"&gt;&gt;&gt; Complete Inputs &lt;&lt;&lt;",IF(D43&lt;&gt;0,IF(D33-D39&gt;D43,"Metals Recovery","Sale"),IF(D33-D39&gt;D43,"Metals Recovery","Landfill"))),"")</f>
        <v>&gt;&gt;&gt; Complete Inputs &lt;&lt;&lt;</v>
      </c>
      <c r="E45" s="18"/>
      <c r="F45" s="18"/>
      <c r="G45" s="145"/>
      <c r="H45" s="18"/>
      <c r="I45" s="18"/>
      <c r="J45" s="19"/>
    </row>
    <row r="46" spans="2:10">
      <c r="B46" s="16"/>
      <c r="C46" s="20"/>
      <c r="D46" s="147"/>
      <c r="E46" s="18"/>
      <c r="F46" s="18"/>
      <c r="G46" s="145"/>
      <c r="H46" s="18"/>
      <c r="I46" s="18"/>
      <c r="J46" s="19"/>
    </row>
    <row r="47" spans="2:10" ht="16.5" thickBot="1">
      <c r="B47" s="16"/>
      <c r="C47" s="158" t="s">
        <v>1053</v>
      </c>
      <c r="D47" s="334" t="str">
        <f>IFERROR(IF(COUNTBLANK(D6:D12)+COUNTBLANK(G9)&gt;0,"&gt;&gt;&gt; Complete Inputs &lt;&lt;&lt;",IF(D43&lt;&gt;0,MAX(D43,D33-D39),MAX(D42,D33-D39))),"")</f>
        <v>&gt;&gt;&gt; Complete Inputs &lt;&lt;&lt;</v>
      </c>
      <c r="E47" s="335"/>
      <c r="F47" s="335"/>
      <c r="G47" s="158" t="str">
        <f>CurrencySymbol&amp;"/"&amp;OutMassUnit&amp;" catalyst"</f>
        <v>$/lb catalyst</v>
      </c>
      <c r="H47" s="18"/>
      <c r="I47" s="18"/>
      <c r="J47" s="19"/>
    </row>
    <row r="48" spans="2:10" ht="17.25"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048576 A6:C6 E6:XFD6 A7:C7 E7:XFD7 A8:C8 E8:XFD8 A9:C9 E9:XFD9 A10:C10 E10:XFD10 A11:C11 E11:XFD11 A12:C12 E12:XFD12"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workbookViewId="0">
      <pane ySplit="1" topLeftCell="A2" activePane="bottomLeft" state="frozenSplit"/>
      <selection pane="bottomLeft"/>
    </sheetView>
  </sheetViews>
  <sheetFormatPr defaultColWidth="10.875" defaultRowHeight="15.75"/>
  <cols>
    <col min="1" max="2" width="2.5" style="50" customWidth="1"/>
    <col min="3" max="3" width="36.125" style="50" bestFit="1" customWidth="1"/>
    <col min="4" max="4" width="16.875" style="50" customWidth="1"/>
    <col min="5" max="5" width="19.5" style="50" customWidth="1"/>
    <col min="6" max="6" width="2.5" style="50" customWidth="1"/>
    <col min="7" max="16384" width="10.875" style="50"/>
  </cols>
  <sheetData>
    <row r="1" spans="2:18" s="10" customFormat="1" ht="24" customHeight="1">
      <c r="B1" s="108" t="str">
        <f>"CatCost v"&amp;Version&amp;": "&amp;EstimateName</f>
        <v>CatCost v1.0.0: FCC RE USY</v>
      </c>
      <c r="G1" s="109"/>
      <c r="H1" s="110"/>
      <c r="I1" s="110"/>
      <c r="J1" s="110"/>
      <c r="K1" s="110"/>
      <c r="L1" s="110"/>
      <c r="M1" s="110"/>
      <c r="N1" s="110"/>
      <c r="O1" s="110"/>
      <c r="P1" s="110"/>
      <c r="Q1" s="109"/>
      <c r="R1" s="110"/>
    </row>
    <row r="2" spans="2:18" s="11" customFormat="1" ht="16.5" thickBot="1"/>
    <row r="3" spans="2:18" ht="21" thickBot="1">
      <c r="B3" s="419" t="s">
        <v>423</v>
      </c>
      <c r="C3" s="420"/>
      <c r="D3" s="421"/>
    </row>
    <row r="4" spans="2:18">
      <c r="B4" s="153"/>
      <c r="C4" s="154"/>
      <c r="D4" s="154"/>
      <c r="E4" s="154"/>
      <c r="F4" s="155"/>
    </row>
    <row r="5" spans="2:18">
      <c r="B5" s="32"/>
      <c r="C5" s="17" t="s">
        <v>971</v>
      </c>
      <c r="D5" s="33"/>
      <c r="E5" s="33"/>
      <c r="F5" s="34"/>
    </row>
    <row r="6" spans="2:18">
      <c r="B6" s="32"/>
      <c r="C6" s="33" t="s">
        <v>1023</v>
      </c>
      <c r="D6" s="43" t="s">
        <v>409</v>
      </c>
      <c r="E6" s="33"/>
      <c r="F6" s="34"/>
    </row>
    <row r="7" spans="2:18">
      <c r="B7" s="32"/>
      <c r="C7" s="20"/>
      <c r="D7" s="33"/>
      <c r="E7" s="33"/>
      <c r="F7" s="34"/>
    </row>
    <row r="8" spans="2:18">
      <c r="B8" s="32"/>
      <c r="C8" s="17" t="s">
        <v>970</v>
      </c>
      <c r="D8" s="33"/>
      <c r="E8" s="33"/>
      <c r="F8" s="34"/>
    </row>
    <row r="9" spans="2:18">
      <c r="B9" s="32"/>
      <c r="C9" s="33" t="s">
        <v>1811</v>
      </c>
      <c r="D9" s="43" t="s">
        <v>122</v>
      </c>
      <c r="E9" s="33"/>
      <c r="F9" s="34"/>
    </row>
    <row r="10" spans="2:18" ht="16.5" thickBot="1">
      <c r="B10" s="39"/>
      <c r="C10" s="175"/>
      <c r="D10" s="176"/>
      <c r="E10" s="175"/>
      <c r="F10" s="41"/>
    </row>
    <row r="11" spans="2:18" hidden="1">
      <c r="B11" s="32"/>
      <c r="C11" s="33"/>
      <c r="D11" s="33"/>
      <c r="E11" s="33"/>
      <c r="F11" s="34"/>
    </row>
    <row r="12" spans="2:18" ht="20.25" hidden="1">
      <c r="B12" s="32"/>
      <c r="C12" s="437" t="s">
        <v>1826</v>
      </c>
      <c r="D12" s="437"/>
      <c r="E12" s="437"/>
      <c r="F12" s="34"/>
    </row>
    <row r="13" spans="2:18" ht="21" hidden="1" thickBot="1">
      <c r="B13" s="32"/>
      <c r="C13" s="436" t="str">
        <f>IF(EstimateName="","",EstimateName)</f>
        <v>FCC RE USY</v>
      </c>
      <c r="D13" s="436"/>
      <c r="E13" s="436"/>
      <c r="F13" s="34"/>
    </row>
    <row r="14" spans="2:18" hidden="1">
      <c r="B14" s="32"/>
      <c r="C14" s="20"/>
      <c r="D14" s="20"/>
      <c r="E14" s="20"/>
      <c r="F14" s="34"/>
    </row>
    <row r="15" spans="2:18" hidden="1">
      <c r="B15" s="32"/>
      <c r="C15" s="159" t="s">
        <v>975</v>
      </c>
      <c r="D15" s="159">
        <f>IF(BasisYear="","-----",BasisYear)</f>
        <v>2016</v>
      </c>
      <c r="E15" s="159"/>
      <c r="F15" s="34"/>
    </row>
    <row r="16" spans="2:18" hidden="1">
      <c r="B16" s="32"/>
      <c r="C16" s="360" t="s">
        <v>1812</v>
      </c>
      <c r="D16" s="360" t="str">
        <f>IF(StepOrderSize="","-----",StepOrderSize)</f>
        <v>-----</v>
      </c>
      <c r="E16" s="360" t="s">
        <v>1813</v>
      </c>
      <c r="F16" s="34"/>
    </row>
    <row r="17" spans="2:6" hidden="1">
      <c r="B17" s="32"/>
      <c r="C17" s="33"/>
      <c r="D17" s="33"/>
      <c r="E17" s="33"/>
      <c r="F17" s="34"/>
    </row>
    <row r="18" spans="2:6" hidden="1">
      <c r="B18" s="32"/>
      <c r="C18" s="17" t="s">
        <v>390</v>
      </c>
      <c r="D18" s="162" t="s">
        <v>422</v>
      </c>
      <c r="E18" s="162" t="s">
        <v>972</v>
      </c>
      <c r="F18" s="34"/>
    </row>
    <row r="19" spans="2:6" hidden="1">
      <c r="B19" s="32"/>
      <c r="C19" s="33"/>
      <c r="D19" s="163" t="str">
        <f>IF($D$6="","Choose $ or ¢",IF($D$6="Cents","¢/"&amp;OutMassUnit&amp;" catalyst",CurrencySymbol&amp;"/"&amp;OutMassUnit&amp;" catalyst"))</f>
        <v>$/lb catalyst</v>
      </c>
      <c r="E19" s="163" t="str">
        <f>"$ for "&amp;StepOrderSize&amp;" tons"</f>
        <v>$ for  tons</v>
      </c>
      <c r="F19" s="34"/>
    </row>
    <row r="20" spans="2:6" hidden="1">
      <c r="B20" s="32"/>
      <c r="C20" s="17" t="s">
        <v>1803</v>
      </c>
      <c r="D20" s="163"/>
      <c r="E20" s="163"/>
      <c r="F20" s="34"/>
    </row>
    <row r="21" spans="2:6" hidden="1">
      <c r="B21" s="32"/>
      <c r="C21" s="33" t="s">
        <v>398</v>
      </c>
      <c r="D21" s="286">
        <f>IF($D$6="","Choose $ or ¢",IF($D$6="Cents",100,1)*MaterialsUnitCost)</f>
        <v>0.36294109999999996</v>
      </c>
      <c r="E21" s="283" t="str">
        <f>IFERROR(D21*StepOrderSizeOut,"")</f>
        <v/>
      </c>
      <c r="F21" s="34"/>
    </row>
    <row r="22" spans="2:6" hidden="1">
      <c r="B22" s="32"/>
      <c r="C22" s="237" t="s">
        <v>981</v>
      </c>
      <c r="D22" s="286">
        <f>IF($D$6="","Choose $ or ¢",IF($D$6="Cents",100,1)*(MaterialsUnitCost-IFERROR(IF(VLOOKUP('4 Spent Catalyst'!$D$6,Spent2[],6,FALSE)="Yes",'4 Spent Catalyst'!$D$16*'4 Spent Catalyst'!$D$32,0),0)))</f>
        <v>0.36294109999999996</v>
      </c>
      <c r="E22" s="283" t="str">
        <f>IFERROR(D22*StepOrderSizeOut,"")</f>
        <v/>
      </c>
      <c r="F22" s="34"/>
    </row>
    <row r="23" spans="2:6" hidden="1">
      <c r="B23" s="32"/>
      <c r="C23" s="399" t="s">
        <v>974</v>
      </c>
      <c r="D23" s="287" t="str">
        <f ca="1">IF($D$6="","Choose $ or ¢",IFERROR(IF($D$6="Cents",100,1)*StepUnitTotal,""))</f>
        <v/>
      </c>
      <c r="E23" s="284" t="str">
        <f ca="1">IFERROR(D23*StepOrderSizeOut,"")</f>
        <v/>
      </c>
      <c r="F23" s="34"/>
    </row>
    <row r="24" spans="2:6" hidden="1">
      <c r="B24" s="32"/>
      <c r="C24" s="20" t="s">
        <v>1805</v>
      </c>
      <c r="D24" s="288" t="str">
        <f ca="1">IFERROR(D21+D23,"")</f>
        <v/>
      </c>
      <c r="E24" s="169" t="str">
        <f ca="1">IFERROR(D24*StepOrderSizeOut,"")</f>
        <v/>
      </c>
      <c r="F24" s="34"/>
    </row>
    <row r="25" spans="2:6" hidden="1">
      <c r="B25" s="32"/>
      <c r="C25" s="139" t="s">
        <v>1807</v>
      </c>
      <c r="D25" s="288" t="str">
        <f ca="1">IFERROR(D22+D23,"")</f>
        <v/>
      </c>
      <c r="E25" s="169" t="str">
        <f ca="1">IFERROR(D25*StepOrderSizeOut,"")</f>
        <v/>
      </c>
      <c r="F25" s="34"/>
    </row>
    <row r="26" spans="2:6" hidden="1">
      <c r="B26" s="32"/>
      <c r="C26" s="33"/>
      <c r="D26" s="286"/>
      <c r="E26" s="283"/>
      <c r="F26" s="34"/>
    </row>
    <row r="27" spans="2:6" hidden="1">
      <c r="B27" s="32"/>
      <c r="C27" s="17" t="s">
        <v>1809</v>
      </c>
      <c r="D27" s="33"/>
      <c r="E27" s="33"/>
      <c r="F27" s="34"/>
    </row>
    <row r="28" spans="2:6" hidden="1">
      <c r="B28" s="32"/>
      <c r="C28" s="33" t="s">
        <v>1808</v>
      </c>
      <c r="D28" s="33"/>
      <c r="E28" s="33"/>
      <c r="F28" s="34"/>
    </row>
    <row r="29" spans="2:6" hidden="1">
      <c r="B29" s="32"/>
      <c r="C29" s="237" t="s">
        <v>1751</v>
      </c>
      <c r="D29" s="286" t="str">
        <f ca="1">IFERROR(StepGnA/100*D25,"")</f>
        <v/>
      </c>
      <c r="E29" s="283" t="str">
        <f ca="1">IFERROR(D29*StepOrderSizeOut,"")</f>
        <v/>
      </c>
      <c r="F29" s="34"/>
    </row>
    <row r="30" spans="2:6" hidden="1">
      <c r="B30" s="32"/>
      <c r="C30" s="237" t="s">
        <v>1804</v>
      </c>
      <c r="D30" s="286" t="str">
        <f ca="1">IFERROR(StepSARD/100*(D25+D29),"")</f>
        <v/>
      </c>
      <c r="E30" s="283" t="str">
        <f ca="1">IFERROR(D30*StepOrderSizeOut,"")</f>
        <v/>
      </c>
      <c r="F30" s="34"/>
    </row>
    <row r="31" spans="2:6" hidden="1">
      <c r="B31" s="32"/>
      <c r="C31" s="285" t="s">
        <v>915</v>
      </c>
      <c r="D31" s="287" t="str">
        <f ca="1">IFERROR(StepMargin/100*(D25+D29+D30),"")</f>
        <v/>
      </c>
      <c r="E31" s="284" t="str">
        <f ca="1">IFERROR(D31*StepOrderSizeOut,"")</f>
        <v/>
      </c>
      <c r="F31" s="34"/>
    </row>
    <row r="32" spans="2:6" hidden="1">
      <c r="B32" s="32"/>
      <c r="C32" s="20" t="s">
        <v>1810</v>
      </c>
      <c r="D32" s="288">
        <f ca="1">SUM(D29:D31)</f>
        <v>0</v>
      </c>
      <c r="E32" s="169" t="str">
        <f ca="1">IFERROR(D32*StepOrderSizeOut,"")</f>
        <v/>
      </c>
      <c r="F32" s="34"/>
    </row>
    <row r="33" spans="2:6" hidden="1">
      <c r="B33" s="32"/>
      <c r="C33" s="20"/>
      <c r="D33" s="168"/>
      <c r="E33" s="169"/>
      <c r="F33" s="34"/>
    </row>
    <row r="34" spans="2:6" ht="16.5" hidden="1" thickBot="1">
      <c r="B34" s="32"/>
      <c r="C34" s="158" t="s">
        <v>414</v>
      </c>
      <c r="D34" s="160" t="str">
        <f ca="1">IFERROR(D24+D32,"")</f>
        <v/>
      </c>
      <c r="E34" s="161" t="str">
        <f ca="1">IFERROR(D34*StepOrderSizeOut,"")</f>
        <v/>
      </c>
      <c r="F34" s="34"/>
    </row>
    <row r="35" spans="2:6" ht="16.5" hidden="1" thickTop="1">
      <c r="B35" s="32"/>
      <c r="C35" s="20"/>
      <c r="D35" s="157"/>
      <c r="E35" s="140"/>
      <c r="F35" s="34"/>
    </row>
    <row r="36" spans="2:6" hidden="1">
      <c r="B36" s="32"/>
      <c r="C36" s="20" t="s">
        <v>979</v>
      </c>
      <c r="D36" s="219">
        <f>IF($D$6="","Choose $ or ¢",IFERROR(IF($D$6="Cents",100,1)*SpentValue,0))</f>
        <v>0</v>
      </c>
      <c r="E36" s="220" t="str">
        <f>IFERROR(D36*StepOrderSizeOut,"")</f>
        <v/>
      </c>
      <c r="F36" s="34"/>
    </row>
    <row r="37" spans="2:6" ht="16.5" hidden="1" thickBot="1">
      <c r="B37" s="32"/>
      <c r="C37" s="158" t="s">
        <v>980</v>
      </c>
      <c r="D37" s="160" t="str">
        <f ca="1">IFERROR(D34-D36,"")</f>
        <v/>
      </c>
      <c r="E37" s="161" t="str">
        <f ca="1">IFERROR(D37*StepOrderSizeOut,"")</f>
        <v/>
      </c>
      <c r="F37" s="34"/>
    </row>
    <row r="38" spans="2:6" ht="17.25" hidden="1" thickTop="1" thickBot="1">
      <c r="B38" s="39"/>
      <c r="C38" s="40"/>
      <c r="D38" s="40"/>
      <c r="E38" s="40"/>
      <c r="F38" s="41"/>
    </row>
    <row r="39" spans="2:6">
      <c r="B39" s="32"/>
      <c r="C39" s="33"/>
      <c r="D39" s="33"/>
      <c r="E39" s="33"/>
      <c r="F39" s="34"/>
    </row>
    <row r="40" spans="2:6" ht="20.25">
      <c r="B40" s="32"/>
      <c r="C40" s="437" t="s">
        <v>1827</v>
      </c>
      <c r="D40" s="437"/>
      <c r="E40" s="437"/>
      <c r="F40" s="34"/>
    </row>
    <row r="41" spans="2:6" ht="21" thickBot="1">
      <c r="B41" s="32"/>
      <c r="C41" s="436" t="str">
        <f>IF(EstimateName="","",EstimateName)</f>
        <v>FCC RE USY</v>
      </c>
      <c r="D41" s="436"/>
      <c r="E41" s="436"/>
      <c r="F41" s="34"/>
    </row>
    <row r="42" spans="2:6">
      <c r="B42" s="32"/>
      <c r="C42" s="20"/>
      <c r="D42" s="174"/>
      <c r="E42" s="20"/>
      <c r="F42" s="34"/>
    </row>
    <row r="43" spans="2:6">
      <c r="B43" s="32"/>
      <c r="C43" s="159" t="s">
        <v>975</v>
      </c>
      <c r="D43" s="159">
        <f>IF(BasisYear="","-----",BasisYear)</f>
        <v>2016</v>
      </c>
      <c r="E43" s="159"/>
      <c r="F43" s="34"/>
    </row>
    <row r="44" spans="2:6">
      <c r="B44" s="32"/>
      <c r="C44" s="20" t="s">
        <v>12</v>
      </c>
      <c r="D44" s="174">
        <f>IF('1 Inputs'!$K$37=0,"-----",'1 Inputs'!$K$37)</f>
        <v>100000000</v>
      </c>
      <c r="E44" s="20" t="str">
        <f>IF(OutMassUnit="","",OutMassUnit)</f>
        <v>lb</v>
      </c>
      <c r="F44" s="34"/>
    </row>
    <row r="45" spans="2:6">
      <c r="B45" s="32"/>
      <c r="C45" s="360" t="s">
        <v>14</v>
      </c>
      <c r="D45" s="401">
        <f>IF(ActualProduction=0,"-----",ActualProduction)</f>
        <v>100000000</v>
      </c>
      <c r="E45" s="360" t="str">
        <f>IF(OutMassUnit="","",OutMassUnit)</f>
        <v>lb</v>
      </c>
      <c r="F45" s="34"/>
    </row>
    <row r="46" spans="2:6">
      <c r="B46" s="32"/>
      <c r="C46" s="33"/>
      <c r="D46" s="33"/>
      <c r="E46" s="33"/>
      <c r="F46" s="34"/>
    </row>
    <row r="47" spans="2:6">
      <c r="B47" s="32"/>
      <c r="C47" s="17" t="s">
        <v>390</v>
      </c>
      <c r="D47" s="162" t="s">
        <v>422</v>
      </c>
      <c r="E47" s="162" t="str">
        <f>IF($D$9="","Enter time interval",$D$9&amp;" Cost")</f>
        <v>Annual Cost</v>
      </c>
      <c r="F47" s="34"/>
    </row>
    <row r="48" spans="2:6">
      <c r="B48" s="32"/>
      <c r="C48" s="33"/>
      <c r="D48" s="163" t="str">
        <f>IF($D$6="","Choose $ or ¢",IF($D$6="Cents","¢/"&amp;OutMassUnit&amp;" catalyst",CurrencySymbol&amp;"/"&amp;OutMassUnit&amp;" catalyst"))</f>
        <v>$/lb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391</v>
      </c>
      <c r="D50" s="164">
        <f ca="1">IF($D$6="","Choose $ or ¢",IFERROR(IF($D$6="Cents",100,1)*FCI/PlantLife/ActualProduction,""))</f>
        <v>0.12802395312475695</v>
      </c>
      <c r="E50" s="165">
        <f ca="1">IF($D$9="","Enter time interval",IFERROR(IF($D$9="Annual",1,IF($D$9="Monthly",1/12,IF($D$9="Weekly",1/52,IF($D$9="Daily",1/365,0))))*FCI/PlantLife,""))</f>
        <v>12802395.312475694</v>
      </c>
      <c r="F50" s="34"/>
    </row>
    <row r="51" spans="2:6">
      <c r="B51" s="32"/>
      <c r="C51" s="149" t="s">
        <v>206</v>
      </c>
      <c r="D51" s="166">
        <f ca="1">IF($D$6="","Choose $ or ¢",IFERROR(IF($D$6="Cents",100,1)*WorkingCapital/PlantLife/ActualProduction,""))</f>
        <v>2.0770958473778585E-2</v>
      </c>
      <c r="E51" s="167">
        <f ca="1">IF($D$9="","Enter time interval",IFERROR(IF($D$9="Annual",1,IF($D$9="Monthly",1/12,IF($D$9="Weekly",1/52,IF($D$9="Daily",1/365,0))))*WorkingCapital/PlantLife,""))</f>
        <v>2077095.8473778584</v>
      </c>
      <c r="F51" s="34"/>
    </row>
    <row r="52" spans="2:6">
      <c r="B52" s="32"/>
      <c r="C52" s="20" t="s">
        <v>411</v>
      </c>
      <c r="D52" s="168">
        <f ca="1">SUM(D50:D51)</f>
        <v>0.14879491159853553</v>
      </c>
      <c r="E52" s="169">
        <f ca="1">SUM(E50:E51)</f>
        <v>14879491.159853553</v>
      </c>
      <c r="F52" s="34"/>
    </row>
    <row r="53" spans="2:6">
      <c r="B53" s="32"/>
      <c r="C53" s="33"/>
      <c r="D53" s="35"/>
      <c r="E53" s="35"/>
      <c r="F53" s="34"/>
    </row>
    <row r="54" spans="2:6">
      <c r="B54" s="32"/>
      <c r="C54" s="17" t="s">
        <v>412</v>
      </c>
      <c r="D54" s="35"/>
      <c r="E54" s="35"/>
      <c r="F54" s="34"/>
    </row>
    <row r="55" spans="2:6">
      <c r="B55" s="32"/>
      <c r="C55" s="18" t="s">
        <v>397</v>
      </c>
      <c r="D55" s="164"/>
      <c r="E55" s="165"/>
      <c r="F55" s="34"/>
    </row>
    <row r="56" spans="2:6">
      <c r="B56" s="32"/>
      <c r="C56" s="124" t="s">
        <v>398</v>
      </c>
      <c r="D56" s="164">
        <f>IFERROR(IF($D$6="","Choose $ or ¢",IF($D$6="Cents",100,1)*MaterialsUnitCost),"")</f>
        <v>0.36294109999999996</v>
      </c>
      <c r="E56" s="165">
        <f>IFERROR(IF($D$9="","Enter time interval",IF($D$9="Annual",1,IF($D$9="Monthly",1/12,IF($D$9="Weekly",1/52,IF($D$9="Daily",1/365,0))))*MaterialsAnnualCost),"")</f>
        <v>36294110</v>
      </c>
      <c r="F56" s="34"/>
    </row>
    <row r="57" spans="2:6">
      <c r="B57" s="32"/>
      <c r="C57" s="124" t="s">
        <v>399</v>
      </c>
      <c r="D57" s="164">
        <f ca="1">IFERROR(IF($D$6="","Choose $ or ¢",IF($D$6="Cents",100,1)*UtilitiesUnitCost),"")</f>
        <v>5.1211417322834643E-2</v>
      </c>
      <c r="E57" s="165">
        <f ca="1">IFERROR(IF($D$9="","Enter time interval",IF($D$9="Annual",1,IF($D$9="Monthly",1/12,IF($D$9="Weekly",1/52,IF($D$9="Daily",1/365,0))))*UtilitiesAnnualCost),"")</f>
        <v>5121141.7322834646</v>
      </c>
      <c r="F57" s="34"/>
    </row>
    <row r="58" spans="2:6">
      <c r="B58" s="32"/>
      <c r="C58" s="124" t="s">
        <v>400</v>
      </c>
      <c r="D58" s="164">
        <f ca="1">IFERROR(IF($D$6="","Choose $ or ¢",IF($D$6="Cents",100,1)*LSM/ActualProduction),"")</f>
        <v>0.13874174504673523</v>
      </c>
      <c r="E58" s="165">
        <f ca="1">IFERROR(IF($D$9="","Enter time interval",IF($D$9="Annual",1,IF($D$9="Monthly",1/12,IF($D$9="Weekly",1/52,IF($D$9="Daily",1/365,0))))*LSM),"")</f>
        <v>13874174.504673524</v>
      </c>
      <c r="F58" s="34"/>
    </row>
    <row r="59" spans="2:6">
      <c r="B59" s="32"/>
      <c r="C59" s="18" t="s">
        <v>401</v>
      </c>
      <c r="D59" s="164"/>
      <c r="E59" s="165"/>
      <c r="F59" s="34"/>
    </row>
    <row r="60" spans="2:6">
      <c r="B60" s="32"/>
      <c r="C60" s="124" t="s">
        <v>402</v>
      </c>
      <c r="D60" s="164">
        <f ca="1">IFERROR(IF($D$6="","Choose $ or ¢",IF($D$6="Cents",100,1)*TIRO/ActualProduction),"")</f>
        <v>0.12715462823711321</v>
      </c>
      <c r="E60" s="165">
        <f ca="1">IFERROR(IF($D$9="","Enter time interval",IF($D$9="Annual",1,IF($D$9="Monthly",1/12,IF($D$9="Weekly",1/52,IF($D$9="Daily",1/365,0))))*TIRO),"")</f>
        <v>12715462.823711321</v>
      </c>
      <c r="F60" s="34"/>
    </row>
    <row r="61" spans="2:6">
      <c r="B61" s="32"/>
      <c r="C61" s="18" t="s">
        <v>403</v>
      </c>
      <c r="D61" s="164"/>
      <c r="E61" s="165"/>
      <c r="F61" s="34"/>
    </row>
    <row r="62" spans="2:6">
      <c r="B62" s="32"/>
      <c r="C62" s="149" t="s">
        <v>404</v>
      </c>
      <c r="D62" s="166">
        <f ca="1">IFERROR(IF($D$6="","Choose $ or ¢",IF($D$6="Cents",100,1)*GeneralExp/ActualProduction),"")</f>
        <v>0.12975568260034953</v>
      </c>
      <c r="E62" s="167">
        <f ca="1">IFERROR(IF($D$9="","Enter time interval",IF($D$9="Annual",1,IF($D$9="Monthly",1/12,IF($D$9="Weekly",1/52,IF($D$9="Daily",1/365,0))))*GeneralExp),"")</f>
        <v>12975568.260034952</v>
      </c>
      <c r="F62" s="34"/>
    </row>
    <row r="63" spans="2:6">
      <c r="B63" s="32"/>
      <c r="C63" s="159" t="s">
        <v>413</v>
      </c>
      <c r="D63" s="172">
        <f ca="1">SUM(D56:D62)</f>
        <v>0.80980457320703259</v>
      </c>
      <c r="E63" s="173">
        <f ca="1">SUM(E56:E62)</f>
        <v>80980457.320703268</v>
      </c>
      <c r="F63" s="34"/>
    </row>
    <row r="64" spans="2:6">
      <c r="B64" s="32"/>
      <c r="C64" s="20"/>
      <c r="D64" s="400"/>
      <c r="E64" s="169"/>
      <c r="F64" s="34"/>
    </row>
    <row r="65" spans="2:6">
      <c r="B65" s="32"/>
      <c r="C65" s="17" t="s">
        <v>915</v>
      </c>
      <c r="D65" s="400"/>
      <c r="E65" s="169"/>
      <c r="F65" s="34"/>
    </row>
    <row r="66" spans="2:6">
      <c r="B66" s="32"/>
      <c r="C66" s="33" t="s">
        <v>410</v>
      </c>
      <c r="D66" s="35"/>
      <c r="E66" s="35"/>
      <c r="F66" s="34"/>
    </row>
    <row r="67" spans="2:6">
      <c r="B67" s="32"/>
      <c r="C67" s="33" t="str">
        <f>"     ("&amp;IFERROR(IF('1 Inputs'!$K$51&lt;&gt;"% of costs",ROI&amp;"%/yr of total capital invested)","not included)"),"")</f>
        <v xml:space="preserve">     (25%/yr of total capital invested)</v>
      </c>
      <c r="D67" s="170">
        <f ca="1">IFERROR(TCI*IF('1 Inputs'!$K$51&lt;&gt;"% of costs",ROI,0)/100/ActualProduction,0)</f>
        <v>0.37198727899633882</v>
      </c>
      <c r="E67" s="171">
        <f ca="1">IFERROR(TCI*IF('1 Inputs'!$K$51&lt;&gt;"% of costs",ROI,0)/100,0)</f>
        <v>37198727.899633884</v>
      </c>
      <c r="F67" s="34"/>
    </row>
    <row r="68" spans="2:6">
      <c r="B68" s="32"/>
      <c r="C68" s="399" t="str">
        <f>"Flat Margin ("&amp;IFERROR(IF('1 Inputs'!$K$51&lt;&gt;"ROI",FlatMargin&amp;"% of costs excl. PGM)","not included)"),"")</f>
        <v>Flat Margin (not included)</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1814</v>
      </c>
      <c r="D69" s="172">
        <f ca="1">SUM(D67:D68)</f>
        <v>0.37198727899633882</v>
      </c>
      <c r="E69" s="173">
        <f ca="1">SUM(E67:E68)</f>
        <v>37198727.899633884</v>
      </c>
      <c r="F69" s="34"/>
    </row>
    <row r="70" spans="2:6">
      <c r="B70" s="32"/>
      <c r="C70" s="33"/>
      <c r="D70" s="35"/>
      <c r="E70" s="35"/>
      <c r="F70" s="34"/>
    </row>
    <row r="71" spans="2:6" ht="16.5" thickBot="1">
      <c r="B71" s="156"/>
      <c r="C71" s="158" t="s">
        <v>414</v>
      </c>
      <c r="D71" s="160">
        <f ca="1">D52+D63+D67</f>
        <v>1.3305867638019069</v>
      </c>
      <c r="E71" s="161">
        <f ca="1">E52+E63+E67</f>
        <v>133058676.3801907</v>
      </c>
      <c r="F71" s="34"/>
    </row>
    <row r="72" spans="2:6" ht="16.5" thickTop="1">
      <c r="B72" s="156"/>
      <c r="C72" s="20"/>
      <c r="D72" s="157"/>
      <c r="E72" s="140"/>
      <c r="F72" s="34"/>
    </row>
    <row r="73" spans="2:6">
      <c r="B73" s="156"/>
      <c r="C73" s="20" t="s">
        <v>979</v>
      </c>
      <c r="D73" s="219">
        <f>IFERROR(IF($D$6="","Choose $ or ¢",IFERROR(IF($D$6="Cents",100,1)*SpentValue,0)),"")</f>
        <v>0</v>
      </c>
      <c r="E73" s="220" t="str">
        <f>IFERROR(IF($D$9="","Enter time interval",IF($D$9="Annual",1,IF($D$9="Monthly",1/12,IF($D$9="Weekly",1/52,IF($D$9="Daily",1/365,0))))*SpentValue*ActualProduction),"")</f>
        <v/>
      </c>
      <c r="F73" s="34"/>
    </row>
    <row r="74" spans="2:6" ht="16.5" thickBot="1">
      <c r="B74" s="156"/>
      <c r="C74" s="158" t="s">
        <v>980</v>
      </c>
      <c r="D74" s="160">
        <f ca="1">IFERROR(D71-D73,"")</f>
        <v>1.3305867638019069</v>
      </c>
      <c r="E74" s="161" t="str">
        <f ca="1">IFERROR(E71-E73,"")</f>
        <v/>
      </c>
      <c r="F74" s="34"/>
    </row>
    <row r="75" spans="2:6" ht="17.25" thickTop="1" thickBot="1">
      <c r="B75" s="39"/>
      <c r="C75" s="40"/>
      <c r="D75" s="40"/>
      <c r="E75" s="40"/>
      <c r="F75" s="41"/>
    </row>
    <row r="76" spans="2:6" hidden="1">
      <c r="B76" s="153"/>
      <c r="C76" s="154"/>
      <c r="D76" s="154"/>
      <c r="E76" s="154"/>
      <c r="F76" s="155"/>
    </row>
    <row r="77" spans="2:6" hidden="1">
      <c r="B77" s="32"/>
      <c r="C77" s="438" t="s">
        <v>1825</v>
      </c>
      <c r="D77" s="438"/>
      <c r="E77" s="438"/>
      <c r="F77" s="34"/>
    </row>
    <row r="78" spans="2:6" hidden="1">
      <c r="B78" s="32"/>
      <c r="C78" s="438"/>
      <c r="D78" s="438"/>
      <c r="E78" s="438"/>
      <c r="F78" s="34"/>
    </row>
    <row r="79" spans="2:6" hidden="1">
      <c r="B79" s="32"/>
      <c r="C79" s="438"/>
      <c r="D79" s="438"/>
      <c r="E79" s="438"/>
      <c r="F79" s="34"/>
    </row>
    <row r="80" spans="2:6" ht="16.5" hidden="1" thickBot="1">
      <c r="B80" s="39"/>
      <c r="C80" s="40"/>
      <c r="D80" s="40"/>
      <c r="E80" s="40"/>
      <c r="F80" s="41"/>
    </row>
    <row r="81" spans="2:6" hidden="1">
      <c r="B81" s="32"/>
      <c r="C81" s="33"/>
      <c r="D81" s="33"/>
      <c r="E81" s="33"/>
      <c r="F81" s="34"/>
    </row>
    <row r="82" spans="2:6" ht="20.25" hidden="1">
      <c r="B82" s="32"/>
      <c r="C82" s="437" t="s">
        <v>1828</v>
      </c>
      <c r="D82" s="437"/>
      <c r="E82" s="437"/>
      <c r="F82" s="34"/>
    </row>
    <row r="83" spans="2:6" ht="21" hidden="1" thickBot="1">
      <c r="B83" s="32"/>
      <c r="C83" s="436" t="str">
        <f>IF(EstimateName="","",EstimateName)</f>
        <v>FCC RE USY</v>
      </c>
      <c r="D83" s="436"/>
      <c r="E83" s="436"/>
      <c r="F83" s="34"/>
    </row>
    <row r="84" spans="2:6" hidden="1">
      <c r="B84" s="32"/>
      <c r="C84" s="20"/>
      <c r="D84" s="20"/>
      <c r="E84" s="20"/>
      <c r="F84" s="34"/>
    </row>
    <row r="85" spans="2:6" hidden="1">
      <c r="B85" s="32"/>
      <c r="C85" s="159" t="s">
        <v>975</v>
      </c>
      <c r="D85" s="159">
        <f>IF(BasisYear="","-----",BasisYear)</f>
        <v>2016</v>
      </c>
      <c r="E85" s="159"/>
      <c r="F85" s="34"/>
    </row>
    <row r="86" spans="2:6" hidden="1">
      <c r="B86" s="32"/>
      <c r="C86" s="20" t="s">
        <v>1815</v>
      </c>
      <c r="D86" s="20"/>
      <c r="E86" s="20"/>
      <c r="F86" s="34"/>
    </row>
    <row r="87" spans="2:6" hidden="1">
      <c r="B87" s="32"/>
      <c r="C87" s="139" t="s">
        <v>1812</v>
      </c>
      <c r="D87" s="20" t="str">
        <f>IF(StepOrderSize="","-----",StepOrderSize)</f>
        <v>-----</v>
      </c>
      <c r="E87" s="20" t="s">
        <v>1813</v>
      </c>
      <c r="F87" s="34"/>
    </row>
    <row r="88" spans="2:6" hidden="1">
      <c r="B88" s="32"/>
      <c r="C88" s="121" t="s">
        <v>1816</v>
      </c>
      <c r="D88" s="20"/>
      <c r="E88" s="20"/>
      <c r="F88" s="34"/>
    </row>
    <row r="89" spans="2:6" hidden="1">
      <c r="B89" s="32"/>
      <c r="C89" s="139" t="s">
        <v>12</v>
      </c>
      <c r="D89" s="174">
        <f>IF('1 Inputs'!$K$37=0,"-----",'1 Inputs'!$K$37)</f>
        <v>100000000</v>
      </c>
      <c r="E89" s="20" t="str">
        <f>IF(OutMassUnit="","",OutMassUnit)</f>
        <v>lb</v>
      </c>
      <c r="F89" s="34"/>
    </row>
    <row r="90" spans="2:6" hidden="1">
      <c r="B90" s="32"/>
      <c r="C90" s="404" t="s">
        <v>14</v>
      </c>
      <c r="D90" s="401">
        <f>IF(ActualProduction=0,"-----",ActualProduction)</f>
        <v>100000000</v>
      </c>
      <c r="E90" s="360" t="str">
        <f>IF(OutMassUnit="","",OutMassUnit)</f>
        <v>lb</v>
      </c>
      <c r="F90" s="34"/>
    </row>
    <row r="91" spans="2:6" hidden="1">
      <c r="B91" s="32"/>
      <c r="C91" s="33"/>
      <c r="D91" s="33"/>
      <c r="E91" s="33"/>
      <c r="F91" s="34"/>
    </row>
    <row r="92" spans="2:6" hidden="1">
      <c r="B92" s="32"/>
      <c r="C92" s="17" t="s">
        <v>390</v>
      </c>
      <c r="D92" s="162" t="s">
        <v>422</v>
      </c>
      <c r="E92" s="162" t="str">
        <f>IF($D$9="","Enter time interval",$D$9&amp;" Cost")</f>
        <v>Annual Cost</v>
      </c>
      <c r="F92" s="34"/>
    </row>
    <row r="93" spans="2:6" hidden="1">
      <c r="B93" s="32"/>
      <c r="C93" s="33"/>
      <c r="D93" s="163" t="str">
        <f>IF($D$6="","Choose $ or ¢",IF($D$6="Cents","¢/"&amp;OutMassUnit&amp;" catalyst",CurrencySymbol&amp;"/"&amp;OutMassUnit&amp;" catalyst"))</f>
        <v>$/lb catalyst</v>
      </c>
      <c r="E93" s="163" t="str">
        <f>IF($D$9="","Enter time interval",IF($D$9="Annual",CurrencySymbol&amp;"/year",IF($D$9="Monthly",CurrencySymbol&amp;"/month",IF($D$9="Weekly",CurrencySymbol&amp;"/week",IF($D$9="Daily",CurrencySymbol&amp;"/day","")))))</f>
        <v>$/year</v>
      </c>
      <c r="F93" s="34"/>
    </row>
    <row r="94" spans="2:6" hidden="1">
      <c r="B94" s="32"/>
      <c r="C94" s="17" t="s">
        <v>1817</v>
      </c>
      <c r="D94" s="163"/>
      <c r="E94" s="163"/>
      <c r="F94" s="34"/>
    </row>
    <row r="95" spans="2:6" hidden="1">
      <c r="B95" s="32"/>
      <c r="C95" s="33" t="s">
        <v>974</v>
      </c>
      <c r="D95" s="286" t="str">
        <f ca="1">IF($D$6="","Choose $ or ¢",IFERROR(IF($D$6="Cents",100,1)*StepUnitTotal,""))</f>
        <v/>
      </c>
      <c r="E95" s="283" t="str">
        <f ca="1">IFERROR(D95*StepOrderSizeOut,"")</f>
        <v/>
      </c>
      <c r="F95" s="34"/>
    </row>
    <row r="96" spans="2:6" hidden="1">
      <c r="B96" s="32"/>
      <c r="C96" s="33" t="s">
        <v>1806</v>
      </c>
      <c r="D96" s="286"/>
      <c r="E96" s="283"/>
      <c r="F96" s="34"/>
    </row>
    <row r="97" spans="2:6" hidden="1">
      <c r="B97" s="32"/>
      <c r="C97" s="237" t="s">
        <v>1751</v>
      </c>
      <c r="D97" s="286" t="str">
        <f ca="1">IFERROR(StepGnA/100*D95,"")</f>
        <v/>
      </c>
      <c r="E97" s="283" t="str">
        <f ca="1">IFERROR(D97*ActualProduction,"")</f>
        <v/>
      </c>
      <c r="F97" s="34"/>
    </row>
    <row r="98" spans="2:6" hidden="1">
      <c r="B98" s="32"/>
      <c r="C98" s="237" t="s">
        <v>1804</v>
      </c>
      <c r="D98" s="286" t="str">
        <f ca="1">IFERROR(StepSARD/100*(D95+D97),"")</f>
        <v/>
      </c>
      <c r="E98" s="283" t="str">
        <f ca="1">IFERROR(D98*ActualProduction,"")</f>
        <v/>
      </c>
      <c r="F98" s="34"/>
    </row>
    <row r="99" spans="2:6" hidden="1">
      <c r="B99" s="32"/>
      <c r="C99" s="285" t="s">
        <v>973</v>
      </c>
      <c r="D99" s="287" t="str">
        <f ca="1">IFERROR(StepMargin/100*(D95+D97+D98),"")</f>
        <v/>
      </c>
      <c r="E99" s="284" t="str">
        <f ca="1">IFERROR(D99*ActualProduction,"")</f>
        <v/>
      </c>
      <c r="F99" s="34"/>
    </row>
    <row r="100" spans="2:6" hidden="1">
      <c r="B100" s="32"/>
      <c r="C100" s="20" t="s">
        <v>1818</v>
      </c>
      <c r="D100" s="288">
        <f ca="1">SUM(D95:D99)</f>
        <v>0</v>
      </c>
      <c r="E100" s="169">
        <f ca="1">IFERROR(D100*ActualProduction,"")</f>
        <v>0</v>
      </c>
      <c r="F100" s="34"/>
    </row>
    <row r="101" spans="2:6" hidden="1">
      <c r="B101" s="32"/>
      <c r="C101" s="20"/>
      <c r="D101" s="400"/>
      <c r="E101" s="169"/>
      <c r="F101" s="34"/>
    </row>
    <row r="102" spans="2:6" hidden="1">
      <c r="B102" s="32"/>
      <c r="C102" s="17" t="s">
        <v>1819</v>
      </c>
      <c r="D102" s="35"/>
      <c r="E102" s="35"/>
      <c r="F102" s="34"/>
    </row>
    <row r="103" spans="2:6" hidden="1">
      <c r="B103" s="32"/>
      <c r="C103" s="138" t="s">
        <v>391</v>
      </c>
      <c r="D103" s="164">
        <f ca="1">IF($D$6="","Choose $ or ¢",IFERROR(IF($D$6="Cents",100,1)*FCI/PlantLife/ActualProduction,""))</f>
        <v>0.12802395312475695</v>
      </c>
      <c r="E103" s="165">
        <f ca="1">IF($D$9="","Enter time interval",IFERROR(IF($D$9="Annual",1,IF($D$9="Monthly",1/12,IF($D$9="Weekly",1/52,IF($D$9="Daily",1/365,0))))*FCI/PlantLife,""))</f>
        <v>12802395.312475694</v>
      </c>
      <c r="F103" s="34"/>
    </row>
    <row r="104" spans="2:6" hidden="1">
      <c r="B104" s="32"/>
      <c r="C104" s="149" t="s">
        <v>206</v>
      </c>
      <c r="D104" s="166">
        <f ca="1">IF($D$6="","Choose $ or ¢",IFERROR(IF($D$6="Cents",100,1)*WorkingCapital/PlantLife/ActualProduction,""))</f>
        <v>2.0770958473778585E-2</v>
      </c>
      <c r="E104" s="167">
        <f ca="1">IF($D$9="","Enter time interval",IFERROR(IF($D$9="Annual",1,IF($D$9="Monthly",1/12,IF($D$9="Weekly",1/52,IF($D$9="Daily",1/365,0))))*WorkingCapital/PlantLife,""))</f>
        <v>2077095.8473778584</v>
      </c>
      <c r="F104" s="34"/>
    </row>
    <row r="105" spans="2:6" hidden="1">
      <c r="B105" s="32"/>
      <c r="C105" s="20" t="s">
        <v>1822</v>
      </c>
      <c r="D105" s="168">
        <f ca="1">SUM(D103:D104)</f>
        <v>0.14879491159853553</v>
      </c>
      <c r="E105" s="169">
        <f ca="1">SUM(E103:E104)</f>
        <v>14879491.159853553</v>
      </c>
      <c r="F105" s="34"/>
    </row>
    <row r="106" spans="2:6" hidden="1">
      <c r="B106" s="32"/>
      <c r="C106" s="33"/>
      <c r="D106" s="35"/>
      <c r="E106" s="35"/>
      <c r="F106" s="34"/>
    </row>
    <row r="107" spans="2:6" hidden="1">
      <c r="B107" s="32"/>
      <c r="C107" s="17" t="s">
        <v>1820</v>
      </c>
      <c r="D107" s="35"/>
      <c r="E107" s="35"/>
      <c r="F107" s="34"/>
    </row>
    <row r="108" spans="2:6" hidden="1">
      <c r="B108" s="32"/>
      <c r="C108" s="18" t="s">
        <v>397</v>
      </c>
      <c r="D108" s="164"/>
      <c r="E108" s="165"/>
      <c r="F108" s="34"/>
    </row>
    <row r="109" spans="2:6" hidden="1">
      <c r="B109" s="32"/>
      <c r="C109" s="124" t="s">
        <v>398</v>
      </c>
      <c r="D109" s="164">
        <f>IFERROR(IF($D$6="","Choose $ or ¢",IF($D$6="Cents",100,1)*MaterialsUnitCost),"")</f>
        <v>0.36294109999999996</v>
      </c>
      <c r="E109" s="165">
        <f>IFERROR(IF($D$9="","Enter time interval",IF($D$9="Annual",1,IF($D$9="Monthly",1/12,IF($D$9="Weekly",1/52,IF($D$9="Daily",1/365,0))))*MaterialsAnnualCost),"")</f>
        <v>36294110</v>
      </c>
      <c r="F109" s="34"/>
    </row>
    <row r="110" spans="2:6" hidden="1">
      <c r="B110" s="32"/>
      <c r="C110" s="124" t="s">
        <v>399</v>
      </c>
      <c r="D110" s="164">
        <f ca="1">IFERROR(IF($D$6="","Choose $ or ¢",IF($D$6="Cents",100,1)*UtilitiesUnitCost),"")</f>
        <v>5.1211417322834643E-2</v>
      </c>
      <c r="E110" s="165">
        <f ca="1">IFERROR(IF($D$9="","Enter time interval",IF($D$9="Annual",1,IF($D$9="Monthly",1/12,IF($D$9="Weekly",1/52,IF($D$9="Daily",1/365,0))))*UtilitiesAnnualCost),"")</f>
        <v>5121141.7322834646</v>
      </c>
      <c r="F110" s="34"/>
    </row>
    <row r="111" spans="2:6" hidden="1">
      <c r="B111" s="32"/>
      <c r="C111" s="124" t="s">
        <v>400</v>
      </c>
      <c r="D111" s="164">
        <f ca="1">IFERROR(IF($D$6="","Choose $ or ¢",IF($D$6="Cents",100,1)*LSM/ActualProduction),"")</f>
        <v>0.13874174504673523</v>
      </c>
      <c r="E111" s="165">
        <f ca="1">IFERROR(IF($D$9="","Enter time interval",IF($D$9="Annual",1,IF($D$9="Monthly",1/12,IF($D$9="Weekly",1/52,IF($D$9="Daily",1/365,0))))*LSM),"")</f>
        <v>13874174.504673524</v>
      </c>
      <c r="F111" s="34"/>
    </row>
    <row r="112" spans="2:6" hidden="1">
      <c r="B112" s="32"/>
      <c r="C112" s="18" t="s">
        <v>401</v>
      </c>
      <c r="D112" s="164"/>
      <c r="E112" s="165"/>
      <c r="F112" s="34"/>
    </row>
    <row r="113" spans="2:6" hidden="1">
      <c r="B113" s="32"/>
      <c r="C113" s="124" t="s">
        <v>402</v>
      </c>
      <c r="D113" s="164">
        <f ca="1">IFERROR(IF($D$6="","Choose $ or ¢",IF($D$6="Cents",100,1)*TIRO/ActualProduction),"")</f>
        <v>0.12715462823711321</v>
      </c>
      <c r="E113" s="165">
        <f ca="1">IFERROR(IF($D$9="","Enter time interval",IF($D$9="Annual",1,IF($D$9="Monthly",1/12,IF($D$9="Weekly",1/52,IF($D$9="Daily",1/365,0))))*TIRO),"")</f>
        <v>12715462.823711321</v>
      </c>
      <c r="F113" s="34"/>
    </row>
    <row r="114" spans="2:6" hidden="1">
      <c r="B114" s="32"/>
      <c r="C114" s="18" t="s">
        <v>403</v>
      </c>
      <c r="D114" s="164"/>
      <c r="E114" s="165"/>
      <c r="F114" s="34"/>
    </row>
    <row r="115" spans="2:6" hidden="1">
      <c r="B115" s="32"/>
      <c r="C115" s="149" t="s">
        <v>404</v>
      </c>
      <c r="D115" s="166">
        <f ca="1">IFERROR(IF($D$6="","Choose $ or ¢",IF($D$6="Cents",100,1)*GeneralExp/ActualProduction),"")</f>
        <v>0.12975568260034953</v>
      </c>
      <c r="E115" s="167">
        <f ca="1">IFERROR(IF($D$9="","Enter time interval",IF($D$9="Annual",1,IF($D$9="Monthly",1/12,IF($D$9="Weekly",1/52,IF($D$9="Daily",1/365,0))))*GeneralExp),"")</f>
        <v>12975568.260034952</v>
      </c>
      <c r="F115" s="34"/>
    </row>
    <row r="116" spans="2:6" hidden="1">
      <c r="B116" s="32"/>
      <c r="C116" s="159" t="s">
        <v>1823</v>
      </c>
      <c r="D116" s="172">
        <f ca="1">SUM(D109:D115)</f>
        <v>0.80980457320703259</v>
      </c>
      <c r="E116" s="173">
        <f ca="1">SUM(E109:E115)</f>
        <v>80980457.320703268</v>
      </c>
      <c r="F116" s="34"/>
    </row>
    <row r="117" spans="2:6" hidden="1">
      <c r="B117" s="32"/>
      <c r="C117" s="20"/>
      <c r="D117" s="400"/>
      <c r="E117" s="169"/>
      <c r="F117" s="34"/>
    </row>
    <row r="118" spans="2:6" hidden="1">
      <c r="B118" s="32"/>
      <c r="C118" s="17" t="s">
        <v>1821</v>
      </c>
      <c r="D118" s="400"/>
      <c r="E118" s="169"/>
      <c r="F118" s="34"/>
    </row>
    <row r="119" spans="2:6" hidden="1">
      <c r="B119" s="32"/>
      <c r="C119" s="33" t="s">
        <v>410</v>
      </c>
      <c r="D119" s="35"/>
      <c r="E119" s="35"/>
      <c r="F119" s="34"/>
    </row>
    <row r="120" spans="2:6" hidden="1">
      <c r="B120" s="32"/>
      <c r="C120" s="33" t="str">
        <f>"     ("&amp;IFERROR(IF('1 Inputs'!$K$51&lt;&gt;"% of costs",ROI,0),"")&amp;"%/yr of total capital invested)"</f>
        <v xml:space="preserve">     (25%/yr of total capital invested)</v>
      </c>
      <c r="D120" s="170">
        <f ca="1">IFERROR(TCI*IF('1 Inputs'!$K$51&lt;&gt;"% of costs",ROI,0)/100/ActualProduction,0)</f>
        <v>0.37198727899633882</v>
      </c>
      <c r="E120" s="171">
        <f ca="1">IFERROR(TCI*IF('1 Inputs'!$K$51&lt;&gt;"% of costs",ROI,0)/100,0)</f>
        <v>37198727.899633884</v>
      </c>
      <c r="F120" s="34"/>
    </row>
    <row r="121" spans="2:6" hidden="1">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hidden="1">
      <c r="B122" s="32"/>
      <c r="C122" s="20" t="s">
        <v>1824</v>
      </c>
      <c r="D122" s="172">
        <f ca="1">SUM(D120:D121)</f>
        <v>0.37198727899633882</v>
      </c>
      <c r="E122" s="173">
        <f ca="1">SUM(E120:E121)</f>
        <v>37198727.899633884</v>
      </c>
      <c r="F122" s="34"/>
    </row>
    <row r="123" spans="2:6" hidden="1">
      <c r="B123" s="32"/>
      <c r="C123" s="33"/>
      <c r="D123" s="35"/>
      <c r="E123" s="35"/>
      <c r="F123" s="34"/>
    </row>
    <row r="124" spans="2:6" ht="16.5" hidden="1" thickBot="1">
      <c r="B124" s="156"/>
      <c r="C124" s="158" t="s">
        <v>414</v>
      </c>
      <c r="D124" s="160">
        <f ca="1">IFERROR(D100+D105+D116+D120,"")</f>
        <v>1.3305867638019069</v>
      </c>
      <c r="E124" s="161">
        <f ca="1">IFERROR(E100+E105+E116+E120,"")</f>
        <v>133058676.3801907</v>
      </c>
      <c r="F124" s="34"/>
    </row>
    <row r="125" spans="2:6" ht="16.5" hidden="1" thickTop="1">
      <c r="B125" s="156"/>
      <c r="C125" s="20"/>
      <c r="D125" s="157"/>
      <c r="E125" s="140"/>
      <c r="F125" s="34"/>
    </row>
    <row r="126" spans="2:6" hidden="1">
      <c r="B126" s="156"/>
      <c r="C126" s="20" t="s">
        <v>979</v>
      </c>
      <c r="D126" s="219">
        <f>IFERROR(IF($D$6="","Choose $ or ¢",IFERROR(IF($D$6="Cents",100,1)*SpentValue,0)),"")</f>
        <v>0</v>
      </c>
      <c r="E126" s="220" t="str">
        <f>IFERROR(IF($D$9="","Enter time interval",IF($D$9="Annual",1,IF($D$9="Monthly",1/12,IF($D$9="Weekly",1/52,IF($D$9="Daily",1/365,0))))*SpentValue*ActualProduction),"")</f>
        <v/>
      </c>
      <c r="F126" s="34"/>
    </row>
    <row r="127" spans="2:6" ht="16.5" hidden="1" thickBot="1">
      <c r="B127" s="156"/>
      <c r="C127" s="158" t="s">
        <v>980</v>
      </c>
      <c r="D127" s="160">
        <f ca="1">IFERROR(D124-D126,"")</f>
        <v>1.3305867638019069</v>
      </c>
      <c r="E127" s="161" t="str">
        <f ca="1">IFERROR(E124-E126,"")</f>
        <v/>
      </c>
      <c r="F127" s="34"/>
    </row>
    <row r="128" spans="2:6" ht="17.25" hidden="1"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1 I70:XFD71 I52:XFD55 I59:XFD59 I56:XFD58 I61:XFD61 I60:XFD60 I63:XFD63 I62:XFD62 I46:XFD47 I72:XFD72 I49:XFD49 I75:XFD75 I73:XFD74 I89:XFD91 I81:XFD82 I48:XFD48"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9"/>
  <sheetViews>
    <sheetView topLeftCell="A597" zoomScaleNormal="100" workbookViewId="0">
      <pane xSplit="1" topLeftCell="B1" activePane="topRight" state="frozenSplit"/>
      <selection pane="topRight" activeCell="A622" sqref="A622"/>
    </sheetView>
  </sheetViews>
  <sheetFormatPr defaultColWidth="11" defaultRowHeight="15.75" outlineLevelCol="1"/>
  <cols>
    <col min="1" max="1" width="72.625" customWidth="1"/>
    <col min="2" max="2" width="15.5" bestFit="1" customWidth="1"/>
    <col min="3" max="3" width="14.875" bestFit="1" customWidth="1"/>
    <col min="4" max="4" width="16" customWidth="1"/>
    <col min="5" max="5" width="18.875" customWidth="1"/>
    <col min="6" max="6" width="18.375" customWidth="1"/>
    <col min="7" max="10" width="15.875" hidden="1" customWidth="1" outlineLevel="1"/>
    <col min="11" max="11" width="11.5" hidden="1" customWidth="1" outlineLevel="1"/>
    <col min="12" max="15" width="12.625" hidden="1" customWidth="1" outlineLevel="1"/>
    <col min="16" max="16" width="20.375" customWidth="1" collapsed="1"/>
    <col min="17" max="17" width="20.875" customWidth="1"/>
    <col min="18" max="18" width="17.875" customWidth="1"/>
    <col min="19" max="19" width="13.125" customWidth="1"/>
    <col min="20" max="20" width="15" customWidth="1"/>
    <col min="21" max="21" width="19.375" customWidth="1"/>
    <col min="22" max="22" width="43.125" customWidth="1"/>
    <col min="23" max="23" width="17.625" hidden="1" customWidth="1" outlineLevel="1"/>
    <col min="24" max="27" width="20.625" hidden="1" customWidth="1" outlineLevel="1"/>
    <col min="28" max="31" width="13.625" hidden="1" customWidth="1" outlineLevel="1"/>
    <col min="32" max="32" width="18.5" hidden="1" customWidth="1" outlineLevel="1"/>
    <col min="33" max="33" width="21.5" hidden="1" customWidth="1" outlineLevel="1"/>
    <col min="34" max="34" width="11.5" hidden="1" customWidth="1" outlineLevel="1"/>
    <col min="35" max="35" width="40.125" hidden="1" customWidth="1" outlineLevel="1"/>
    <col min="36" max="36" width="34.5" hidden="1" customWidth="1" outlineLevel="1"/>
    <col min="37" max="37" width="25.125" hidden="1" customWidth="1" outlineLevel="1"/>
    <col min="38" max="38" width="13.625" bestFit="1" customWidth="1" collapsed="1"/>
    <col min="39" max="39" width="23.5" bestFit="1" customWidth="1"/>
    <col min="42" max="42" width="32.625" customWidth="1"/>
    <col min="43" max="43" width="23.375" customWidth="1"/>
    <col min="44" max="44" width="11.875" customWidth="1"/>
    <col min="45" max="45" width="21.87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962</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1121</v>
      </c>
      <c r="D11" s="282" t="s">
        <v>19</v>
      </c>
    </row>
    <row r="12" spans="1:16378" s="10" customFormat="1">
      <c r="A12" s="278" t="s">
        <v>4</v>
      </c>
      <c r="B12" s="45">
        <v>5000</v>
      </c>
      <c r="C12" s="280" t="s">
        <v>20</v>
      </c>
      <c r="D12" s="281">
        <f>B12*VLOOKUP(C12,UnitConv[],5,FALSE)/VLOOKUP(OutMassUnit,UnitConv[],5,FALSE)</f>
        <v>5000</v>
      </c>
      <c r="E12" s="282" t="str">
        <f>OutMassUnit</f>
        <v>lb</v>
      </c>
    </row>
    <row r="13" spans="1:16378" s="10" customFormat="1">
      <c r="A13" s="278" t="s">
        <v>3</v>
      </c>
      <c r="B13" s="45">
        <v>2000</v>
      </c>
      <c r="C13" s="280" t="s">
        <v>20</v>
      </c>
      <c r="D13" s="281">
        <f>B13*VLOOKUP(C13,UnitConv[],5,FALSE)/VLOOKUP(OutMassUnit,UnitConv[],5,FALSE)</f>
        <v>2000</v>
      </c>
      <c r="E13" s="282" t="str">
        <f>OutMassUnit</f>
        <v>lb</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1124</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6" s="375">
        <f>IF(ISTEXT(RawMaterials[[#This Row],[Unit price in quote year]]),"Check calcs",RawMaterials[[#This Row],[Unit price in quote year]]/VLOOKUP(RawMaterials[[#This Row],[Quote Year]],ChemPPI[],14,FALSE)*VLOOKUP(BasisYear,ChemPPI[],14,FALSE))</f>
        <v>1.1943495934959352</v>
      </c>
      <c r="AM16" s="376" t="str">
        <f t="shared" ref="AM16:AM79" si="0">CurrencySymbol&amp;"/"&amp;OutMassUnit&amp;" ("&amp;BasisYear&amp;")"</f>
        <v>$/lb (2016)</v>
      </c>
    </row>
    <row r="17" spans="1:39">
      <c r="A17" s="263" t="s">
        <v>1125</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7" s="372">
        <f>IF(ISTEXT(RawMaterials[[#This Row],[Unit price in quote year]]),"Check calcs",RawMaterials[[#This Row],[Unit price in quote year]]/VLOOKUP(RawMaterials[[#This Row],[Quote Year]],ChemPPI[],14,FALSE)*VLOOKUP(BasisYear,ChemPPI[],14,FALSE))</f>
        <v>1.0518419715447156</v>
      </c>
      <c r="AM17" s="373" t="str">
        <f t="shared" si="0"/>
        <v>$/lb (2016)</v>
      </c>
    </row>
    <row r="18" spans="1:39">
      <c r="A18" s="263" t="s">
        <v>1126</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8" s="372">
        <f>IF(ISTEXT(RawMaterials[[#This Row],[Unit price in quote year]]),"Check calcs",RawMaterials[[#This Row],[Unit price in quote year]]/VLOOKUP(RawMaterials[[#This Row],[Quote Year]],ChemPPI[],14,FALSE)*VLOOKUP(BasisYear,ChemPPI[],14,FALSE))</f>
        <v>1.0518419715447156</v>
      </c>
      <c r="AM18" s="373" t="str">
        <f t="shared" si="0"/>
        <v>$/lb (2016)</v>
      </c>
    </row>
    <row r="19" spans="1:39">
      <c r="A19" s="263" t="s">
        <v>1127</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19" s="372">
        <f>IF(ISTEXT(RawMaterials[[#This Row],[Unit price in quote year]]),"Check calcs",RawMaterials[[#This Row],[Unit price in quote year]]/VLOOKUP(RawMaterials[[#This Row],[Quote Year]],ChemPPI[],14,FALSE)*VLOOKUP(BasisYear,ChemPPI[],14,FALSE))</f>
        <v>0.86183180894308953</v>
      </c>
      <c r="AM19" s="373" t="str">
        <f t="shared" si="0"/>
        <v>$/lb (2016)</v>
      </c>
    </row>
    <row r="20" spans="1:39">
      <c r="A20" s="263" t="s">
        <v>1128</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0" s="372">
        <f>IF(ISTEXT(RawMaterials[[#This Row],[Unit price in quote year]]),"Check calcs",RawMaterials[[#This Row],[Unit price in quote year]]/VLOOKUP(RawMaterials[[#This Row],[Quote Year]],ChemPPI[],14,FALSE)*VLOOKUP(BasisYear,ChemPPI[],14,FALSE))</f>
        <v>1.1468470528455288</v>
      </c>
      <c r="AM20" s="373" t="str">
        <f t="shared" si="0"/>
        <v>$/lb (2016)</v>
      </c>
    </row>
    <row r="21" spans="1:39">
      <c r="A21" s="263" t="s">
        <v>1129</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1" s="372">
        <f>IF(ISTEXT(RawMaterials[[#This Row],[Unit price in quote year]]),"Check calcs",RawMaterials[[#This Row],[Unit price in quote year]]/VLOOKUP(RawMaterials[[#This Row],[Quote Year]],ChemPPI[],14,FALSE)*VLOOKUP(BasisYear,ChemPPI[],14,FALSE))</f>
        <v>0.67860772357723598</v>
      </c>
      <c r="AM21" s="373" t="str">
        <f t="shared" si="0"/>
        <v>$/lb (2016)</v>
      </c>
    </row>
    <row r="22" spans="1:39">
      <c r="A22" s="263" t="s">
        <v>1130</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0.45500000000000002</v>
      </c>
      <c r="AL22" s="372">
        <f>IF(ISTEXT(RawMaterials[[#This Row],[Unit price in quote year]]),"Check calcs",RawMaterials[[#This Row],[Unit price in quote year]]/VLOOKUP(RawMaterials[[#This Row],[Quote Year]],ChemPPI[],14,FALSE)*VLOOKUP(BasisYear,ChemPPI[],14,FALSE))</f>
        <v>0.61753302845528468</v>
      </c>
      <c r="AM22" s="373" t="str">
        <f t="shared" si="0"/>
        <v>$/lb (2016)</v>
      </c>
    </row>
    <row r="23" spans="1:39">
      <c r="A23" s="263" t="s">
        <v>1131</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23" s="372">
        <f>IF(ISTEXT(RawMaterials[[#This Row],[Unit price in quote year]]),"Check calcs",RawMaterials[[#This Row],[Unit price in quote year]]/VLOOKUP(RawMaterials[[#This Row],[Quote Year]],ChemPPI[],14,FALSE)*VLOOKUP(BasisYear,ChemPPI[],14,FALSE))</f>
        <v>0.4447602702209239</v>
      </c>
      <c r="AM23" s="373" t="str">
        <f t="shared" si="0"/>
        <v>$/lb (2016)</v>
      </c>
    </row>
    <row r="24" spans="1:39">
      <c r="A24" s="263" t="s">
        <v>1132</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24" s="372">
        <f>IF(ISTEXT(RawMaterials[[#This Row],[Unit price in quote year]]),"Check calcs",RawMaterials[[#This Row],[Unit price in quote year]]/VLOOKUP(RawMaterials[[#This Row],[Quote Year]],ChemPPI[],14,FALSE)*VLOOKUP(BasisYear,ChemPPI[],14,FALSE))</f>
        <v>0.79588679934270601</v>
      </c>
      <c r="AM24" s="373" t="str">
        <f t="shared" si="0"/>
        <v>$/lb (2016)</v>
      </c>
    </row>
    <row r="25" spans="1:39">
      <c r="A25" s="263" t="s">
        <v>1133</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5" s="372">
        <f>IF(ISTEXT(RawMaterials[[#This Row],[Unit price in quote year]]),"Check calcs",RawMaterials[[#This Row],[Unit price in quote year]]/VLOOKUP(RawMaterials[[#This Row],[Quote Year]],ChemPPI[],14,FALSE)*VLOOKUP(BasisYear,ChemPPI[],14,FALSE))</f>
        <v>0.67182164634146346</v>
      </c>
      <c r="AM25" s="373" t="str">
        <f t="shared" si="0"/>
        <v>$/lb (2016)</v>
      </c>
    </row>
    <row r="26" spans="1:39">
      <c r="A26" s="263" t="s">
        <v>1134</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26" s="372">
        <f>IF(ISTEXT(RawMaterials[[#This Row],[Unit price in quote year]]),"Check calcs",RawMaterials[[#This Row],[Unit price in quote year]]/VLOOKUP(RawMaterials[[#This Row],[Quote Year]],ChemPPI[],14,FALSE)*VLOOKUP(BasisYear,ChemPPI[],14,FALSE))</f>
        <v>0.84855577871097321</v>
      </c>
      <c r="AM26" s="373" t="str">
        <f t="shared" si="0"/>
        <v>$/lb (2016)</v>
      </c>
    </row>
    <row r="27" spans="1:39">
      <c r="A27" s="263" t="s">
        <v>1135</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7" s="372">
        <f>IF(ISTEXT(RawMaterials[[#This Row],[Unit price in quote year]]),"Check calcs",RawMaterials[[#This Row],[Unit price in quote year]]/VLOOKUP(RawMaterials[[#This Row],[Quote Year]],ChemPPI[],14,FALSE)*VLOOKUP(BasisYear,ChemPPI[],14,FALSE))</f>
        <v>0.6203235347818149</v>
      </c>
      <c r="AM27" s="373" t="str">
        <f t="shared" si="0"/>
        <v>$/lb (2016)</v>
      </c>
    </row>
    <row r="28" spans="1:39">
      <c r="A28" s="263" t="s">
        <v>1136</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8" s="372">
        <f>IF(ISTEXT(RawMaterials[[#This Row],[Unit price in quote year]]),"Check calcs",RawMaterials[[#This Row],[Unit price in quote year]]/VLOOKUP(RawMaterials[[#This Row],[Quote Year]],ChemPPI[],14,FALSE)*VLOOKUP(BasisYear,ChemPPI[],14,FALSE))</f>
        <v>0.58521088186963666</v>
      </c>
      <c r="AM28" s="373" t="str">
        <f t="shared" si="0"/>
        <v>$/lb (2016)</v>
      </c>
    </row>
    <row r="29" spans="1:39">
      <c r="A29" s="263" t="s">
        <v>1137</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 s="372">
        <f>IF(ISTEXT(RawMaterials[[#This Row],[Unit price in quote year]]),"Check calcs",RawMaterials[[#This Row],[Unit price in quote year]]/VLOOKUP(RawMaterials[[#This Row],[Quote Year]],ChemPPI[],14,FALSE)*VLOOKUP(BasisYear,ChemPPI[],14,FALSE))</f>
        <v>0.95005081300813021</v>
      </c>
      <c r="AM29" s="373" t="str">
        <f t="shared" si="0"/>
        <v>$/lb (2016)</v>
      </c>
    </row>
    <row r="30" spans="1:39">
      <c r="A30" s="263" t="s">
        <v>1138</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v>
      </c>
      <c r="AL30" s="372">
        <f>IF(ISTEXT(RawMaterials[[#This Row],[Unit price in quote year]]),"Check calcs",RawMaterials[[#This Row],[Unit price in quote year]]/VLOOKUP(RawMaterials[[#This Row],[Quote Year]],ChemPPI[],14,FALSE)*VLOOKUP(BasisYear,ChemPPI[],14,FALSE))</f>
        <v>5.0216971544715454</v>
      </c>
      <c r="AM30" s="373" t="str">
        <f t="shared" si="0"/>
        <v>$/lb (2016)</v>
      </c>
    </row>
    <row r="31" spans="1:39">
      <c r="A31" s="263" t="s">
        <v>1139</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v>
      </c>
      <c r="AL31" s="372">
        <f>IF(ISTEXT(RawMaterials[[#This Row],[Unit price in quote year]]),"Check calcs",RawMaterials[[#This Row],[Unit price in quote year]]/VLOOKUP(RawMaterials[[#This Row],[Quote Year]],ChemPPI[],14,FALSE)*VLOOKUP(BasisYear,ChemPPI[],14,FALSE))</f>
        <v>5.2931402439024398</v>
      </c>
      <c r="AM31" s="373" t="str">
        <f t="shared" si="0"/>
        <v>$/lb (2016)</v>
      </c>
    </row>
    <row r="32" spans="1:39">
      <c r="A32" s="263" t="s">
        <v>1140</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1.115</v>
      </c>
      <c r="AL32" s="372">
        <f>IF(ISTEXT(RawMaterials[[#This Row],[Unit price in quote year]]),"Check calcs",RawMaterials[[#This Row],[Unit price in quote year]]/VLOOKUP(RawMaterials[[#This Row],[Quote Year]],ChemPPI[],14,FALSE)*VLOOKUP(BasisYear,ChemPPI[],14,FALSE))</f>
        <v>1.3050202665692898</v>
      </c>
      <c r="AM32" s="373" t="str">
        <f t="shared" si="0"/>
        <v>$/lb (2016)</v>
      </c>
    </row>
    <row r="33" spans="1:39">
      <c r="A33" s="263" t="s">
        <v>1141</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1.345</v>
      </c>
      <c r="AL33" s="372">
        <f>IF(ISTEXT(RawMaterials[[#This Row],[Unit price in quote year]]),"Check calcs",RawMaterials[[#This Row],[Unit price in quote year]]/VLOOKUP(RawMaterials[[#This Row],[Quote Year]],ChemPPI[],14,FALSE)*VLOOKUP(BasisYear,ChemPPI[],14,FALSE))</f>
        <v>1.5742172722293226</v>
      </c>
      <c r="AM33" s="373" t="str">
        <f t="shared" si="0"/>
        <v>$/lb (2016)</v>
      </c>
    </row>
    <row r="34" spans="1:39">
      <c r="A34" s="263" t="s">
        <v>1142</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v>
      </c>
      <c r="AL34" s="372">
        <f>IF(ISTEXT(RawMaterials[[#This Row],[Unit price in quote year]]),"Check calcs",RawMaterials[[#This Row],[Unit price in quote year]]/VLOOKUP(RawMaterials[[#This Row],[Quote Year]],ChemPPI[],14,FALSE)*VLOOKUP(BasisYear,ChemPPI[],14,FALSE))</f>
        <v>1.4396187693993061</v>
      </c>
      <c r="AM34" s="373" t="str">
        <f t="shared" si="0"/>
        <v>$/lb (2016)</v>
      </c>
    </row>
    <row r="35" spans="1:39">
      <c r="A35" s="263" t="s">
        <v>1143</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1.18</v>
      </c>
      <c r="AL35" s="372">
        <f>IF(ISTEXT(RawMaterials[[#This Row],[Unit price in quote year]]),"Check calcs",RawMaterials[[#This Row],[Unit price in quote year]]/VLOOKUP(RawMaterials[[#This Row],[Quote Year]],ChemPPI[],14,FALSE)*VLOOKUP(BasisYear,ChemPPI[],14,FALSE))</f>
        <v>1.3810976812123426</v>
      </c>
      <c r="AM35" s="373" t="str">
        <f t="shared" si="0"/>
        <v>$/lb (2016)</v>
      </c>
    </row>
    <row r="36" spans="1:39">
      <c r="A36" s="263" t="s">
        <v>1144</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1.0049999999999999</v>
      </c>
      <c r="AL36" s="372">
        <f>IF(ISTEXT(RawMaterials[[#This Row],[Unit price in quote year]]),"Check calcs",RawMaterials[[#This Row],[Unit price in quote year]]/VLOOKUP(RawMaterials[[#This Row],[Quote Year]],ChemPPI[],14,FALSE)*VLOOKUP(BasisYear,ChemPPI[],14,FALSE))</f>
        <v>1.1762738725579696</v>
      </c>
      <c r="AM36" s="373" t="str">
        <f t="shared" si="0"/>
        <v>$/lb (2016)</v>
      </c>
    </row>
    <row r="37" spans="1:39">
      <c r="A37" s="263" t="s">
        <v>1145</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0.92999999999999905</v>
      </c>
      <c r="AL37" s="372">
        <f>IF(ISTEXT(RawMaterials[[#This Row],[Unit price in quote year]]),"Check calcs",RawMaterials[[#This Row],[Unit price in quote year]]/VLOOKUP(RawMaterials[[#This Row],[Quote Year]],ChemPPI[],14,FALSE)*VLOOKUP(BasisYear,ChemPPI[],14,FALSE))</f>
        <v>1.088492240277523</v>
      </c>
      <c r="AM37" s="373" t="str">
        <f t="shared" si="0"/>
        <v>$/lb (2016)</v>
      </c>
    </row>
    <row r="38" spans="1:39">
      <c r="A38" s="263" t="s">
        <v>1146</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38" s="372">
        <f>IF(ISTEXT(RawMaterials[[#This Row],[Unit price in quote year]]),"Check calcs",RawMaterials[[#This Row],[Unit price in quote year]]/VLOOKUP(RawMaterials[[#This Row],[Quote Year]],ChemPPI[],14,FALSE)*VLOOKUP(BasisYear,ChemPPI[],14,FALSE))</f>
        <v>1.0182669344531678</v>
      </c>
      <c r="AM38" s="373" t="str">
        <f t="shared" si="0"/>
        <v>$/lb (2016)</v>
      </c>
    </row>
    <row r="39" spans="1:39">
      <c r="A39" s="263" t="s">
        <v>1147</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1.105</v>
      </c>
      <c r="AL39" s="372">
        <f>IF(ISTEXT(RawMaterials[[#This Row],[Unit price in quote year]]),"Check calcs",RawMaterials[[#This Row],[Unit price in quote year]]/VLOOKUP(RawMaterials[[#This Row],[Quote Year]],ChemPPI[],14,FALSE)*VLOOKUP(BasisYear,ChemPPI[],14,FALSE))</f>
        <v>1.2933160489318969</v>
      </c>
      <c r="AM39" s="373" t="str">
        <f t="shared" si="0"/>
        <v>$/lb (2016)</v>
      </c>
    </row>
    <row r="40" spans="1:39">
      <c r="A40" s="263" t="s">
        <v>1148</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v>
      </c>
      <c r="AL40" s="372">
        <f>IF(ISTEXT(RawMaterials[[#This Row],[Unit price in quote year]]),"Check calcs",RawMaterials[[#This Row],[Unit price in quote year]]/VLOOKUP(RawMaterials[[#This Row],[Quote Year]],ChemPPI[],14,FALSE)*VLOOKUP(BasisYear,ChemPPI[],14,FALSE))</f>
        <v>1.6268862515975899</v>
      </c>
      <c r="AM40" s="373" t="str">
        <f t="shared" si="0"/>
        <v>$/lb (2016)</v>
      </c>
    </row>
    <row r="41" spans="1:39">
      <c r="A41" s="263" t="s">
        <v>1149</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41" s="372">
        <f>IF(ISTEXT(RawMaterials[[#This Row],[Unit price in quote year]]),"Check calcs",RawMaterials[[#This Row],[Unit price in quote year]]/VLOOKUP(RawMaterials[[#This Row],[Quote Year]],ChemPPI[],14,FALSE)*VLOOKUP(BasisYear,ChemPPI[],14,FALSE))</f>
        <v>1.4922877487675734</v>
      </c>
      <c r="AM41" s="373" t="str">
        <f t="shared" si="0"/>
        <v>$/lb (2016)</v>
      </c>
    </row>
    <row r="42" spans="1:39">
      <c r="A42" s="263" t="s">
        <v>1150</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1.2849999999999999</v>
      </c>
      <c r="AL42" s="372">
        <f>IF(ISTEXT(RawMaterials[[#This Row],[Unit price in quote year]]),"Check calcs",RawMaterials[[#This Row],[Unit price in quote year]]/VLOOKUP(RawMaterials[[#This Row],[Quote Year]],ChemPPI[],14,FALSE)*VLOOKUP(BasisYear,ChemPPI[],14,FALSE))</f>
        <v>1.5039919664049664</v>
      </c>
      <c r="AM42" s="373" t="str">
        <f t="shared" si="0"/>
        <v>$/lb (2016)</v>
      </c>
    </row>
    <row r="43" spans="1:39">
      <c r="A43" s="263" t="s">
        <v>1151</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1.385</v>
      </c>
      <c r="AL43" s="372">
        <f>IF(ISTEXT(RawMaterials[[#This Row],[Unit price in quote year]]),"Check calcs",RawMaterials[[#This Row],[Unit price in quote year]]/VLOOKUP(RawMaterials[[#This Row],[Quote Year]],ChemPPI[],14,FALSE)*VLOOKUP(BasisYear,ChemPPI[],14,FALSE))</f>
        <v>1.6210341427788937</v>
      </c>
      <c r="AM43" s="373" t="str">
        <f t="shared" si="0"/>
        <v>$/lb (2016)</v>
      </c>
    </row>
    <row r="44" spans="1:39">
      <c r="A44" s="263" t="s">
        <v>1152</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4" s="372">
        <f>IF(ISTEXT(RawMaterials[[#This Row],[Unit price in quote year]]),"Check calcs",RawMaterials[[#This Row],[Unit price in quote year]]/VLOOKUP(RawMaterials[[#This Row],[Quote Year]],ChemPPI[],14,FALSE)*VLOOKUP(BasisYear,ChemPPI[],14,FALSE))</f>
        <v>1.6093299251415008</v>
      </c>
      <c r="AM44" s="373" t="str">
        <f t="shared" si="0"/>
        <v>$/lb (2016)</v>
      </c>
    </row>
    <row r="45" spans="1:39">
      <c r="A45" s="263" t="s">
        <v>1153</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45" s="372">
        <f>IF(ISTEXT(RawMaterials[[#This Row],[Unit price in quote year]]),"Check calcs",RawMaterials[[#This Row],[Unit price in quote year]]/VLOOKUP(RawMaterials[[#This Row],[Quote Year]],ChemPPI[],14,FALSE)*VLOOKUP(BasisYear,ChemPPI[],14,FALSE))</f>
        <v>1.5098440752236628</v>
      </c>
      <c r="AM45" s="373" t="str">
        <f t="shared" si="0"/>
        <v>$/lb (2016)</v>
      </c>
    </row>
    <row r="46" spans="1:39">
      <c r="A46" s="263" t="s">
        <v>1154</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1.2450000000000001</v>
      </c>
      <c r="AL46" s="372">
        <f>IF(ISTEXT(RawMaterials[[#This Row],[Unit price in quote year]]),"Check calcs",RawMaterials[[#This Row],[Unit price in quote year]]/VLOOKUP(RawMaterials[[#This Row],[Quote Year]],ChemPPI[],14,FALSE)*VLOOKUP(BasisYear,ChemPPI[],14,FALSE))</f>
        <v>1.4571750958553955</v>
      </c>
      <c r="AM46" s="373" t="str">
        <f t="shared" si="0"/>
        <v>$/lb (2016)</v>
      </c>
    </row>
    <row r="47" spans="1:39">
      <c r="A47" s="263" t="s">
        <v>1155</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1.405</v>
      </c>
      <c r="AL47" s="372">
        <f>IF(ISTEXT(RawMaterials[[#This Row],[Unit price in quote year]]),"Check calcs",RawMaterials[[#This Row],[Unit price in quote year]]/VLOOKUP(RawMaterials[[#This Row],[Quote Year]],ChemPPI[],14,FALSE)*VLOOKUP(BasisYear,ChemPPI[],14,FALSE))</f>
        <v>1.6444425780536791</v>
      </c>
      <c r="AM47" s="373" t="str">
        <f t="shared" si="0"/>
        <v>$/lb (2016)</v>
      </c>
    </row>
    <row r="48" spans="1:39">
      <c r="A48" s="263" t="s">
        <v>1156</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0.95499999999999996</v>
      </c>
      <c r="AL48" s="372">
        <f>IF(ISTEXT(RawMaterials[[#This Row],[Unit price in quote year]]),"Check calcs",RawMaterials[[#This Row],[Unit price in quote year]]/VLOOKUP(RawMaterials[[#This Row],[Quote Year]],ChemPPI[],14,FALSE)*VLOOKUP(BasisYear,ChemPPI[],14,FALSE))</f>
        <v>1.117752784371006</v>
      </c>
      <c r="AM48" s="373" t="str">
        <f t="shared" si="0"/>
        <v>$/lb (2016)</v>
      </c>
    </row>
    <row r="49" spans="1:39">
      <c r="A49" s="263" t="s">
        <v>1157</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1.365</v>
      </c>
      <c r="AL49" s="372">
        <f>IF(ISTEXT(RawMaterials[[#This Row],[Unit price in quote year]]),"Check calcs",RawMaterials[[#This Row],[Unit price in quote year]]/VLOOKUP(RawMaterials[[#This Row],[Quote Year]],ChemPPI[],14,FALSE)*VLOOKUP(BasisYear,ChemPPI[],14,FALSE))</f>
        <v>1.597625707504108</v>
      </c>
      <c r="AM49" s="373" t="str">
        <f t="shared" si="0"/>
        <v>$/lb (2016)</v>
      </c>
    </row>
    <row r="50" spans="1:39">
      <c r="A50" s="263" t="s">
        <v>1158</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v>
      </c>
      <c r="AL50" s="372">
        <f>IF(ISTEXT(RawMaterials[[#This Row],[Unit price in quote year]]),"Check calcs",RawMaterials[[#This Row],[Unit price in quote year]]/VLOOKUP(RawMaterials[[#This Row],[Quote Year]],ChemPPI[],14,FALSE)*VLOOKUP(BasisYear,ChemPPI[],14,FALSE))</f>
        <v>1.533252510498448</v>
      </c>
      <c r="AM50" s="373" t="str">
        <f t="shared" si="0"/>
        <v>$/lb (2016)</v>
      </c>
    </row>
    <row r="51" spans="1:39">
      <c r="A51" s="263" t="s">
        <v>1159</v>
      </c>
      <c r="B51" s="264"/>
      <c r="C51" s="276"/>
      <c r="D51" s="270"/>
      <c r="E51" s="264">
        <v>100</v>
      </c>
      <c r="F51" s="264"/>
      <c r="G51" s="276"/>
      <c r="H51" s="276"/>
      <c r="I51" s="268"/>
      <c r="J51" s="276"/>
      <c r="K51" s="276"/>
      <c r="L51" s="276"/>
      <c r="M51" s="276"/>
      <c r="N51" s="276"/>
      <c r="O51" s="276"/>
      <c r="P51" s="265">
        <v>0.67500000000000004</v>
      </c>
      <c r="Q51" s="264">
        <v>1</v>
      </c>
      <c r="R51" s="264" t="s">
        <v>1123</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3.0617484975000001E-4</v>
      </c>
      <c r="AL51" s="372">
        <f>IF(ISTEXT(RawMaterials[[#This Row],[Unit price in quote year]]),"Check calcs",RawMaterials[[#This Row],[Unit price in quote year]]/VLOOKUP(RawMaterials[[#This Row],[Quote Year]],ChemPPI[],14,FALSE)*VLOOKUP(BasisYear,ChemPPI[],14,FALSE))</f>
        <v>4.1554523561089952E-4</v>
      </c>
      <c r="AM51" s="373" t="str">
        <f t="shared" si="0"/>
        <v>$/lb (2016)</v>
      </c>
    </row>
    <row r="52" spans="1:39">
      <c r="A52" s="263" t="s">
        <v>1160</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1.3149999999999999</v>
      </c>
      <c r="AL52" s="372">
        <f>IF(ISTEXT(RawMaterials[[#This Row],[Unit price in quote year]]),"Check calcs",RawMaterials[[#This Row],[Unit price in quote year]]/VLOOKUP(RawMaterials[[#This Row],[Quote Year]],ChemPPI[],14,FALSE)*VLOOKUP(BasisYear,ChemPPI[],14,FALSE))</f>
        <v>1.7847383130081305</v>
      </c>
      <c r="AM52" s="373" t="str">
        <f t="shared" si="0"/>
        <v>$/lb (2016)</v>
      </c>
    </row>
    <row r="53" spans="1:39">
      <c r="A53" s="263" t="s">
        <v>1161</v>
      </c>
      <c r="B53" s="264"/>
      <c r="C53" s="276"/>
      <c r="D53" s="270"/>
      <c r="E53" s="264">
        <v>100</v>
      </c>
      <c r="F53" s="264"/>
      <c r="G53" s="276"/>
      <c r="H53" s="276"/>
      <c r="I53" s="268"/>
      <c r="J53" s="276"/>
      <c r="K53" s="276"/>
      <c r="L53" s="276"/>
      <c r="M53" s="276"/>
      <c r="N53" s="276"/>
      <c r="O53" s="276"/>
      <c r="P53" s="265">
        <v>0.875</v>
      </c>
      <c r="Q53" s="264">
        <v>1</v>
      </c>
      <c r="R53" s="264" t="s">
        <v>406</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4.3750000000000001E-4</v>
      </c>
      <c r="AL53" s="372">
        <f>IF(ISTEXT(RawMaterials[[#This Row],[Unit price in quote year]]),"Check calcs",RawMaterials[[#This Row],[Unit price in quote year]]/VLOOKUP(RawMaterials[[#This Row],[Quote Year]],ChemPPI[],14,FALSE)*VLOOKUP(BasisYear,ChemPPI[],14,FALSE))</f>
        <v>5.9378175813008143E-4</v>
      </c>
      <c r="AM53" s="373" t="str">
        <f t="shared" si="0"/>
        <v>$/lb (2016)</v>
      </c>
    </row>
    <row r="54" spans="1:39">
      <c r="A54" s="263" t="s">
        <v>1162</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4" s="372">
        <f>IF(ISTEXT(RawMaterials[[#This Row],[Unit price in quote year]]),"Check calcs",RawMaterials[[#This Row],[Unit price in quote year]]/VLOOKUP(RawMaterials[[#This Row],[Quote Year]],ChemPPI[],14,FALSE)*VLOOKUP(BasisYear,ChemPPI[],14,FALSE))</f>
        <v>1.0518419715447156</v>
      </c>
      <c r="AM54" s="373" t="str">
        <f t="shared" si="0"/>
        <v>$/lb (2016)</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1105</v>
      </c>
      <c r="U55" s="382">
        <v>43339</v>
      </c>
      <c r="V55" s="269" t="s">
        <v>1716</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55" s="372">
        <f>IF(ISTEXT(RawMaterials[[#This Row],[Unit price in quote year]]),"Check calcs",RawMaterials[[#This Row],[Unit price in quote year]]/VLOOKUP(RawMaterials[[#This Row],[Quote Year]],ChemPPI[],14,FALSE)*VLOOKUP(BasisYear,ChemPPI[],14,FALSE))</f>
        <v>0.89194378739390567</v>
      </c>
      <c r="AM55" s="373" t="str">
        <f t="shared" si="0"/>
        <v>$/lb (2016)</v>
      </c>
    </row>
    <row r="56" spans="1:39">
      <c r="A56" s="263" t="s">
        <v>1163</v>
      </c>
      <c r="B56" s="264"/>
      <c r="C56" s="271"/>
      <c r="D56" s="365"/>
      <c r="E56" s="264">
        <v>100</v>
      </c>
      <c r="F56" s="264"/>
      <c r="G56" s="271"/>
      <c r="H56" s="271"/>
      <c r="I56" s="268"/>
      <c r="J56" s="271"/>
      <c r="K56" s="271"/>
      <c r="L56" s="271"/>
      <c r="M56" s="271"/>
      <c r="N56" s="271"/>
      <c r="O56" s="271"/>
      <c r="P56" s="265">
        <v>447.5</v>
      </c>
      <c r="Q56" s="264">
        <v>1</v>
      </c>
      <c r="R56" s="264" t="s">
        <v>406</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0.22375</v>
      </c>
      <c r="AL56" s="372">
        <f>IF(ISTEXT(RawMaterials[[#This Row],[Unit price in quote year]]),"Check calcs",RawMaterials[[#This Row],[Unit price in quote year]]/VLOOKUP(RawMaterials[[#This Row],[Quote Year]],ChemPPI[],14,FALSE)*VLOOKUP(BasisYear,ChemPPI[],14,FALSE))</f>
        <v>0.30367695630081304</v>
      </c>
      <c r="AM56" s="373" t="str">
        <f t="shared" si="0"/>
        <v>$/lb (2016)</v>
      </c>
    </row>
    <row r="57" spans="1:39">
      <c r="A57" s="263" t="s">
        <v>1164</v>
      </c>
      <c r="B57" s="264"/>
      <c r="C57" s="271"/>
      <c r="D57" s="365"/>
      <c r="E57" s="264">
        <v>100</v>
      </c>
      <c r="F57" s="264"/>
      <c r="G57" s="271"/>
      <c r="H57" s="271"/>
      <c r="I57" s="268"/>
      <c r="J57" s="271"/>
      <c r="K57" s="271"/>
      <c r="L57" s="271"/>
      <c r="M57" s="271"/>
      <c r="N57" s="271"/>
      <c r="O57" s="271"/>
      <c r="P57" s="265">
        <v>335</v>
      </c>
      <c r="Q57" s="264">
        <v>1</v>
      </c>
      <c r="R57" s="264" t="s">
        <v>406</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0.16750000000000001</v>
      </c>
      <c r="AL57" s="372">
        <f>IF(ISTEXT(RawMaterials[[#This Row],[Unit price in quote year]]),"Check calcs",RawMaterials[[#This Row],[Unit price in quote year]]/VLOOKUP(RawMaterials[[#This Row],[Quote Year]],ChemPPI[],14,FALSE)*VLOOKUP(BasisYear,ChemPPI[],14,FALSE))</f>
        <v>0.22733358739837403</v>
      </c>
      <c r="AM57" s="373" t="str">
        <f t="shared" si="0"/>
        <v>$/lb (2016)</v>
      </c>
    </row>
    <row r="58" spans="1:39">
      <c r="A58" s="263" t="s">
        <v>1165</v>
      </c>
      <c r="B58" s="264"/>
      <c r="C58" s="271"/>
      <c r="D58" s="365"/>
      <c r="E58" s="264">
        <v>100</v>
      </c>
      <c r="F58" s="264"/>
      <c r="G58" s="271"/>
      <c r="H58" s="271"/>
      <c r="I58" s="268"/>
      <c r="J58" s="271"/>
      <c r="K58" s="271"/>
      <c r="L58" s="271"/>
      <c r="M58" s="271"/>
      <c r="N58" s="271"/>
      <c r="O58" s="271"/>
      <c r="P58" s="265">
        <v>425</v>
      </c>
      <c r="Q58" s="264">
        <v>1</v>
      </c>
      <c r="R58" s="264" t="s">
        <v>406</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0.21249999999999999</v>
      </c>
      <c r="AL58" s="372">
        <f>IF(ISTEXT(RawMaterials[[#This Row],[Unit price in quote year]]),"Check calcs",RawMaterials[[#This Row],[Unit price in quote year]]/VLOOKUP(RawMaterials[[#This Row],[Quote Year]],ChemPPI[],14,FALSE)*VLOOKUP(BasisYear,ChemPPI[],14,FALSE))</f>
        <v>0.28840828252032524</v>
      </c>
      <c r="AM58" s="373" t="str">
        <f t="shared" si="0"/>
        <v>$/lb (2016)</v>
      </c>
    </row>
    <row r="59" spans="1:39">
      <c r="A59" s="263" t="s">
        <v>1166</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v>
      </c>
      <c r="AL59" s="372">
        <f>IF(ISTEXT(RawMaterials[[#This Row],[Unit price in quote year]]),"Check calcs",RawMaterials[[#This Row],[Unit price in quote year]]/VLOOKUP(RawMaterials[[#This Row],[Quote Year]],ChemPPI[],14,FALSE)*VLOOKUP(BasisYear,ChemPPI[],14,FALSE))</f>
        <v>449.23831300813015</v>
      </c>
      <c r="AM59" s="373" t="str">
        <f t="shared" si="0"/>
        <v>$/lb (2016)</v>
      </c>
    </row>
    <row r="60" spans="1:39">
      <c r="A60" s="263" t="s">
        <v>1167</v>
      </c>
      <c r="B60" s="264"/>
      <c r="C60" s="271"/>
      <c r="D60" s="365"/>
      <c r="E60" s="264">
        <v>100</v>
      </c>
      <c r="F60" s="264"/>
      <c r="G60" s="271"/>
      <c r="H60" s="271"/>
      <c r="I60" s="268"/>
      <c r="J60" s="271"/>
      <c r="K60" s="271"/>
      <c r="L60" s="271"/>
      <c r="M60" s="271"/>
      <c r="N60" s="271"/>
      <c r="O60" s="271"/>
      <c r="P60" s="265">
        <v>370</v>
      </c>
      <c r="Q60" s="264">
        <v>1</v>
      </c>
      <c r="R60" s="264" t="s">
        <v>406</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60" s="372">
        <f>IF(ISTEXT(RawMaterials[[#This Row],[Unit price in quote year]]),"Check calcs",RawMaterials[[#This Row],[Unit price in quote year]]/VLOOKUP(RawMaterials[[#This Row],[Quote Year]],ChemPPI[],14,FALSE)*VLOOKUP(BasisYear,ChemPPI[],14,FALSE))</f>
        <v>0.25108485772357725</v>
      </c>
      <c r="AM60" s="373" t="str">
        <f t="shared" si="0"/>
        <v>$/lb (2016)</v>
      </c>
    </row>
    <row r="61" spans="1:39">
      <c r="A61" s="263" t="s">
        <v>1168</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1.2383071701000001</v>
      </c>
      <c r="AL61" s="372">
        <f>IF(ISTEXT(RawMaterials[[#This Row],[Unit price in quote year]]),"Check calcs",RawMaterials[[#This Row],[Unit price in quote year]]/VLOOKUP(RawMaterials[[#This Row],[Quote Year]],ChemPPI[],14,FALSE)*VLOOKUP(BasisYear,ChemPPI[],14,FALSE))</f>
        <v>1.6806496195818603</v>
      </c>
      <c r="AM61" s="373" t="str">
        <f t="shared" si="0"/>
        <v>$/lb (2016)</v>
      </c>
    </row>
    <row r="62" spans="1:39">
      <c r="A62" s="263" t="s">
        <v>1169</v>
      </c>
      <c r="B62" s="264"/>
      <c r="C62" s="271"/>
      <c r="D62" s="365"/>
      <c r="E62" s="264">
        <v>100</v>
      </c>
      <c r="F62" s="264"/>
      <c r="G62" s="271"/>
      <c r="H62" s="271"/>
      <c r="I62" s="268"/>
      <c r="J62" s="271"/>
      <c r="K62" s="271"/>
      <c r="L62" s="271"/>
      <c r="M62" s="271"/>
      <c r="N62" s="271"/>
      <c r="O62" s="271"/>
      <c r="P62" s="265">
        <v>126.48</v>
      </c>
      <c r="Q62" s="264">
        <v>1</v>
      </c>
      <c r="R62" s="264" t="s">
        <v>1123</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5.73703629576E-2</v>
      </c>
      <c r="AL62" s="372">
        <f>IF(ISTEXT(RawMaterials[[#This Row],[Unit price in quote year]]),"Check calcs",RawMaterials[[#This Row],[Unit price in quote year]]/VLOOKUP(RawMaterials[[#This Row],[Quote Year]],ChemPPI[],14,FALSE)*VLOOKUP(BasisYear,ChemPPI[],14,FALSE))</f>
        <v>7.7863942814913434E-2</v>
      </c>
      <c r="AM62" s="373" t="str">
        <f t="shared" si="0"/>
        <v>$/lb (2016)</v>
      </c>
    </row>
    <row r="63" spans="1:39">
      <c r="A63" s="263" t="s">
        <v>1170</v>
      </c>
      <c r="B63" s="264"/>
      <c r="C63" s="271"/>
      <c r="D63" s="365"/>
      <c r="E63" s="264">
        <v>100</v>
      </c>
      <c r="F63" s="264"/>
      <c r="G63" s="271"/>
      <c r="H63" s="271"/>
      <c r="I63" s="268"/>
      <c r="J63" s="271"/>
      <c r="K63" s="271"/>
      <c r="L63" s="271"/>
      <c r="M63" s="271"/>
      <c r="N63" s="271"/>
      <c r="O63" s="271"/>
      <c r="P63" s="265">
        <v>602.5</v>
      </c>
      <c r="Q63" s="264">
        <v>1</v>
      </c>
      <c r="R63" s="264" t="s">
        <v>1123</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0.27328940292499998</v>
      </c>
      <c r="AL63" s="372">
        <f>IF(ISTEXT(RawMaterials[[#This Row],[Unit price in quote year]]),"Check calcs",RawMaterials[[#This Row],[Unit price in quote year]]/VLOOKUP(RawMaterials[[#This Row],[Quote Year]],ChemPPI[],14,FALSE)*VLOOKUP(BasisYear,ChemPPI[],14,FALSE))</f>
        <v>0.31986386498273145</v>
      </c>
      <c r="AM63" s="373" t="str">
        <f t="shared" si="0"/>
        <v>$/lb (2016)</v>
      </c>
    </row>
    <row r="64" spans="1:39">
      <c r="A64" s="263" t="s">
        <v>1171</v>
      </c>
      <c r="B64" s="264"/>
      <c r="C64" s="271"/>
      <c r="D64" s="365"/>
      <c r="E64" s="264">
        <v>100</v>
      </c>
      <c r="F64" s="264"/>
      <c r="G64" s="271"/>
      <c r="H64" s="271"/>
      <c r="I64" s="268"/>
      <c r="J64" s="271"/>
      <c r="K64" s="271"/>
      <c r="L64" s="271"/>
      <c r="M64" s="271"/>
      <c r="N64" s="271"/>
      <c r="O64" s="271"/>
      <c r="P64" s="265">
        <v>578.71500000000003</v>
      </c>
      <c r="Q64" s="264">
        <v>1</v>
      </c>
      <c r="R64" s="264" t="s">
        <v>406</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0.28935749999999999</v>
      </c>
      <c r="AL64" s="372">
        <f>IF(ISTEXT(RawMaterials[[#This Row],[Unit price in quote year]]),"Check calcs",RawMaterials[[#This Row],[Unit price in quote year]]/VLOOKUP(RawMaterials[[#This Row],[Quote Year]],ChemPPI[],14,FALSE)*VLOOKUP(BasisYear,ChemPPI[],14,FALSE))</f>
        <v>0.33867031550118676</v>
      </c>
      <c r="AM64" s="373" t="str">
        <f t="shared" si="0"/>
        <v>$/lb (2016)</v>
      </c>
    </row>
    <row r="65" spans="1:39">
      <c r="A65" s="263" t="s">
        <v>1172</v>
      </c>
      <c r="B65" s="264"/>
      <c r="C65" s="271"/>
      <c r="D65" s="365"/>
      <c r="E65" s="264">
        <v>100</v>
      </c>
      <c r="F65" s="264"/>
      <c r="G65" s="271"/>
      <c r="H65" s="271"/>
      <c r="I65" s="268"/>
      <c r="J65" s="271"/>
      <c r="K65" s="271"/>
      <c r="L65" s="271"/>
      <c r="M65" s="271"/>
      <c r="N65" s="271"/>
      <c r="O65" s="271"/>
      <c r="P65" s="265">
        <v>172</v>
      </c>
      <c r="Q65" s="264">
        <v>1</v>
      </c>
      <c r="R65" s="264" t="s">
        <v>406</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8.5999999999999993E-2</v>
      </c>
      <c r="AL65" s="372">
        <f>IF(ISTEXT(RawMaterials[[#This Row],[Unit price in quote year]]),"Check calcs",RawMaterials[[#This Row],[Unit price in quote year]]/VLOOKUP(RawMaterials[[#This Row],[Quote Year]],ChemPPI[],14,FALSE)*VLOOKUP(BasisYear,ChemPPI[],14,FALSE))</f>
        <v>0.11672052845528456</v>
      </c>
      <c r="AM65" s="373" t="str">
        <f t="shared" si="0"/>
        <v>$/lb (2016)</v>
      </c>
    </row>
    <row r="66" spans="1:39">
      <c r="A66" s="263" t="s">
        <v>1173</v>
      </c>
      <c r="B66" s="264"/>
      <c r="C66" s="271"/>
      <c r="D66" s="365"/>
      <c r="E66" s="264">
        <v>100</v>
      </c>
      <c r="F66" s="264"/>
      <c r="G66" s="271"/>
      <c r="H66" s="271"/>
      <c r="I66" s="268"/>
      <c r="J66" s="271"/>
      <c r="K66" s="271"/>
      <c r="L66" s="271"/>
      <c r="M66" s="271"/>
      <c r="N66" s="271"/>
      <c r="O66" s="271"/>
      <c r="P66" s="265">
        <v>227.5</v>
      </c>
      <c r="Q66" s="264">
        <v>1</v>
      </c>
      <c r="R66" s="264" t="s">
        <v>1123</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0.10319226417499999</v>
      </c>
      <c r="AL66" s="372">
        <f>IF(ISTEXT(RawMaterials[[#This Row],[Unit price in quote year]]),"Check calcs",RawMaterials[[#This Row],[Unit price in quote year]]/VLOOKUP(RawMaterials[[#This Row],[Quote Year]],ChemPPI[],14,FALSE)*VLOOKUP(BasisYear,ChemPPI[],14,FALSE))</f>
        <v>0.14005413496515501</v>
      </c>
      <c r="AM66" s="373" t="str">
        <f t="shared" si="0"/>
        <v>$/lb (2016)</v>
      </c>
    </row>
    <row r="67" spans="1:39">
      <c r="A67" s="263" t="s">
        <v>1174</v>
      </c>
      <c r="B67" s="264"/>
      <c r="C67" s="271"/>
      <c r="D67" s="365"/>
      <c r="E67" s="264">
        <v>100</v>
      </c>
      <c r="F67" s="264"/>
      <c r="G67" s="271"/>
      <c r="H67" s="271"/>
      <c r="I67" s="268"/>
      <c r="J67" s="271"/>
      <c r="K67" s="271"/>
      <c r="L67" s="271"/>
      <c r="M67" s="271"/>
      <c r="N67" s="271"/>
      <c r="O67" s="271"/>
      <c r="P67" s="265">
        <v>235</v>
      </c>
      <c r="Q67" s="264">
        <v>1</v>
      </c>
      <c r="R67" s="264" t="s">
        <v>406</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0.11749999999999999</v>
      </c>
      <c r="AL67" s="372">
        <f>IF(ISTEXT(RawMaterials[[#This Row],[Unit price in quote year]]),"Check calcs",RawMaterials[[#This Row],[Unit price in quote year]]/VLOOKUP(RawMaterials[[#This Row],[Quote Year]],ChemPPI[],14,FALSE)*VLOOKUP(BasisYear,ChemPPI[],14,FALSE))</f>
        <v>0.15947281504065045</v>
      </c>
      <c r="AM67" s="373" t="str">
        <f t="shared" si="0"/>
        <v>$/lb (2016)</v>
      </c>
    </row>
    <row r="68" spans="1:39">
      <c r="A68" s="263" t="s">
        <v>1175</v>
      </c>
      <c r="B68" s="264"/>
      <c r="C68" s="271"/>
      <c r="D68" s="365"/>
      <c r="E68" s="264">
        <v>100</v>
      </c>
      <c r="F68" s="264"/>
      <c r="G68" s="271"/>
      <c r="H68" s="271"/>
      <c r="I68" s="268"/>
      <c r="J68" s="271"/>
      <c r="K68" s="271"/>
      <c r="L68" s="271"/>
      <c r="M68" s="271"/>
      <c r="N68" s="271"/>
      <c r="O68" s="271"/>
      <c r="P68" s="265">
        <v>139.5</v>
      </c>
      <c r="Q68" s="264">
        <v>1</v>
      </c>
      <c r="R68" s="264" t="s">
        <v>406</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6.9750000000000006E-2</v>
      </c>
      <c r="AL68" s="372">
        <f>IF(ISTEXT(RawMaterials[[#This Row],[Unit price in quote year]]),"Check calcs",RawMaterials[[#This Row],[Unit price in quote year]]/VLOOKUP(RawMaterials[[#This Row],[Quote Year]],ChemPPI[],14,FALSE)*VLOOKUP(BasisYear,ChemPPI[],14,FALSE))</f>
        <v>9.4665777439024407E-2</v>
      </c>
      <c r="AM68" s="373" t="str">
        <f t="shared" si="0"/>
        <v>$/lb (2016)</v>
      </c>
    </row>
    <row r="69" spans="1:39">
      <c r="A69" s="263" t="s">
        <v>1176</v>
      </c>
      <c r="B69" s="264"/>
      <c r="C69" s="271"/>
      <c r="D69" s="365"/>
      <c r="E69" s="264">
        <v>100</v>
      </c>
      <c r="F69" s="264"/>
      <c r="G69" s="271"/>
      <c r="H69" s="271"/>
      <c r="I69" s="268"/>
      <c r="J69" s="271"/>
      <c r="K69" s="271"/>
      <c r="L69" s="271"/>
      <c r="M69" s="271"/>
      <c r="N69" s="271"/>
      <c r="O69" s="271"/>
      <c r="P69" s="265">
        <v>146</v>
      </c>
      <c r="Q69" s="264">
        <v>1</v>
      </c>
      <c r="R69" s="264" t="s">
        <v>406</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7.2999999999999995E-2</v>
      </c>
      <c r="AL69" s="372">
        <f>IF(ISTEXT(RawMaterials[[#This Row],[Unit price in quote year]]),"Check calcs",RawMaterials[[#This Row],[Unit price in quote year]]/VLOOKUP(RawMaterials[[#This Row],[Quote Year]],ChemPPI[],14,FALSE)*VLOOKUP(BasisYear,ChemPPI[],14,FALSE))</f>
        <v>9.907672764227643E-2</v>
      </c>
      <c r="AM69" s="373" t="str">
        <f t="shared" si="0"/>
        <v>$/lb (2016)</v>
      </c>
    </row>
    <row r="70" spans="1:39">
      <c r="A70" s="263" t="s">
        <v>1177</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70" s="372">
        <f>IF(ISTEXT(RawMaterials[[#This Row],[Unit price in quote year]]),"Check calcs",RawMaterials[[#This Row],[Unit price in quote year]]/VLOOKUP(RawMaterials[[#This Row],[Quote Year]],ChemPPI[],14,FALSE)*VLOOKUP(BasisYear,ChemPPI[],14,FALSE))</f>
        <v>0.5157418699186993</v>
      </c>
      <c r="AM70" s="373" t="str">
        <f t="shared" si="0"/>
        <v>$/lb (2016)</v>
      </c>
    </row>
    <row r="71" spans="1:39">
      <c r="A71" s="263" t="s">
        <v>1178</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71" s="372">
        <f>IF(ISTEXT(RawMaterials[[#This Row],[Unit price in quote year]]),"Check calcs",RawMaterials[[#This Row],[Unit price in quote year]]/VLOOKUP(RawMaterials[[#This Row],[Quote Year]],ChemPPI[],14,FALSE)*VLOOKUP(BasisYear,ChemPPI[],14,FALSE))</f>
        <v>2.6465701219512199</v>
      </c>
      <c r="AM71" s="373" t="str">
        <f t="shared" si="0"/>
        <v>$/lb (2016)</v>
      </c>
    </row>
    <row r="72" spans="1:39">
      <c r="A72" s="263" t="s">
        <v>1179</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2" s="372">
        <f>IF(ISTEXT(RawMaterials[[#This Row],[Unit price in quote year]]),"Check calcs",RawMaterials[[#This Row],[Unit price in quote year]]/VLOOKUP(RawMaterials[[#This Row],[Quote Year]],ChemPPI[],14,FALSE)*VLOOKUP(BasisYear,ChemPPI[],14,FALSE))</f>
        <v>2.5447789634146347</v>
      </c>
      <c r="AM72" s="373" t="str">
        <f t="shared" si="0"/>
        <v>$/lb (2016)</v>
      </c>
    </row>
    <row r="73" spans="1:39">
      <c r="A73" s="263" t="s">
        <v>1180</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3" s="372">
        <f>IF(ISTEXT(RawMaterials[[#This Row],[Unit price in quote year]]),"Check calcs",RawMaterials[[#This Row],[Unit price in quote year]]/VLOOKUP(RawMaterials[[#This Row],[Quote Year]],ChemPPI[],14,FALSE)*VLOOKUP(BasisYear,ChemPPI[],14,FALSE))</f>
        <v>2.5447789634146347</v>
      </c>
      <c r="AM73" s="373" t="str">
        <f t="shared" si="0"/>
        <v>$/lb (2016)</v>
      </c>
    </row>
    <row r="74" spans="1:39">
      <c r="A74" s="263" t="s">
        <v>1181</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0.54031322819833527</v>
      </c>
      <c r="AL74" s="372">
        <f>IF(ISTEXT(RawMaterials[[#This Row],[Unit price in quote year]]),"Check calcs",RawMaterials[[#This Row],[Unit price in quote year]]/VLOOKUP(RawMaterials[[#This Row],[Quote Year]],ChemPPI[],14,FALSE)*VLOOKUP(BasisYear,ChemPPI[],14,FALSE))</f>
        <v>0.63239436151955608</v>
      </c>
      <c r="AM74" s="373" t="str">
        <f t="shared" si="0"/>
        <v>$/lb (2016)</v>
      </c>
    </row>
    <row r="75" spans="1:39">
      <c r="A75" s="263" t="s">
        <v>1182</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0.54510081376464969</v>
      </c>
      <c r="AL75" s="372">
        <f>IF(ISTEXT(RawMaterials[[#This Row],[Unit price in quote year]]),"Check calcs",RawMaterials[[#This Row],[Unit price in quote year]]/VLOOKUP(RawMaterials[[#This Row],[Quote Year]],ChemPPI[],14,FALSE)*VLOOKUP(BasisYear,ChemPPI[],14,FALSE))</f>
        <v>0.63799785586213442</v>
      </c>
      <c r="AM75" s="373" t="str">
        <f t="shared" si="0"/>
        <v>$/lb (2016)</v>
      </c>
    </row>
    <row r="76" spans="1:39">
      <c r="A76" s="263" t="s">
        <v>1183</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7.3439559177770111</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0.65836451826954012</v>
      </c>
      <c r="AL76" s="372">
        <f>IF(ISTEXT(RawMaterials[[#This Row],[Unit price in quote year]]),"Check calcs",RawMaterials[[#This Row],[Unit price in quote year]]/VLOOKUP(RawMaterials[[#This Row],[Quote Year]],ChemPPI[],14,FALSE)*VLOOKUP(BasisYear,ChemPPI[],14,FALSE))</f>
        <v>0.77056416065639222</v>
      </c>
      <c r="AM76" s="373" t="str">
        <f t="shared" si="0"/>
        <v>$/lb (2016)</v>
      </c>
    </row>
    <row r="77" spans="1:39">
      <c r="A77" s="263" t="s">
        <v>1184</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7" s="372">
        <f>IF(ISTEXT(RawMaterials[[#This Row],[Unit price in quote year]]),"Check calcs",RawMaterials[[#This Row],[Unit price in quote year]]/VLOOKUP(RawMaterials[[#This Row],[Quote Year]],ChemPPI[],14,FALSE)*VLOOKUP(BasisYear,ChemPPI[],14,FALSE))</f>
        <v>1.2757825203252036</v>
      </c>
      <c r="AM77" s="373" t="str">
        <f t="shared" si="0"/>
        <v>$/lb (2016)</v>
      </c>
    </row>
    <row r="78" spans="1:39">
      <c r="A78" s="263" t="s">
        <v>1185</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8" s="372">
        <f>IF(ISTEXT(RawMaterials[[#This Row],[Unit price in quote year]]),"Check calcs",RawMaterials[[#This Row],[Unit price in quote year]]/VLOOKUP(RawMaterials[[#This Row],[Quote Year]],ChemPPI[],14,FALSE)*VLOOKUP(BasisYear,ChemPPI[],14,FALSE))</f>
        <v>1.2757825203252036</v>
      </c>
      <c r="AM78" s="373" t="str">
        <f t="shared" si="0"/>
        <v>$/lb (2016)</v>
      </c>
    </row>
    <row r="79" spans="1:39">
      <c r="A79" s="263" t="s">
        <v>1186</v>
      </c>
      <c r="B79" s="264"/>
      <c r="C79" s="271"/>
      <c r="D79" s="365"/>
      <c r="E79" s="264">
        <v>100</v>
      </c>
      <c r="F79" s="264"/>
      <c r="G79" s="271"/>
      <c r="H79" s="271"/>
      <c r="I79" s="268"/>
      <c r="J79" s="271"/>
      <c r="K79" s="271"/>
      <c r="L79" s="271"/>
      <c r="M79" s="271"/>
      <c r="N79" s="271"/>
      <c r="O79" s="271"/>
      <c r="P79" s="265">
        <v>469.5</v>
      </c>
      <c r="Q79" s="264">
        <v>1</v>
      </c>
      <c r="R79" s="264" t="s">
        <v>1123</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0.212961617715</v>
      </c>
      <c r="AL79" s="372">
        <f>IF(ISTEXT(RawMaterials[[#This Row],[Unit price in quote year]]),"Check calcs",RawMaterials[[#This Row],[Unit price in quote year]]/VLOOKUP(RawMaterials[[#This Row],[Quote Year]],ChemPPI[],14,FALSE)*VLOOKUP(BasisYear,ChemPPI[],14,FALSE))</f>
        <v>0.28903479721380337</v>
      </c>
      <c r="AM79" s="373" t="str">
        <f t="shared" si="0"/>
        <v>$/lb (2016)</v>
      </c>
    </row>
    <row r="80" spans="1:39">
      <c r="A80" s="263" t="s">
        <v>1187</v>
      </c>
      <c r="B80" s="264"/>
      <c r="C80" s="271"/>
      <c r="D80" s="365"/>
      <c r="E80" s="264">
        <v>100</v>
      </c>
      <c r="F80" s="264"/>
      <c r="G80" s="271"/>
      <c r="H80" s="271"/>
      <c r="I80" s="268"/>
      <c r="J80" s="271"/>
      <c r="K80" s="271"/>
      <c r="L80" s="271"/>
      <c r="M80" s="271"/>
      <c r="N80" s="271"/>
      <c r="O80" s="271"/>
      <c r="P80" s="265">
        <v>412.5</v>
      </c>
      <c r="Q80" s="264">
        <v>1</v>
      </c>
      <c r="R80" s="264" t="s">
        <v>1123</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0.18710685262499999</v>
      </c>
      <c r="AL80" s="372">
        <f>IF(ISTEXT(RawMaterials[[#This Row],[Unit price in quote year]]),"Check calcs",RawMaterials[[#This Row],[Unit price in quote year]]/VLOOKUP(RawMaterials[[#This Row],[Quote Year]],ChemPPI[],14,FALSE)*VLOOKUP(BasisYear,ChemPPI[],14,FALSE))</f>
        <v>0.25394431065110523</v>
      </c>
      <c r="AM80" s="373" t="str">
        <f t="shared" ref="AM80:AM143" si="1">CurrencySymbol&amp;"/"&amp;OutMassUnit&amp;" ("&amp;BasisYear&amp;")"</f>
        <v>$/lb (2016)</v>
      </c>
    </row>
    <row r="81" spans="1:39">
      <c r="A81" s="263" t="s">
        <v>1188</v>
      </c>
      <c r="B81" s="264"/>
      <c r="C81" s="271"/>
      <c r="D81" s="365"/>
      <c r="E81" s="264">
        <v>100</v>
      </c>
      <c r="F81" s="264"/>
      <c r="G81" s="271"/>
      <c r="H81" s="271"/>
      <c r="I81" s="268"/>
      <c r="J81" s="271"/>
      <c r="K81" s="271"/>
      <c r="L81" s="271"/>
      <c r="M81" s="271"/>
      <c r="N81" s="271"/>
      <c r="O81" s="271"/>
      <c r="P81" s="265">
        <v>378</v>
      </c>
      <c r="Q81" s="264">
        <v>1</v>
      </c>
      <c r="R81" s="264" t="s">
        <v>406</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v>
      </c>
      <c r="AL81" s="372">
        <f>IF(ISTEXT(RawMaterials[[#This Row],[Unit price in quote year]]),"Check calcs",RawMaterials[[#This Row],[Unit price in quote year]]/VLOOKUP(RawMaterials[[#This Row],[Quote Year]],ChemPPI[],14,FALSE)*VLOOKUP(BasisYear,ChemPPI[],14,FALSE))</f>
        <v>0.25651371951219515</v>
      </c>
      <c r="AM81" s="373" t="str">
        <f t="shared" si="1"/>
        <v>$/lb (2016)</v>
      </c>
    </row>
    <row r="82" spans="1:39">
      <c r="A82" s="263" t="s">
        <v>1189</v>
      </c>
      <c r="B82" s="264"/>
      <c r="C82" s="271"/>
      <c r="D82" s="365"/>
      <c r="E82" s="264">
        <v>100</v>
      </c>
      <c r="F82" s="264"/>
      <c r="G82" s="271"/>
      <c r="H82" s="271"/>
      <c r="I82" s="268"/>
      <c r="J82" s="271"/>
      <c r="K82" s="271"/>
      <c r="L82" s="271"/>
      <c r="M82" s="271"/>
      <c r="N82" s="271"/>
      <c r="O82" s="271"/>
      <c r="P82" s="265">
        <v>426</v>
      </c>
      <c r="Q82" s="264">
        <v>1</v>
      </c>
      <c r="R82" s="264" t="s">
        <v>406</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0.21299999999999999</v>
      </c>
      <c r="AL82" s="372">
        <f>IF(ISTEXT(RawMaterials[[#This Row],[Unit price in quote year]]),"Check calcs",RawMaterials[[#This Row],[Unit price in quote year]]/VLOOKUP(RawMaterials[[#This Row],[Quote Year]],ChemPPI[],14,FALSE)*VLOOKUP(BasisYear,ChemPPI[],14,FALSE))</f>
        <v>0.28908689024390249</v>
      </c>
      <c r="AM82" s="373" t="str">
        <f t="shared" si="1"/>
        <v>$/lb (2016)</v>
      </c>
    </row>
    <row r="83" spans="1:39">
      <c r="A83" s="263" t="s">
        <v>1190</v>
      </c>
      <c r="B83" s="264"/>
      <c r="C83" s="271"/>
      <c r="D83" s="365"/>
      <c r="E83" s="264">
        <v>100</v>
      </c>
      <c r="F83" s="264"/>
      <c r="G83" s="271"/>
      <c r="H83" s="271"/>
      <c r="I83" s="268"/>
      <c r="J83" s="271"/>
      <c r="K83" s="271"/>
      <c r="L83" s="271"/>
      <c r="M83" s="271"/>
      <c r="N83" s="271"/>
      <c r="O83" s="271"/>
      <c r="P83" s="265">
        <v>917.5</v>
      </c>
      <c r="Q83" s="264">
        <v>1</v>
      </c>
      <c r="R83" s="264" t="s">
        <v>1123</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0.41617099947499997</v>
      </c>
      <c r="AL83" s="372">
        <f>IF(ISTEXT(RawMaterials[[#This Row],[Unit price in quote year]]),"Check calcs",RawMaterials[[#This Row],[Unit price in quote year]]/VLOOKUP(RawMaterials[[#This Row],[Quote Year]],ChemPPI[],14,FALSE)*VLOOKUP(BasisYear,ChemPPI[],14,FALSE))</f>
        <v>0.56483370914518549</v>
      </c>
      <c r="AM83" s="373" t="str">
        <f t="shared" si="1"/>
        <v>$/lb (2016)</v>
      </c>
    </row>
    <row r="84" spans="1:39">
      <c r="A84" s="263" t="s">
        <v>1191</v>
      </c>
      <c r="B84" s="264"/>
      <c r="C84" s="271"/>
      <c r="D84" s="365"/>
      <c r="E84" s="264">
        <v>100</v>
      </c>
      <c r="F84" s="264"/>
      <c r="G84" s="271"/>
      <c r="H84" s="271"/>
      <c r="I84" s="268"/>
      <c r="J84" s="271"/>
      <c r="K84" s="271"/>
      <c r="L84" s="271"/>
      <c r="M84" s="271"/>
      <c r="N84" s="271"/>
      <c r="O84" s="271"/>
      <c r="P84" s="265">
        <v>836</v>
      </c>
      <c r="Q84" s="264">
        <v>1</v>
      </c>
      <c r="R84" s="264" t="s">
        <v>406</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0.41799999999999998</v>
      </c>
      <c r="AL84" s="372">
        <f>IF(ISTEXT(RawMaterials[[#This Row],[Unit price in quote year]]),"Check calcs",RawMaterials[[#This Row],[Unit price in quote year]]/VLOOKUP(RawMaterials[[#This Row],[Quote Year]],ChemPPI[],14,FALSE)*VLOOKUP(BasisYear,ChemPPI[],14,FALSE))</f>
        <v>0.56731605691056919</v>
      </c>
      <c r="AM84" s="373" t="str">
        <f t="shared" si="1"/>
        <v>$/lb (2016)</v>
      </c>
    </row>
    <row r="85" spans="1:39">
      <c r="A85" s="263" t="s">
        <v>1192</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v>
      </c>
      <c r="AL85" s="372">
        <f>IF(ISTEXT(RawMaterials[[#This Row],[Unit price in quote year]]),"Check calcs",RawMaterials[[#This Row],[Unit price in quote year]]/VLOOKUP(RawMaterials[[#This Row],[Quote Year]],ChemPPI[],14,FALSE)*VLOOKUP(BasisYear,ChemPPI[],14,FALSE))</f>
        <v>0.86861788617886193</v>
      </c>
      <c r="AM85" s="373" t="str">
        <f t="shared" si="1"/>
        <v>$/lb (2016)</v>
      </c>
    </row>
    <row r="86" spans="1:39">
      <c r="A86" s="263" t="s">
        <v>1193</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86" s="372">
        <f>IF(ISTEXT(RawMaterials[[#This Row],[Unit price in quote year]]),"Check calcs",RawMaterials[[#This Row],[Unit price in quote year]]/VLOOKUP(RawMaterials[[#This Row],[Quote Year]],ChemPPI[],14,FALSE)*VLOOKUP(BasisYear,ChemPPI[],14,FALSE))</f>
        <v>0.98900639035968607</v>
      </c>
      <c r="AM86" s="373" t="str">
        <f t="shared" si="1"/>
        <v>$/lb (2016)</v>
      </c>
    </row>
    <row r="87" spans="1:39">
      <c r="A87" s="263" t="s">
        <v>1194</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87" s="372">
        <f>IF(ISTEXT(RawMaterials[[#This Row],[Unit price in quote year]]),"Check calcs",RawMaterials[[#This Row],[Unit price in quote year]]/VLOOKUP(RawMaterials[[#This Row],[Quote Year]],ChemPPI[],14,FALSE)*VLOOKUP(BasisYear,ChemPPI[],14,FALSE))</f>
        <v>0.63202775241920772</v>
      </c>
      <c r="AM87" s="373" t="str">
        <f t="shared" si="1"/>
        <v>$/lb (2016)</v>
      </c>
    </row>
    <row r="88" spans="1:39">
      <c r="A88" s="263" t="s">
        <v>1195</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0.98</v>
      </c>
      <c r="AL88" s="372">
        <f>IF(ISTEXT(RawMaterials[[#This Row],[Unit price in quote year]]),"Check calcs",RawMaterials[[#This Row],[Unit price in quote year]]/VLOOKUP(RawMaterials[[#This Row],[Quote Year]],ChemPPI[],14,FALSE)*VLOOKUP(BasisYear,ChemPPI[],14,FALSE))</f>
        <v>1.1470133284644879</v>
      </c>
      <c r="AM88" s="373" t="str">
        <f t="shared" si="1"/>
        <v>$/lb (2016)</v>
      </c>
    </row>
    <row r="89" spans="1:39">
      <c r="A89" s="263" t="s">
        <v>1196</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v>
      </c>
      <c r="AL89" s="372">
        <f>IF(ISTEXT(RawMaterials[[#This Row],[Unit price in quote year]]),"Check calcs",RawMaterials[[#This Row],[Unit price in quote year]]/VLOOKUP(RawMaterials[[#This Row],[Quote Year]],ChemPPI[],14,FALSE)*VLOOKUP(BasisYear,ChemPPI[],14,FALSE))</f>
        <v>0.46145325203252047</v>
      </c>
      <c r="AM89" s="373" t="str">
        <f t="shared" si="1"/>
        <v>$/lb (2016)</v>
      </c>
    </row>
    <row r="90" spans="1:39">
      <c r="A90" s="263" t="s">
        <v>1197</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90" s="372">
        <f>IF(ISTEXT(RawMaterials[[#This Row],[Unit price in quote year]]),"Check calcs",RawMaterials[[#This Row],[Unit price in quote year]]/VLOOKUP(RawMaterials[[#This Row],[Quote Year]],ChemPPI[],14,FALSE)*VLOOKUP(BasisYear,ChemPPI[],14,FALSE))</f>
        <v>0.94804162862881158</v>
      </c>
      <c r="AM90" s="373" t="str">
        <f t="shared" si="1"/>
        <v>$/lb (2016)</v>
      </c>
    </row>
    <row r="91" spans="1:39">
      <c r="A91" s="263" t="s">
        <v>1198</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0.69499999999999995</v>
      </c>
      <c r="AL91" s="372">
        <f>IF(ISTEXT(RawMaterials[[#This Row],[Unit price in quote year]]),"Check calcs",RawMaterials[[#This Row],[Unit price in quote year]]/VLOOKUP(RawMaterials[[#This Row],[Quote Year]],ChemPPI[],14,FALSE)*VLOOKUP(BasisYear,ChemPPI[],14,FALSE))</f>
        <v>0.81344312579879496</v>
      </c>
      <c r="AM91" s="373" t="str">
        <f t="shared" si="1"/>
        <v>$/lb (2016)</v>
      </c>
    </row>
    <row r="92" spans="1:39">
      <c r="A92" s="263" t="s">
        <v>1199</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92" s="372">
        <f>IF(ISTEXT(RawMaterials[[#This Row],[Unit price in quote year]]),"Check calcs",RawMaterials[[#This Row],[Unit price in quote year]]/VLOOKUP(RawMaterials[[#This Row],[Quote Year]],ChemPPI[],14,FALSE)*VLOOKUP(BasisYear,ChemPPI[],14,FALSE))</f>
        <v>0.76004065040650426</v>
      </c>
      <c r="AM92" s="373" t="str">
        <f t="shared" si="1"/>
        <v>$/lb (2016)</v>
      </c>
    </row>
    <row r="93" spans="1:39">
      <c r="A93" s="263" t="s">
        <v>1200</v>
      </c>
      <c r="B93" s="264"/>
      <c r="C93" s="271"/>
      <c r="D93" s="365"/>
      <c r="E93" s="264">
        <v>100</v>
      </c>
      <c r="F93" s="264"/>
      <c r="G93" s="271"/>
      <c r="H93" s="271"/>
      <c r="I93" s="268"/>
      <c r="J93" s="271"/>
      <c r="K93" s="271"/>
      <c r="L93" s="271"/>
      <c r="M93" s="271"/>
      <c r="N93" s="271"/>
      <c r="O93" s="271"/>
      <c r="P93" s="265">
        <v>510</v>
      </c>
      <c r="Q93" s="264">
        <v>1</v>
      </c>
      <c r="R93" s="264" t="s">
        <v>406</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0.255</v>
      </c>
      <c r="AL93" s="372">
        <f>IF(ISTEXT(RawMaterials[[#This Row],[Unit price in quote year]]),"Check calcs",RawMaterials[[#This Row],[Unit price in quote year]]/VLOOKUP(RawMaterials[[#This Row],[Quote Year]],ChemPPI[],14,FALSE)*VLOOKUP(BasisYear,ChemPPI[],14,FALSE))</f>
        <v>0.34608993902439028</v>
      </c>
      <c r="AM93" s="373" t="str">
        <f t="shared" si="1"/>
        <v>$/lb (2016)</v>
      </c>
    </row>
    <row r="94" spans="1:39">
      <c r="A94" s="263" t="s">
        <v>1201</v>
      </c>
      <c r="B94" s="264"/>
      <c r="C94" s="271"/>
      <c r="D94" s="365"/>
      <c r="E94" s="264">
        <v>100</v>
      </c>
      <c r="F94" s="264"/>
      <c r="G94" s="271"/>
      <c r="H94" s="271"/>
      <c r="I94" s="268"/>
      <c r="J94" s="271"/>
      <c r="K94" s="271"/>
      <c r="L94" s="271"/>
      <c r="M94" s="271"/>
      <c r="N94" s="271"/>
      <c r="O94" s="271"/>
      <c r="P94" s="265">
        <v>63</v>
      </c>
      <c r="Q94" s="264">
        <v>1</v>
      </c>
      <c r="R94" s="264" t="s">
        <v>406</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3.15E-2</v>
      </c>
      <c r="AL94" s="372">
        <f>IF(ISTEXT(RawMaterials[[#This Row],[Unit price in quote year]]),"Check calcs",RawMaterials[[#This Row],[Unit price in quote year]]/VLOOKUP(RawMaterials[[#This Row],[Quote Year]],ChemPPI[],14,FALSE)*VLOOKUP(BasisYear,ChemPPI[],14,FALSE))</f>
        <v>4.275228658536586E-2</v>
      </c>
      <c r="AM94" s="373" t="str">
        <f t="shared" si="1"/>
        <v>$/lb (2016)</v>
      </c>
    </row>
    <row r="95" spans="1:39">
      <c r="A95" s="263" t="s">
        <v>1202</v>
      </c>
      <c r="B95" s="264"/>
      <c r="C95" s="271"/>
      <c r="D95" s="365"/>
      <c r="E95" s="264">
        <v>100</v>
      </c>
      <c r="F95" s="264"/>
      <c r="G95" s="271"/>
      <c r="H95" s="271"/>
      <c r="I95" s="268"/>
      <c r="J95" s="271"/>
      <c r="K95" s="271"/>
      <c r="L95" s="271"/>
      <c r="M95" s="271"/>
      <c r="N95" s="271"/>
      <c r="O95" s="271"/>
      <c r="P95" s="265">
        <v>255</v>
      </c>
      <c r="Q95" s="264">
        <v>1</v>
      </c>
      <c r="R95" s="264" t="s">
        <v>406</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0.1275</v>
      </c>
      <c r="AL95" s="372">
        <f>IF(ISTEXT(RawMaterials[[#This Row],[Unit price in quote year]]),"Check calcs",RawMaterials[[#This Row],[Unit price in quote year]]/VLOOKUP(RawMaterials[[#This Row],[Quote Year]],ChemPPI[],14,FALSE)*VLOOKUP(BasisYear,ChemPPI[],14,FALSE))</f>
        <v>0.17304496951219514</v>
      </c>
      <c r="AM95" s="373" t="str">
        <f t="shared" si="1"/>
        <v>$/lb (2016)</v>
      </c>
    </row>
    <row r="96" spans="1:39">
      <c r="A96" s="263" t="s">
        <v>1203</v>
      </c>
      <c r="B96" s="264"/>
      <c r="C96" s="271"/>
      <c r="D96" s="365"/>
      <c r="E96" s="264">
        <v>100</v>
      </c>
      <c r="F96" s="264"/>
      <c r="G96" s="271"/>
      <c r="H96" s="271"/>
      <c r="I96" s="268"/>
      <c r="J96" s="271"/>
      <c r="K96" s="271"/>
      <c r="L96" s="271"/>
      <c r="M96" s="271"/>
      <c r="N96" s="271"/>
      <c r="O96" s="271"/>
      <c r="P96" s="265">
        <v>97.5</v>
      </c>
      <c r="Q96" s="264">
        <v>1</v>
      </c>
      <c r="R96" s="264" t="s">
        <v>406</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96" s="372">
        <f>IF(ISTEXT(RawMaterials[[#This Row],[Unit price in quote year]]),"Check calcs",RawMaterials[[#This Row],[Unit price in quote year]]/VLOOKUP(RawMaterials[[#This Row],[Quote Year]],ChemPPI[],14,FALSE)*VLOOKUP(BasisYear,ChemPPI[],14,FALSE))</f>
        <v>6.61642530487805E-2</v>
      </c>
      <c r="AM96" s="373" t="str">
        <f t="shared" si="1"/>
        <v>$/lb (2016)</v>
      </c>
    </row>
    <row r="97" spans="1:39">
      <c r="A97" s="263" t="s">
        <v>1204</v>
      </c>
      <c r="B97" s="264"/>
      <c r="C97" s="271"/>
      <c r="D97" s="365"/>
      <c r="E97" s="264">
        <v>100</v>
      </c>
      <c r="F97" s="264"/>
      <c r="G97" s="271"/>
      <c r="H97" s="271"/>
      <c r="I97" s="268"/>
      <c r="J97" s="271"/>
      <c r="K97" s="271"/>
      <c r="L97" s="271"/>
      <c r="M97" s="271"/>
      <c r="N97" s="271"/>
      <c r="O97" s="271"/>
      <c r="P97" s="265">
        <v>307</v>
      </c>
      <c r="Q97" s="264">
        <v>1</v>
      </c>
      <c r="R97" s="264" t="s">
        <v>406</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0.1535</v>
      </c>
      <c r="AL97" s="372">
        <f>IF(ISTEXT(RawMaterials[[#This Row],[Unit price in quote year]]),"Check calcs",RawMaterials[[#This Row],[Unit price in quote year]]/VLOOKUP(RawMaterials[[#This Row],[Quote Year]],ChemPPI[],14,FALSE)*VLOOKUP(BasisYear,ChemPPI[],14,FALSE))</f>
        <v>0.20833257113821141</v>
      </c>
      <c r="AM97" s="373" t="str">
        <f t="shared" si="1"/>
        <v>$/lb (2016)</v>
      </c>
    </row>
    <row r="98" spans="1:39">
      <c r="A98" s="263" t="s">
        <v>1205</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98" s="372">
        <f>IF(ISTEXT(RawMaterials[[#This Row],[Unit price in quote year]]),"Check calcs",RawMaterials[[#This Row],[Unit price in quote year]]/VLOOKUP(RawMaterials[[#This Row],[Quote Year]],ChemPPI[],14,FALSE)*VLOOKUP(BasisYear,ChemPPI[],14,FALSE))</f>
        <v>0.27144308943089435</v>
      </c>
      <c r="AM98" s="373" t="str">
        <f t="shared" si="1"/>
        <v>$/lb (2016)</v>
      </c>
    </row>
    <row r="99" spans="1:39">
      <c r="A99" s="263" t="s">
        <v>1206</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3.3149999999999999</v>
      </c>
      <c r="AL99" s="372">
        <f>IF(ISTEXT(RawMaterials[[#This Row],[Unit price in quote year]]),"Check calcs",RawMaterials[[#This Row],[Unit price in quote year]]/VLOOKUP(RawMaterials[[#This Row],[Quote Year]],ChemPPI[],14,FALSE)*VLOOKUP(BasisYear,ChemPPI[],14,FALSE))</f>
        <v>4.4991692073170739</v>
      </c>
      <c r="AM99" s="373" t="str">
        <f t="shared" si="1"/>
        <v>$/lb (2016)</v>
      </c>
    </row>
    <row r="100" spans="1:39">
      <c r="A100" s="263" t="s">
        <v>1207</v>
      </c>
      <c r="B100" s="264"/>
      <c r="C100" s="271"/>
      <c r="D100" s="365"/>
      <c r="E100" s="264">
        <v>100</v>
      </c>
      <c r="F100" s="264"/>
      <c r="G100" s="271"/>
      <c r="H100" s="271"/>
      <c r="I100" s="268"/>
      <c r="J100" s="271"/>
      <c r="K100" s="271"/>
      <c r="L100" s="271"/>
      <c r="M100" s="271"/>
      <c r="N100" s="271"/>
      <c r="O100" s="271"/>
      <c r="P100" s="265">
        <v>350</v>
      </c>
      <c r="Q100" s="264">
        <v>1</v>
      </c>
      <c r="R100" s="264" t="s">
        <v>406</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0.17499999999999999</v>
      </c>
      <c r="AL100" s="372">
        <f>IF(ISTEXT(RawMaterials[[#This Row],[Unit price in quote year]]),"Check calcs",RawMaterials[[#This Row],[Unit price in quote year]]/VLOOKUP(RawMaterials[[#This Row],[Quote Year]],ChemPPI[],14,FALSE)*VLOOKUP(BasisYear,ChemPPI[],14,FALSE))</f>
        <v>0.23751270325203255</v>
      </c>
      <c r="AM100" s="373" t="str">
        <f t="shared" si="1"/>
        <v>$/lb (2016)</v>
      </c>
    </row>
    <row r="101" spans="1:39">
      <c r="A101" s="263" t="s">
        <v>1208</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v>
      </c>
      <c r="AL101" s="372">
        <f>IF(ISTEXT(RawMaterials[[#This Row],[Unit price in quote year]]),"Check calcs",RawMaterials[[#This Row],[Unit price in quote year]]/VLOOKUP(RawMaterials[[#This Row],[Quote Year]],ChemPPI[],14,FALSE)*VLOOKUP(BasisYear,ChemPPI[],14,FALSE))</f>
        <v>0.47502540650406511</v>
      </c>
      <c r="AM101" s="373" t="str">
        <f t="shared" si="1"/>
        <v>$/lb (2016)</v>
      </c>
    </row>
    <row r="102" spans="1:39">
      <c r="A102" s="263" t="s">
        <v>1209</v>
      </c>
      <c r="B102" s="264"/>
      <c r="C102" s="271"/>
      <c r="D102" s="365"/>
      <c r="E102" s="264">
        <v>100</v>
      </c>
      <c r="F102" s="264"/>
      <c r="G102" s="271"/>
      <c r="H102" s="271"/>
      <c r="I102" s="268"/>
      <c r="J102" s="271"/>
      <c r="K102" s="271"/>
      <c r="L102" s="271"/>
      <c r="M102" s="271"/>
      <c r="N102" s="271"/>
      <c r="O102" s="271"/>
      <c r="P102" s="265">
        <v>275</v>
      </c>
      <c r="Q102" s="264">
        <v>1</v>
      </c>
      <c r="R102" s="264" t="s">
        <v>406</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0.13750000000000001</v>
      </c>
      <c r="AL102" s="372">
        <f>IF(ISTEXT(RawMaterials[[#This Row],[Unit price in quote year]]),"Check calcs",RawMaterials[[#This Row],[Unit price in quote year]]/VLOOKUP(RawMaterials[[#This Row],[Quote Year]],ChemPPI[],14,FALSE)*VLOOKUP(BasisYear,ChemPPI[],14,FALSE))</f>
        <v>0.18661712398373989</v>
      </c>
      <c r="AM102" s="373" t="str">
        <f t="shared" si="1"/>
        <v>$/lb (2016)</v>
      </c>
    </row>
    <row r="103" spans="1:39">
      <c r="A103" s="263" t="s">
        <v>1210</v>
      </c>
      <c r="B103" s="264"/>
      <c r="C103" s="271"/>
      <c r="D103" s="365"/>
      <c r="E103" s="264">
        <v>80</v>
      </c>
      <c r="F103" s="264"/>
      <c r="G103" s="271"/>
      <c r="H103" s="271"/>
      <c r="I103" s="268"/>
      <c r="J103" s="271"/>
      <c r="K103" s="271"/>
      <c r="L103" s="271"/>
      <c r="M103" s="271"/>
      <c r="N103" s="271"/>
      <c r="O103" s="271"/>
      <c r="P103" s="265">
        <v>265</v>
      </c>
      <c r="Q103" s="264">
        <v>1</v>
      </c>
      <c r="R103" s="264" t="s">
        <v>406</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103" s="372">
        <f>IF(ISTEXT(RawMaterials[[#This Row],[Unit price in quote year]]),"Check calcs",RawMaterials[[#This Row],[Unit price in quote year]]/VLOOKUP(RawMaterials[[#This Row],[Quote Year]],ChemPPI[],14,FALSE)*VLOOKUP(BasisYear,ChemPPI[],14,FALSE))</f>
        <v>0.17983104674796752</v>
      </c>
      <c r="AM103" s="373" t="str">
        <f t="shared" si="1"/>
        <v>$/lb (2016)</v>
      </c>
    </row>
    <row r="104" spans="1:39">
      <c r="A104" s="263" t="s">
        <v>1211</v>
      </c>
      <c r="B104" s="264"/>
      <c r="C104" s="271"/>
      <c r="D104" s="365"/>
      <c r="E104" s="264">
        <v>80</v>
      </c>
      <c r="F104" s="264"/>
      <c r="G104" s="271"/>
      <c r="H104" s="271"/>
      <c r="I104" s="268"/>
      <c r="J104" s="271"/>
      <c r="K104" s="271"/>
      <c r="L104" s="271"/>
      <c r="M104" s="271"/>
      <c r="N104" s="271"/>
      <c r="O104" s="271"/>
      <c r="P104" s="265">
        <v>200</v>
      </c>
      <c r="Q104" s="264">
        <v>1</v>
      </c>
      <c r="R104" s="264" t="s">
        <v>406</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104" s="372">
        <f>IF(ISTEXT(RawMaterials[[#This Row],[Unit price in quote year]]),"Check calcs",RawMaterials[[#This Row],[Unit price in quote year]]/VLOOKUP(RawMaterials[[#This Row],[Quote Year]],ChemPPI[],14,FALSE)*VLOOKUP(BasisYear,ChemPPI[],14,FALSE))</f>
        <v>0.13572154471544717</v>
      </c>
      <c r="AM104" s="373" t="str">
        <f t="shared" si="1"/>
        <v>$/lb (2016)</v>
      </c>
    </row>
    <row r="105" spans="1:39">
      <c r="A105" s="263" t="s">
        <v>1212</v>
      </c>
      <c r="B105" s="264"/>
      <c r="C105" s="271"/>
      <c r="D105" s="365"/>
      <c r="E105" s="264">
        <v>35</v>
      </c>
      <c r="F105" s="264"/>
      <c r="G105" s="271"/>
      <c r="H105" s="271"/>
      <c r="I105" s="268"/>
      <c r="J105" s="271"/>
      <c r="K105" s="271"/>
      <c r="L105" s="271"/>
      <c r="M105" s="271"/>
      <c r="N105" s="271"/>
      <c r="O105" s="271"/>
      <c r="P105" s="265">
        <v>142.5</v>
      </c>
      <c r="Q105" s="264">
        <v>1</v>
      </c>
      <c r="R105" s="264" t="s">
        <v>406</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7.1249999999999994E-2</v>
      </c>
      <c r="AL105" s="372">
        <f>IF(ISTEXT(RawMaterials[[#This Row],[Unit price in quote year]]),"Check calcs",RawMaterials[[#This Row],[Unit price in quote year]]/VLOOKUP(RawMaterials[[#This Row],[Quote Year]],ChemPPI[],14,FALSE)*VLOOKUP(BasisYear,ChemPPI[],14,FALSE))</f>
        <v>9.6701600609756105E-2</v>
      </c>
      <c r="AM105" s="373" t="str">
        <f t="shared" si="1"/>
        <v>$/lb (2016)</v>
      </c>
    </row>
    <row r="106" spans="1:39">
      <c r="A106" s="263" t="s">
        <v>1213</v>
      </c>
      <c r="B106" s="264"/>
      <c r="C106" s="271"/>
      <c r="D106" s="365"/>
      <c r="E106" s="264">
        <v>45</v>
      </c>
      <c r="F106" s="264"/>
      <c r="G106" s="271"/>
      <c r="H106" s="271"/>
      <c r="I106" s="268"/>
      <c r="J106" s="271"/>
      <c r="K106" s="271"/>
      <c r="L106" s="271"/>
      <c r="M106" s="271"/>
      <c r="N106" s="271"/>
      <c r="O106" s="271"/>
      <c r="P106" s="265">
        <v>167.5</v>
      </c>
      <c r="Q106" s="264">
        <v>1</v>
      </c>
      <c r="R106" s="264" t="s">
        <v>406</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8.3750000000000005E-2</v>
      </c>
      <c r="AL106" s="372">
        <f>IF(ISTEXT(RawMaterials[[#This Row],[Unit price in quote year]]),"Check calcs",RawMaterials[[#This Row],[Unit price in quote year]]/VLOOKUP(RawMaterials[[#This Row],[Quote Year]],ChemPPI[],14,FALSE)*VLOOKUP(BasisYear,ChemPPI[],14,FALSE))</f>
        <v>0.11366679369918702</v>
      </c>
      <c r="AM106" s="373" t="str">
        <f t="shared" si="1"/>
        <v>$/lb (2016)</v>
      </c>
    </row>
    <row r="107" spans="1:39">
      <c r="A107" s="263" t="s">
        <v>1214</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2.6081561275</v>
      </c>
      <c r="AL107" s="372">
        <f>IF(ISTEXT(RawMaterials[[#This Row],[Unit price in quote year]]),"Check calcs",RawMaterials[[#This Row],[Unit price in quote year]]/VLOOKUP(RawMaterials[[#This Row],[Quote Year]],ChemPPI[],14,FALSE)*VLOOKUP(BasisYear,ChemPPI[],14,FALSE))</f>
        <v>3.539829784833588</v>
      </c>
      <c r="AM107" s="373" t="str">
        <f t="shared" si="1"/>
        <v>$/lb (2016)</v>
      </c>
    </row>
    <row r="108" spans="1:39">
      <c r="A108" s="263" t="s">
        <v>1215</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108" s="372">
        <f>IF(ISTEXT(RawMaterials[[#This Row],[Unit price in quote year]]),"Check calcs",RawMaterials[[#This Row],[Unit price in quote year]]/VLOOKUP(RawMaterials[[#This Row],[Quote Year]],ChemPPI[],14,FALSE)*VLOOKUP(BasisYear,ChemPPI[],14,FALSE))</f>
        <v>0.9771951219512196</v>
      </c>
      <c r="AM108" s="373" t="str">
        <f t="shared" si="1"/>
        <v>$/lb (2016)</v>
      </c>
    </row>
    <row r="109" spans="1:39">
      <c r="A109" s="263" t="s">
        <v>1216</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12.020197805</v>
      </c>
      <c r="AL109" s="372">
        <f>IF(ISTEXT(RawMaterials[[#This Row],[Unit price in quote year]]),"Check calcs",RawMaterials[[#This Row],[Unit price in quote year]]/VLOOKUP(RawMaterials[[#This Row],[Quote Year]],ChemPPI[],14,FALSE)*VLOOKUP(BasisYear,ChemPPI[],14,FALSE))</f>
        <v>16.313998138798276</v>
      </c>
      <c r="AM109" s="373" t="str">
        <f t="shared" si="1"/>
        <v>$/lb (2016)</v>
      </c>
    </row>
    <row r="110" spans="1:39">
      <c r="A110" s="263" t="s">
        <v>1217</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0.95374999999999999</v>
      </c>
      <c r="AL110" s="372">
        <f>IF(ISTEXT(RawMaterials[[#This Row],[Unit price in quote year]]),"Check calcs",RawMaterials[[#This Row],[Unit price in quote year]]/VLOOKUP(RawMaterials[[#This Row],[Quote Year]],ChemPPI[],14,FALSE)*VLOOKUP(BasisYear,ChemPPI[],14,FALSE))</f>
        <v>1.2944442327235774</v>
      </c>
      <c r="AM110" s="373" t="str">
        <f t="shared" si="1"/>
        <v>$/lb (2016)</v>
      </c>
    </row>
    <row r="111" spans="1:39">
      <c r="A111" s="263" t="s">
        <v>1218</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0.63875000000000004</v>
      </c>
      <c r="AL111" s="372">
        <f>IF(ISTEXT(RawMaterials[[#This Row],[Unit price in quote year]]),"Check calcs",RawMaterials[[#This Row],[Unit price in quote year]]/VLOOKUP(RawMaterials[[#This Row],[Quote Year]],ChemPPI[],14,FALSE)*VLOOKUP(BasisYear,ChemPPI[],14,FALSE))</f>
        <v>0.86692136686991894</v>
      </c>
      <c r="AM111" s="373" t="str">
        <f t="shared" si="1"/>
        <v>$/lb (2016)</v>
      </c>
    </row>
    <row r="112" spans="1:39">
      <c r="A112" s="263" t="s">
        <v>1219</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112" s="372">
        <f>IF(ISTEXT(RawMaterials[[#This Row],[Unit price in quote year]]),"Check calcs",RawMaterials[[#This Row],[Unit price in quote year]]/VLOOKUP(RawMaterials[[#This Row],[Quote Year]],ChemPPI[],14,FALSE)*VLOOKUP(BasisYear,ChemPPI[],14,FALSE))</f>
        <v>1.1264888211382116</v>
      </c>
      <c r="AM112" s="373" t="str">
        <f t="shared" si="1"/>
        <v>$/lb (2016)</v>
      </c>
    </row>
    <row r="113" spans="1:39">
      <c r="A113" s="263" t="s">
        <v>1220</v>
      </c>
      <c r="B113" s="264"/>
      <c r="C113" s="271"/>
      <c r="D113" s="365"/>
      <c r="E113" s="264">
        <v>100</v>
      </c>
      <c r="F113" s="264"/>
      <c r="G113" s="271"/>
      <c r="H113" s="271"/>
      <c r="I113" s="268"/>
      <c r="J113" s="271"/>
      <c r="K113" s="271"/>
      <c r="L113" s="271"/>
      <c r="M113" s="271"/>
      <c r="N113" s="271"/>
      <c r="O113" s="271"/>
      <c r="P113" s="265">
        <v>229</v>
      </c>
      <c r="Q113" s="264">
        <v>1</v>
      </c>
      <c r="R113" s="264" t="s">
        <v>406</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0.1145</v>
      </c>
      <c r="AL113" s="372">
        <f>IF(ISTEXT(RawMaterials[[#This Row],[Unit price in quote year]]),"Check calcs",RawMaterials[[#This Row],[Unit price in quote year]]/VLOOKUP(RawMaterials[[#This Row],[Quote Year]],ChemPPI[],14,FALSE)*VLOOKUP(BasisYear,ChemPPI[],14,FALSE))</f>
        <v>0.15540116869918702</v>
      </c>
      <c r="AM113" s="373" t="str">
        <f t="shared" si="1"/>
        <v>$/lb (2016)</v>
      </c>
    </row>
    <row r="114" spans="1:39">
      <c r="A114" s="263" t="s">
        <v>1221</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114" s="372">
        <f>IF(ISTEXT(RawMaterials[[#This Row],[Unit price in quote year]]),"Check calcs",RawMaterials[[#This Row],[Unit price in quote year]]/VLOOKUP(RawMaterials[[#This Row],[Quote Year]],ChemPPI[],14,FALSE)*VLOOKUP(BasisYear,ChemPPI[],14,FALSE))</f>
        <v>1.0993445121951224</v>
      </c>
      <c r="AM114" s="373" t="str">
        <f t="shared" si="1"/>
        <v>$/lb (2016)</v>
      </c>
    </row>
    <row r="115" spans="1:39">
      <c r="A115" s="263" t="s">
        <v>1222</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0.58750000000000002</v>
      </c>
      <c r="AL115" s="372">
        <f>IF(ISTEXT(RawMaterials[[#This Row],[Unit price in quote year]]),"Check calcs",RawMaterials[[#This Row],[Unit price in quote year]]/VLOOKUP(RawMaterials[[#This Row],[Quote Year]],ChemPPI[],14,FALSE)*VLOOKUP(BasisYear,ChemPPI[],14,FALSE))</f>
        <v>0.79736407520325214</v>
      </c>
      <c r="AM115" s="373" t="str">
        <f t="shared" si="1"/>
        <v>$/lb (2016)</v>
      </c>
    </row>
    <row r="116" spans="1:39">
      <c r="A116" s="263" t="s">
        <v>1223</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16" s="372">
        <f>IF(ISTEXT(RawMaterials[[#This Row],[Unit price in quote year]]),"Check calcs",RawMaterials[[#This Row],[Unit price in quote year]]/VLOOKUP(RawMaterials[[#This Row],[Quote Year]],ChemPPI[],14,FALSE)*VLOOKUP(BasisYear,ChemPPI[],14,FALSE))</f>
        <v>0.529314024390244</v>
      </c>
      <c r="AM116" s="373" t="str">
        <f t="shared" si="1"/>
        <v>$/lb (2016)</v>
      </c>
    </row>
    <row r="117" spans="1:39">
      <c r="A117" s="263" t="s">
        <v>1224</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17" s="372">
        <f>IF(ISTEXT(RawMaterials[[#This Row],[Unit price in quote year]]),"Check calcs",RawMaterials[[#This Row],[Unit price in quote year]]/VLOOKUP(RawMaterials[[#This Row],[Quote Year]],ChemPPI[],14,FALSE)*VLOOKUP(BasisYear,ChemPPI[],14,FALSE))</f>
        <v>1.2893546747967481</v>
      </c>
      <c r="AM117" s="373" t="str">
        <f t="shared" si="1"/>
        <v>$/lb (2016)</v>
      </c>
    </row>
    <row r="118" spans="1:39">
      <c r="A118" s="263" t="s">
        <v>1225</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118" s="372">
        <f>IF(ISTEXT(RawMaterials[[#This Row],[Unit price in quote year]]),"Check calcs",RawMaterials[[#This Row],[Unit price in quote year]]/VLOOKUP(RawMaterials[[#This Row],[Quote Year]],ChemPPI[],14,FALSE)*VLOOKUP(BasisYear,ChemPPI[],14,FALSE))</f>
        <v>1.153633130081301</v>
      </c>
      <c r="AM118" s="373" t="str">
        <f t="shared" si="1"/>
        <v>$/lb (2016)</v>
      </c>
    </row>
    <row r="119" spans="1:39">
      <c r="A119" s="263" t="s">
        <v>1226</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19" s="372">
        <f>IF(ISTEXT(RawMaterials[[#This Row],[Unit price in quote year]]),"Check calcs",RawMaterials[[#This Row],[Unit price in quote year]]/VLOOKUP(RawMaterials[[#This Row],[Quote Year]],ChemPPI[],14,FALSE)*VLOOKUP(BasisYear,ChemPPI[],14,FALSE))</f>
        <v>0.67860772357723598</v>
      </c>
      <c r="AM119" s="373" t="str">
        <f t="shared" si="1"/>
        <v>$/lb (2016)</v>
      </c>
    </row>
    <row r="120" spans="1:39">
      <c r="A120" s="263" t="s">
        <v>1227</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20" s="372">
        <f>IF(ISTEXT(RawMaterials[[#This Row],[Unit price in quote year]]),"Check calcs",RawMaterials[[#This Row],[Unit price in quote year]]/VLOOKUP(RawMaterials[[#This Row],[Quote Year]],ChemPPI[],14,FALSE)*VLOOKUP(BasisYear,ChemPPI[],14,FALSE))</f>
        <v>0.67860772357723598</v>
      </c>
      <c r="AM120" s="373" t="str">
        <f t="shared" si="1"/>
        <v>$/lb (2016)</v>
      </c>
    </row>
    <row r="121" spans="1:39">
      <c r="A121" s="263" t="s">
        <v>1228</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0.14624999999999999</v>
      </c>
      <c r="AL121" s="372">
        <f>IF(ISTEXT(RawMaterials[[#This Row],[Unit price in quote year]]),"Check calcs",RawMaterials[[#This Row],[Unit price in quote year]]/VLOOKUP(RawMaterials[[#This Row],[Quote Year]],ChemPPI[],14,FALSE)*VLOOKUP(BasisYear,ChemPPI[],14,FALSE))</f>
        <v>0.19849275914634149</v>
      </c>
      <c r="AM121" s="373" t="str">
        <f t="shared" si="1"/>
        <v>$/lb (2016)</v>
      </c>
    </row>
    <row r="122" spans="1:39">
      <c r="A122" s="263" t="s">
        <v>1229</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v>
      </c>
      <c r="AL122" s="372">
        <f>IF(ISTEXT(RawMaterials[[#This Row],[Unit price in quote year]]),"Check calcs",RawMaterials[[#This Row],[Unit price in quote year]]/VLOOKUP(RawMaterials[[#This Row],[Quote Year]],ChemPPI[],14,FALSE)*VLOOKUP(BasisYear,ChemPPI[],14,FALSE))</f>
        <v>0.59717479674796758</v>
      </c>
      <c r="AM122" s="373" t="str">
        <f t="shared" si="1"/>
        <v>$/lb (2016)</v>
      </c>
    </row>
    <row r="123" spans="1:39">
      <c r="A123" s="263" t="s">
        <v>1230</v>
      </c>
      <c r="B123" s="264"/>
      <c r="C123" s="271"/>
      <c r="D123" s="365"/>
      <c r="E123" s="264">
        <v>100</v>
      </c>
      <c r="F123" s="264"/>
      <c r="G123" s="271"/>
      <c r="H123" s="271"/>
      <c r="I123" s="268"/>
      <c r="J123" s="271"/>
      <c r="K123" s="271"/>
      <c r="L123" s="271"/>
      <c r="M123" s="271"/>
      <c r="N123" s="271"/>
      <c r="O123" s="271"/>
      <c r="P123" s="265">
        <v>658.75</v>
      </c>
      <c r="Q123" s="264">
        <v>1</v>
      </c>
      <c r="R123" s="264" t="s">
        <v>406</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0.32937499999999997</v>
      </c>
      <c r="AL123" s="372">
        <f>IF(ISTEXT(RawMaterials[[#This Row],[Unit price in quote year]]),"Check calcs",RawMaterials[[#This Row],[Unit price in quote year]]/VLOOKUP(RawMaterials[[#This Row],[Quote Year]],ChemPPI[],14,FALSE)*VLOOKUP(BasisYear,ChemPPI[],14,FALSE))</f>
        <v>0.38550766843162315</v>
      </c>
      <c r="AM123" s="373" t="str">
        <f t="shared" si="1"/>
        <v>$/lb (2016)</v>
      </c>
    </row>
    <row r="124" spans="1:39">
      <c r="A124" s="263" t="s">
        <v>1231</v>
      </c>
      <c r="B124" s="264"/>
      <c r="C124" s="271"/>
      <c r="D124" s="365"/>
      <c r="E124" s="264">
        <v>100</v>
      </c>
      <c r="F124" s="264"/>
      <c r="G124" s="271"/>
      <c r="H124" s="271"/>
      <c r="I124" s="268"/>
      <c r="J124" s="271"/>
      <c r="K124" s="271"/>
      <c r="L124" s="271"/>
      <c r="M124" s="271"/>
      <c r="N124" s="271"/>
      <c r="O124" s="271"/>
      <c r="P124" s="265">
        <v>635</v>
      </c>
      <c r="Q124" s="264">
        <v>1</v>
      </c>
      <c r="R124" s="264" t="s">
        <v>406</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0.3175</v>
      </c>
      <c r="AL124" s="372">
        <f>IF(ISTEXT(RawMaterials[[#This Row],[Unit price in quote year]]),"Check calcs",RawMaterials[[#This Row],[Unit price in quote year]]/VLOOKUP(RawMaterials[[#This Row],[Quote Year]],ChemPPI[],14,FALSE)*VLOOKUP(BasisYear,ChemPPI[],14,FALSE))</f>
        <v>0.37160890998721929</v>
      </c>
      <c r="AM124" s="373" t="str">
        <f t="shared" si="1"/>
        <v>$/lb (2016)</v>
      </c>
    </row>
    <row r="125" spans="1:39">
      <c r="A125" s="263" t="s">
        <v>1232</v>
      </c>
      <c r="B125" s="264"/>
      <c r="C125" s="271"/>
      <c r="D125" s="365"/>
      <c r="E125" s="264">
        <v>100</v>
      </c>
      <c r="F125" s="264"/>
      <c r="G125" s="271"/>
      <c r="H125" s="271"/>
      <c r="I125" s="268"/>
      <c r="J125" s="271"/>
      <c r="K125" s="271"/>
      <c r="L125" s="271"/>
      <c r="M125" s="271"/>
      <c r="N125" s="271"/>
      <c r="O125" s="271"/>
      <c r="P125" s="265">
        <v>589.66999999999996</v>
      </c>
      <c r="Q125" s="264">
        <v>1</v>
      </c>
      <c r="R125" s="264" t="s">
        <v>406</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0.29483499999999996</v>
      </c>
      <c r="AL125" s="372">
        <f>IF(ISTEXT(RawMaterials[[#This Row],[Unit price in quote year]]),"Check calcs",RawMaterials[[#This Row],[Unit price in quote year]]/VLOOKUP(RawMaterials[[#This Row],[Quote Year]],ChemPPI[],14,FALSE)*VLOOKUP(BasisYear,ChemPPI[],14,FALSE))</f>
        <v>0.34508130071206861</v>
      </c>
      <c r="AM125" s="373" t="str">
        <f t="shared" si="1"/>
        <v>$/lb (2016)</v>
      </c>
    </row>
    <row r="126" spans="1:39">
      <c r="A126" s="263" t="s">
        <v>1233</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0.72249999999999903</v>
      </c>
      <c r="AL126" s="372">
        <f>IF(ISTEXT(RawMaterials[[#This Row],[Unit price in quote year]]),"Check calcs",RawMaterials[[#This Row],[Unit price in quote year]]/VLOOKUP(RawMaterials[[#This Row],[Quote Year]],ChemPPI[],14,FALSE)*VLOOKUP(BasisYear,ChemPPI[],14,FALSE))</f>
        <v>0.98058816056910458</v>
      </c>
      <c r="AM126" s="373" t="str">
        <f t="shared" si="1"/>
        <v>$/lb (2016)</v>
      </c>
    </row>
    <row r="127" spans="1:39">
      <c r="A127" s="263" t="s">
        <v>1234</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27" s="372">
        <f>IF(ISTEXT(RawMaterials[[#This Row],[Unit price in quote year]]),"Check calcs",RawMaterials[[#This Row],[Unit price in quote year]]/VLOOKUP(RawMaterials[[#This Row],[Quote Year]],ChemPPI[],14,FALSE)*VLOOKUP(BasisYear,ChemPPI[],14,FALSE))</f>
        <v>0.98398119918699201</v>
      </c>
      <c r="AM127" s="373" t="str">
        <f t="shared" si="1"/>
        <v>$/lb (2016)</v>
      </c>
    </row>
    <row r="128" spans="1:39">
      <c r="A128" s="263" t="s">
        <v>1235</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0.72750000000000004</v>
      </c>
      <c r="AL128" s="372">
        <f>IF(ISTEXT(RawMaterials[[#This Row],[Unit price in quote year]]),"Check calcs",RawMaterials[[#This Row],[Unit price in quote year]]/VLOOKUP(RawMaterials[[#This Row],[Quote Year]],ChemPPI[],14,FALSE)*VLOOKUP(BasisYear,ChemPPI[],14,FALSE))</f>
        <v>0.98737423780487832</v>
      </c>
      <c r="AM128" s="373" t="str">
        <f t="shared" si="1"/>
        <v>$/lb (2016)</v>
      </c>
    </row>
    <row r="129" spans="1:39">
      <c r="A129" s="263" t="s">
        <v>1236</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129" s="372">
        <f>IF(ISTEXT(RawMaterials[[#This Row],[Unit price in quote year]]),"Check calcs",RawMaterials[[#This Row],[Unit price in quote year]]/VLOOKUP(RawMaterials[[#This Row],[Quote Year]],ChemPPI[],14,FALSE)*VLOOKUP(BasisYear,ChemPPI[],14,FALSE))</f>
        <v>1.20792174796748</v>
      </c>
      <c r="AM129" s="373" t="str">
        <f t="shared" si="1"/>
        <v>$/lb (2016)</v>
      </c>
    </row>
    <row r="130" spans="1:39">
      <c r="A130" s="263" t="s">
        <v>1237</v>
      </c>
      <c r="B130" s="264"/>
      <c r="C130" s="271"/>
      <c r="D130" s="365"/>
      <c r="E130" s="264">
        <v>100</v>
      </c>
      <c r="F130" s="264"/>
      <c r="G130" s="271"/>
      <c r="H130" s="271"/>
      <c r="I130" s="268"/>
      <c r="J130" s="271"/>
      <c r="K130" s="271"/>
      <c r="L130" s="271"/>
      <c r="M130" s="271"/>
      <c r="N130" s="271"/>
      <c r="O130" s="271"/>
      <c r="P130" s="265">
        <v>257.5</v>
      </c>
      <c r="Q130" s="264">
        <v>1</v>
      </c>
      <c r="R130" s="264" t="s">
        <v>406</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130" s="372">
        <f>IF(ISTEXT(RawMaterials[[#This Row],[Unit price in quote year]]),"Check calcs",RawMaterials[[#This Row],[Unit price in quote year]]/VLOOKUP(RawMaterials[[#This Row],[Quote Year]],ChemPPI[],14,FALSE)*VLOOKUP(BasisYear,ChemPPI[],14,FALSE))</f>
        <v>0.15069180208143143</v>
      </c>
      <c r="AM130" s="373" t="str">
        <f t="shared" si="1"/>
        <v>$/lb (2016)</v>
      </c>
    </row>
    <row r="131" spans="1:39">
      <c r="A131" s="263" t="s">
        <v>1238</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131" s="372">
        <f>IF(ISTEXT(RawMaterials[[#This Row],[Unit price in quote year]]),"Check calcs",RawMaterials[[#This Row],[Unit price in quote year]]/VLOOKUP(RawMaterials[[#This Row],[Quote Year]],ChemPPI[],14,FALSE)*VLOOKUP(BasisYear,ChemPPI[],14,FALSE))</f>
        <v>0.46816870549570938</v>
      </c>
      <c r="AM131" s="373" t="str">
        <f t="shared" si="1"/>
        <v>$/lb (2016)</v>
      </c>
    </row>
    <row r="132" spans="1:39">
      <c r="A132" s="263" t="s">
        <v>1239</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0.36499999999999999</v>
      </c>
      <c r="AL132" s="372">
        <f>IF(ISTEXT(RawMaterials[[#This Row],[Unit price in quote year]]),"Check calcs",RawMaterials[[#This Row],[Unit price in quote year]]/VLOOKUP(RawMaterials[[#This Row],[Quote Year]],ChemPPI[],14,FALSE)*VLOOKUP(BasisYear,ChemPPI[],14,FALSE))</f>
        <v>0.42720394376483478</v>
      </c>
      <c r="AM132" s="373" t="str">
        <f t="shared" si="1"/>
        <v>$/lb (2016)</v>
      </c>
    </row>
    <row r="133" spans="1:39">
      <c r="A133" s="263" t="s">
        <v>1240</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133" s="372">
        <f>IF(ISTEXT(RawMaterials[[#This Row],[Unit price in quote year]]),"Check calcs",RawMaterials[[#This Row],[Unit price in quote year]]/VLOOKUP(RawMaterials[[#This Row],[Quote Year]],ChemPPI[],14,FALSE)*VLOOKUP(BasisYear,ChemPPI[],14,FALSE))</f>
        <v>0.72611026422764247</v>
      </c>
      <c r="AM133" s="373" t="str">
        <f t="shared" si="1"/>
        <v>$/lb (2016)</v>
      </c>
    </row>
    <row r="134" spans="1:39">
      <c r="A134" s="263" t="s">
        <v>1241</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134" s="372">
        <f>IF(ISTEXT(RawMaterials[[#This Row],[Unit price in quote year]]),"Check calcs",RawMaterials[[#This Row],[Unit price in quote year]]/VLOOKUP(RawMaterials[[#This Row],[Quote Year]],ChemPPI[],14,FALSE)*VLOOKUP(BasisYear,ChemPPI[],14,FALSE))</f>
        <v>0.82111534552845533</v>
      </c>
      <c r="AM134" s="373" t="str">
        <f t="shared" si="1"/>
        <v>$/lb (2016)</v>
      </c>
    </row>
    <row r="135" spans="1:39">
      <c r="A135" s="263" t="s">
        <v>1242</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0.54249999999999998</v>
      </c>
      <c r="AL135" s="372">
        <f>IF(ISTEXT(RawMaterials[[#This Row],[Unit price in quote year]]),"Check calcs",RawMaterials[[#This Row],[Unit price in quote year]]/VLOOKUP(RawMaterials[[#This Row],[Quote Year]],ChemPPI[],14,FALSE)*VLOOKUP(BasisYear,ChemPPI[],14,FALSE))</f>
        <v>0.73628938008130085</v>
      </c>
      <c r="AM135" s="373" t="str">
        <f t="shared" si="1"/>
        <v>$/lb (2016)</v>
      </c>
    </row>
    <row r="136" spans="1:39">
      <c r="A136" s="263" t="s">
        <v>1243</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3.6060593415000004</v>
      </c>
      <c r="AL136" s="372">
        <f>IF(ISTEXT(RawMaterials[[#This Row],[Unit price in quote year]]),"Check calcs",RawMaterials[[#This Row],[Unit price in quote year]]/VLOOKUP(RawMaterials[[#This Row],[Quote Year]],ChemPPI[],14,FALSE)*VLOOKUP(BasisYear,ChemPPI[],14,FALSE))</f>
        <v>4.8941994416394827</v>
      </c>
      <c r="AM136" s="373" t="str">
        <f t="shared" si="1"/>
        <v>$/lb (2016)</v>
      </c>
    </row>
    <row r="137" spans="1:39">
      <c r="A137" s="263" t="s">
        <v>1244</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5.1936326365000003</v>
      </c>
      <c r="AL137" s="372">
        <f>IF(ISTEXT(RawMaterials[[#This Row],[Unit price in quote year]]),"Check calcs",RawMaterials[[#This Row],[Unit price in quote year]]/VLOOKUP(RawMaterials[[#This Row],[Quote Year]],ChemPPI[],14,FALSE)*VLOOKUP(BasisYear,ChemPPI[],14,FALSE))</f>
        <v>7.0488784411034056</v>
      </c>
      <c r="AM137" s="373" t="str">
        <f t="shared" si="1"/>
        <v>$/lb (2016)</v>
      </c>
    </row>
    <row r="138" spans="1:39">
      <c r="A138" s="263" t="s">
        <v>1245</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38" s="372">
        <f>IF(ISTEXT(RawMaterials[[#This Row],[Unit price in quote year]]),"Check calcs",RawMaterials[[#This Row],[Unit price in quote year]]/VLOOKUP(RawMaterials[[#This Row],[Quote Year]],ChemPPI[],14,FALSE)*VLOOKUP(BasisYear,ChemPPI[],14,FALSE))</f>
        <v>1.0179115853658538</v>
      </c>
      <c r="AM138" s="373" t="str">
        <f t="shared" si="1"/>
        <v>$/lb (2016)</v>
      </c>
    </row>
    <row r="139" spans="1:39">
      <c r="A139" s="263" t="s">
        <v>1246</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139" s="372">
        <f>IF(ISTEXT(RawMaterials[[#This Row],[Unit price in quote year]]),"Check calcs",RawMaterials[[#This Row],[Unit price in quote year]]/VLOOKUP(RawMaterials[[#This Row],[Quote Year]],ChemPPI[],14,FALSE)*VLOOKUP(BasisYear,ChemPPI[],14,FALSE))</f>
        <v>0.63789126016260178</v>
      </c>
      <c r="AM139" s="373" t="str">
        <f t="shared" si="1"/>
        <v>$/lb (2016)</v>
      </c>
    </row>
    <row r="140" spans="1:39">
      <c r="A140" s="263" t="s">
        <v>1247</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40" s="372">
        <f>IF(ISTEXT(RawMaterials[[#This Row],[Unit price in quote year]]),"Check calcs",RawMaterials[[#This Row],[Unit price in quote year]]/VLOOKUP(RawMaterials[[#This Row],[Quote Year]],ChemPPI[],14,FALSE)*VLOOKUP(BasisYear,ChemPPI[],14,FALSE))</f>
        <v>0.74646849593495956</v>
      </c>
      <c r="AM140" s="373" t="str">
        <f t="shared" si="1"/>
        <v>$/lb (2016)</v>
      </c>
    </row>
    <row r="141" spans="1:39">
      <c r="A141" s="263" t="s">
        <v>1248</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141" s="372">
        <f>IF(ISTEXT(RawMaterials[[#This Row],[Unit price in quote year]]),"Check calcs",RawMaterials[[#This Row],[Unit price in quote year]]/VLOOKUP(RawMaterials[[#This Row],[Quote Year]],ChemPPI[],14,FALSE)*VLOOKUP(BasisYear,ChemPPI[],14,FALSE))</f>
        <v>1.9699922280813011</v>
      </c>
      <c r="AM141" s="373" t="str">
        <f t="shared" si="1"/>
        <v>$/lb (2016)</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1105</v>
      </c>
      <c r="U142" s="382">
        <v>43339</v>
      </c>
      <c r="V142" s="269" t="s">
        <v>1716</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v>
      </c>
      <c r="AL142" s="372">
        <f>IF(ISTEXT(RawMaterials[[#This Row],[Unit price in quote year]]),"Check calcs",RawMaterials[[#This Row],[Unit price in quote year]]/VLOOKUP(RawMaterials[[#This Row],[Quote Year]],ChemPPI[],14,FALSE)*VLOOKUP(BasisYear,ChemPPI[],14,FALSE))</f>
        <v>27.501600111312094</v>
      </c>
      <c r="AM142" s="373" t="str">
        <f t="shared" si="1"/>
        <v>$/lb (2016)</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1105</v>
      </c>
      <c r="U143" s="382">
        <v>43339</v>
      </c>
      <c r="V143" s="269" t="s">
        <v>1716</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143" s="372">
        <f>IF(ISTEXT(RawMaterials[[#This Row],[Unit price in quote year]]),"Check calcs",RawMaterials[[#This Row],[Unit price in quote year]]/VLOOKUP(RawMaterials[[#This Row],[Quote Year]],ChemPPI[],14,FALSE)*VLOOKUP(BasisYear,ChemPPI[],14,FALSE))</f>
        <v>2.5550473076387923</v>
      </c>
      <c r="AM143" s="373" t="str">
        <f t="shared" si="1"/>
        <v>$/lb (2016)</v>
      </c>
    </row>
    <row r="144" spans="1:39">
      <c r="A144" s="263" t="s">
        <v>1249</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v>
      </c>
      <c r="AL144" s="372">
        <f>IF(ISTEXT(RawMaterials[[#This Row],[Unit price in quote year]]),"Check calcs",RawMaterials[[#This Row],[Unit price in quote year]]/VLOOKUP(RawMaterials[[#This Row],[Quote Year]],ChemPPI[],14,FALSE)*VLOOKUP(BasisYear,ChemPPI[],14,FALSE))</f>
        <v>13.572154471544717</v>
      </c>
      <c r="AM144" s="373" t="str">
        <f t="shared" ref="AM144:AM207" si="2">CurrencySymbol&amp;"/"&amp;OutMassUnit&amp;" ("&amp;BasisYear&amp;")"</f>
        <v>$/lb (2016)</v>
      </c>
    </row>
    <row r="145" spans="1:39">
      <c r="A145" s="263" t="s">
        <v>1250</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v>
      </c>
      <c r="AL145" s="372">
        <f>IF(ISTEXT(RawMaterials[[#This Row],[Unit price in quote year]]),"Check calcs",RawMaterials[[#This Row],[Unit price in quote year]]/VLOOKUP(RawMaterials[[#This Row],[Quote Year]],ChemPPI[],14,FALSE)*VLOOKUP(BasisYear,ChemPPI[],14,FALSE))</f>
        <v>2.4022713414634151</v>
      </c>
      <c r="AM145" s="373" t="str">
        <f t="shared" si="2"/>
        <v>$/lb (2016)</v>
      </c>
    </row>
    <row r="146" spans="1:39">
      <c r="A146" s="263" t="s">
        <v>1251</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v>
      </c>
      <c r="AL146" s="372">
        <f>IF(ISTEXT(RawMaterials[[#This Row],[Unit price in quote year]]),"Check calcs",RawMaterials[[#This Row],[Unit price in quote year]]/VLOOKUP(RawMaterials[[#This Row],[Quote Year]],ChemPPI[],14,FALSE)*VLOOKUP(BasisYear,ChemPPI[],14,FALSE))</f>
        <v>2.0901117886178864</v>
      </c>
      <c r="AM146" s="373" t="str">
        <f t="shared" si="2"/>
        <v>$/lb (2016)</v>
      </c>
    </row>
    <row r="147" spans="1:39">
      <c r="A147" s="263" t="s">
        <v>1252</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0.61499999999999999</v>
      </c>
      <c r="AL147" s="372">
        <f>IF(ISTEXT(RawMaterials[[#This Row],[Unit price in quote year]]),"Check calcs",RawMaterials[[#This Row],[Unit price in quote year]]/VLOOKUP(RawMaterials[[#This Row],[Quote Year]],ChemPPI[],14,FALSE)*VLOOKUP(BasisYear,ChemPPI[],14,FALSE))</f>
        <v>0.83468750000000014</v>
      </c>
      <c r="AM147" s="373" t="str">
        <f t="shared" si="2"/>
        <v>$/lb (2016)</v>
      </c>
    </row>
    <row r="148" spans="1:39">
      <c r="A148" s="263" t="s">
        <v>1253</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6.5010700681230595</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0.34225134888330555</v>
      </c>
      <c r="AL148" s="372">
        <f>IF(ISTEXT(RawMaterials[[#This Row],[Unit price in quote year]]),"Check calcs",RawMaterials[[#This Row],[Unit price in quote year]]/VLOOKUP(RawMaterials[[#This Row],[Quote Year]],ChemPPI[],14,FALSE)*VLOOKUP(BasisYear,ChemPPI[],14,FALSE))</f>
        <v>0.46450881751387663</v>
      </c>
      <c r="AM148" s="373" t="str">
        <f t="shared" si="2"/>
        <v>$/lb (2016)</v>
      </c>
    </row>
    <row r="149" spans="1:39">
      <c r="A149" s="263" t="s">
        <v>1254</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0.28499999999999998</v>
      </c>
      <c r="AL149" s="372">
        <f>IF(ISTEXT(RawMaterials[[#This Row],[Unit price in quote year]]),"Check calcs",RawMaterials[[#This Row],[Unit price in quote year]]/VLOOKUP(RawMaterials[[#This Row],[Quote Year]],ChemPPI[],14,FALSE)*VLOOKUP(BasisYear,ChemPPI[],14,FALSE))</f>
        <v>0.38680640243902442</v>
      </c>
      <c r="AM149" s="373" t="str">
        <f t="shared" si="2"/>
        <v>$/lb (2016)</v>
      </c>
    </row>
    <row r="150" spans="1:39">
      <c r="A150" s="263" t="s">
        <v>1255</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50" s="372">
        <f>IF(ISTEXT(RawMaterials[[#This Row],[Unit price in quote year]]),"Check calcs",RawMaterials[[#This Row],[Unit price in quote year]]/VLOOKUP(RawMaterials[[#This Row],[Quote Year]],ChemPPI[],14,FALSE)*VLOOKUP(BasisYear,ChemPPI[],14,FALSE))</f>
        <v>0.74646849593495956</v>
      </c>
      <c r="AM150" s="373" t="str">
        <f t="shared" si="2"/>
        <v>$/lb (2016)</v>
      </c>
    </row>
    <row r="151" spans="1:39">
      <c r="A151" s="263" t="s">
        <v>1256</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151" s="372">
        <f>IF(ISTEXT(RawMaterials[[#This Row],[Unit price in quote year]]),"Check calcs",RawMaterials[[#This Row],[Unit price in quote year]]/VLOOKUP(RawMaterials[[#This Row],[Quote Year]],ChemPPI[],14,FALSE)*VLOOKUP(BasisYear,ChemPPI[],14,FALSE))</f>
        <v>1.2350660569105694</v>
      </c>
      <c r="AM151" s="373" t="str">
        <f t="shared" si="2"/>
        <v>$/lb (2016)</v>
      </c>
    </row>
    <row r="152" spans="1:39">
      <c r="A152" s="263" t="s">
        <v>1257</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52" s="372">
        <f>IF(ISTEXT(RawMaterials[[#This Row],[Unit price in quote year]]),"Check calcs",RawMaterials[[#This Row],[Unit price in quote year]]/VLOOKUP(RawMaterials[[#This Row],[Quote Year]],ChemPPI[],14,FALSE)*VLOOKUP(BasisYear,ChemPPI[],14,FALSE))</f>
        <v>0.529314024390244</v>
      </c>
      <c r="AM152" s="373" t="str">
        <f t="shared" si="2"/>
        <v>$/lb (2016)</v>
      </c>
    </row>
    <row r="153" spans="1:39">
      <c r="A153" s="263" t="s">
        <v>1258</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153" s="372">
        <f>IF(ISTEXT(RawMaterials[[#This Row],[Unit price in quote year]]),"Check calcs",RawMaterials[[#This Row],[Unit price in quote year]]/VLOOKUP(RawMaterials[[#This Row],[Quote Year]],ChemPPI[],14,FALSE)*VLOOKUP(BasisYear,ChemPPI[],14,FALSE))</f>
        <v>0.9568368902439025</v>
      </c>
      <c r="AM153" s="373" t="str">
        <f t="shared" si="2"/>
        <v>$/lb (2016)</v>
      </c>
    </row>
    <row r="154" spans="1:39">
      <c r="A154" s="263" t="s">
        <v>1259</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4.4452052260000006</v>
      </c>
      <c r="AL154" s="372">
        <f>IF(ISTEXT(RawMaterials[[#This Row],[Unit price in quote year]]),"Check calcs",RawMaterials[[#This Row],[Unit price in quote year]]/VLOOKUP(RawMaterials[[#This Row],[Quote Year]],ChemPPI[],14,FALSE)*VLOOKUP(BasisYear,ChemPPI[],14,FALSE))</f>
        <v>6.0331011984989855</v>
      </c>
      <c r="AM154" s="373" t="str">
        <f t="shared" si="2"/>
        <v>$/lb (2016)</v>
      </c>
    </row>
    <row r="155" spans="1:39">
      <c r="A155" s="263" t="s">
        <v>1260</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81.646626600000005</v>
      </c>
      <c r="AL155" s="372">
        <f>IF(ISTEXT(RawMaterials[[#This Row],[Unit price in quote year]]),"Check calcs",RawMaterials[[#This Row],[Unit price in quote year]]/VLOOKUP(RawMaterials[[#This Row],[Quote Year]],ChemPPI[],14,FALSE)*VLOOKUP(BasisYear,ChemPPI[],14,FALSE))</f>
        <v>110.81206282957319</v>
      </c>
      <c r="AM155" s="373" t="str">
        <f t="shared" si="2"/>
        <v>$/lb (2016)</v>
      </c>
    </row>
    <row r="156" spans="1:39">
      <c r="A156" s="263" t="s">
        <v>1261</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38.101759080000001</v>
      </c>
      <c r="AL156" s="372">
        <f>IF(ISTEXT(RawMaterials[[#This Row],[Unit price in quote year]]),"Check calcs",RawMaterials[[#This Row],[Unit price in quote year]]/VLOOKUP(RawMaterials[[#This Row],[Quote Year]],ChemPPI[],14,FALSE)*VLOOKUP(BasisYear,ChemPPI[],14,FALSE))</f>
        <v>51.712295987134162</v>
      </c>
      <c r="AM156" s="373" t="str">
        <f t="shared" si="2"/>
        <v>$/lb (2016)</v>
      </c>
    </row>
    <row r="157" spans="1:39">
      <c r="A157" s="263" t="s">
        <v>1262</v>
      </c>
      <c r="B157" s="264"/>
      <c r="C157" s="271"/>
      <c r="D157" s="365"/>
      <c r="E157" s="264">
        <v>100</v>
      </c>
      <c r="F157" s="264"/>
      <c r="G157" s="271"/>
      <c r="H157" s="271"/>
      <c r="I157" s="268"/>
      <c r="J157" s="271"/>
      <c r="K157" s="271"/>
      <c r="L157" s="271"/>
      <c r="M157" s="271"/>
      <c r="N157" s="271"/>
      <c r="O157" s="271"/>
      <c r="P157" s="265">
        <v>1500</v>
      </c>
      <c r="Q157" s="264">
        <v>1</v>
      </c>
      <c r="R157" s="264" t="s">
        <v>406</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57" s="372">
        <f>IF(ISTEXT(RawMaterials[[#This Row],[Unit price in quote year]]),"Check calcs",RawMaterials[[#This Row],[Unit price in quote year]]/VLOOKUP(RawMaterials[[#This Row],[Quote Year]],ChemPPI[],14,FALSE)*VLOOKUP(BasisYear,ChemPPI[],14,FALSE))</f>
        <v>1.0179115853658538</v>
      </c>
      <c r="AM157" s="373" t="str">
        <f t="shared" si="2"/>
        <v>$/lb (2016)</v>
      </c>
    </row>
    <row r="158" spans="1:39">
      <c r="A158" s="263" t="s">
        <v>1263</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v>
      </c>
      <c r="AL158" s="372">
        <f>IF(ISTEXT(RawMaterials[[#This Row],[Unit price in quote year]]),"Check calcs",RawMaterials[[#This Row],[Unit price in quote year]]/VLOOKUP(RawMaterials[[#This Row],[Quote Year]],ChemPPI[],14,FALSE)*VLOOKUP(BasisYear,ChemPPI[],14,FALSE))</f>
        <v>1.8726748219828375</v>
      </c>
      <c r="AM158" s="373" t="str">
        <f t="shared" si="2"/>
        <v>$/lb (2016)</v>
      </c>
    </row>
    <row r="159" spans="1:39">
      <c r="A159" s="263" t="s">
        <v>1264</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v>
      </c>
      <c r="AL159" s="372">
        <f>IF(ISTEXT(RawMaterials[[#This Row],[Unit price in quote year]]),"Check calcs",RawMaterials[[#This Row],[Unit price in quote year]]/VLOOKUP(RawMaterials[[#This Row],[Quote Year]],ChemPPI[],14,FALSE)*VLOOKUP(BasisYear,ChemPPI[],14,FALSE))</f>
        <v>1.960456454263283</v>
      </c>
      <c r="AM159" s="373" t="str">
        <f t="shared" si="2"/>
        <v>$/lb (2016)</v>
      </c>
    </row>
    <row r="160" spans="1:39">
      <c r="A160" s="263" t="s">
        <v>1265</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160" s="372">
        <f>IF(ISTEXT(RawMaterials[[#This Row],[Unit price in quote year]]),"Check calcs",RawMaterials[[#This Row],[Unit price in quote year]]/VLOOKUP(RawMaterials[[#This Row],[Quote Year]],ChemPPI[],14,FALSE)*VLOOKUP(BasisYear,ChemPPI[],14,FALSE))</f>
        <v>1.8258579514332667</v>
      </c>
      <c r="AM160" s="373" t="str">
        <f t="shared" si="2"/>
        <v>$/lb (2016)</v>
      </c>
    </row>
    <row r="161" spans="1:39">
      <c r="A161" s="263" t="s">
        <v>1266</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v>
      </c>
      <c r="AL161" s="372">
        <f>IF(ISTEXT(RawMaterials[[#This Row],[Unit price in quote year]]),"Check calcs",RawMaterials[[#This Row],[Unit price in quote year]]/VLOOKUP(RawMaterials[[#This Row],[Quote Year]],ChemPPI[],14,FALSE)*VLOOKUP(BasisYear,ChemPPI[],14,FALSE))</f>
        <v>5.8360264227642284</v>
      </c>
      <c r="AM161" s="373" t="str">
        <f t="shared" si="2"/>
        <v>$/lb (2016)</v>
      </c>
    </row>
    <row r="162" spans="1:39">
      <c r="A162" s="263" t="s">
        <v>1267</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162" s="372">
        <f>IF(ISTEXT(RawMaterials[[#This Row],[Unit price in quote year]]),"Check calcs",RawMaterials[[#This Row],[Unit price in quote year]]/VLOOKUP(RawMaterials[[#This Row],[Quote Year]],ChemPPI[],14,FALSE)*VLOOKUP(BasisYear,ChemPPI[],14,FALSE))</f>
        <v>0.73151360233704588</v>
      </c>
      <c r="AM162" s="373" t="str">
        <f t="shared" si="2"/>
        <v>$/lb (2016)</v>
      </c>
    </row>
    <row r="163" spans="1:39">
      <c r="A163" s="263" t="s">
        <v>1268</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0.53499999999999903</v>
      </c>
      <c r="AL163" s="372">
        <f>IF(ISTEXT(RawMaterials[[#This Row],[Unit price in quote year]]),"Check calcs",RawMaterials[[#This Row],[Unit price in quote year]]/VLOOKUP(RawMaterials[[#This Row],[Quote Year]],ChemPPI[],14,FALSE)*VLOOKUP(BasisYear,ChemPPI[],14,FALSE))</f>
        <v>0.62617564360051015</v>
      </c>
      <c r="AM163" s="373" t="str">
        <f t="shared" si="2"/>
        <v>$/lb (2016)</v>
      </c>
    </row>
    <row r="164" spans="1:39">
      <c r="A164" s="263" t="s">
        <v>1269</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64" s="372">
        <f>IF(ISTEXT(RawMaterials[[#This Row],[Unit price in quote year]]),"Check calcs",RawMaterials[[#This Row],[Unit price in quote year]]/VLOOKUP(RawMaterials[[#This Row],[Quote Year]],ChemPPI[],14,FALSE)*VLOOKUP(BasisYear,ChemPPI[],14,FALSE))</f>
        <v>1.038269817073171</v>
      </c>
      <c r="AM164" s="373" t="str">
        <f t="shared" si="2"/>
        <v>$/lb (2016)</v>
      </c>
    </row>
    <row r="165" spans="1:39">
      <c r="A165" s="263" t="s">
        <v>1270</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0.37208459686488821</v>
      </c>
      <c r="AL165" s="372">
        <f>IF(ISTEXT(RawMaterials[[#This Row],[Unit price in quote year]]),"Check calcs",RawMaterials[[#This Row],[Unit price in quote year]]/VLOOKUP(RawMaterials[[#This Row],[Quote Year]],ChemPPI[],14,FALSE)*VLOOKUP(BasisYear,ChemPPI[],14,FALSE))</f>
        <v>0.43549591012281896</v>
      </c>
      <c r="AM165" s="373" t="str">
        <f t="shared" si="2"/>
        <v>$/lb (2016)</v>
      </c>
    </row>
    <row r="166" spans="1:39">
      <c r="A166" s="263" t="s">
        <v>1271</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0.38043751638634482</v>
      </c>
      <c r="AL166" s="372">
        <f>IF(ISTEXT(RawMaterials[[#This Row],[Unit price in quote year]]),"Check calcs",RawMaterials[[#This Row],[Unit price in quote year]]/VLOOKUP(RawMaterials[[#This Row],[Quote Year]],ChemPPI[],14,FALSE)*VLOOKUP(BasisYear,ChemPPI[],14,FALSE))</f>
        <v>0.44527234892149442</v>
      </c>
      <c r="AM166" s="373" t="str">
        <f t="shared" si="2"/>
        <v>$/lb (2016)</v>
      </c>
    </row>
    <row r="167" spans="1:39">
      <c r="A167" s="263" t="s">
        <v>1272</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0.39714335542925822</v>
      </c>
      <c r="AL167" s="372">
        <f>IF(ISTEXT(RawMaterials[[#This Row],[Unit price in quote year]]),"Check calcs",RawMaterials[[#This Row],[Unit price in quote year]]/VLOOKUP(RawMaterials[[#This Row],[Quote Year]],ChemPPI[],14,FALSE)*VLOOKUP(BasisYear,ChemPPI[],14,FALSE))</f>
        <v>0.4648252265188455</v>
      </c>
      <c r="AM167" s="373" t="str">
        <f t="shared" si="2"/>
        <v>$/lb (2016)</v>
      </c>
    </row>
    <row r="168" spans="1:39">
      <c r="A168" s="263" t="s">
        <v>1273</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0.39562464278899334</v>
      </c>
      <c r="AL168" s="372">
        <f>IF(ISTEXT(RawMaterials[[#This Row],[Unit price in quote year]]),"Check calcs",RawMaterials[[#This Row],[Unit price in quote year]]/VLOOKUP(RawMaterials[[#This Row],[Quote Year]],ChemPPI[],14,FALSE)*VLOOKUP(BasisYear,ChemPPI[],14,FALSE))</f>
        <v>0.46304769219181358</v>
      </c>
      <c r="AM168" s="373" t="str">
        <f t="shared" si="2"/>
        <v>$/lb (2016)</v>
      </c>
    </row>
    <row r="169" spans="1:39">
      <c r="A169" s="263" t="s">
        <v>1274</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0.51636229769004893</v>
      </c>
      <c r="AL169" s="372">
        <f>IF(ISTEXT(RawMaterials[[#This Row],[Unit price in quote year]]),"Check calcs",RawMaterials[[#This Row],[Unit price in quote year]]/VLOOKUP(RawMaterials[[#This Row],[Quote Year]],ChemPPI[],14,FALSE)*VLOOKUP(BasisYear,ChemPPI[],14,FALSE))</f>
        <v>0.60436167119085082</v>
      </c>
      <c r="AM169" s="373" t="str">
        <f t="shared" si="2"/>
        <v>$/lb (2016)</v>
      </c>
    </row>
    <row r="170" spans="1:39">
      <c r="A170" s="263" t="s">
        <v>1275</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0.54673655049534431</v>
      </c>
      <c r="AL170" s="372">
        <f>IF(ISTEXT(RawMaterials[[#This Row],[Unit price in quote year]]),"Check calcs",RawMaterials[[#This Row],[Unit price in quote year]]/VLOOKUP(RawMaterials[[#This Row],[Quote Year]],ChemPPI[],14,FALSE)*VLOOKUP(BasisYear,ChemPPI[],14,FALSE))</f>
        <v>0.63991235773148725</v>
      </c>
      <c r="AM170" s="373" t="str">
        <f t="shared" si="2"/>
        <v>$/lb (2016)</v>
      </c>
    </row>
    <row r="171" spans="1:39">
      <c r="A171" s="263" t="s">
        <v>1276</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v>
      </c>
      <c r="AL171" s="372">
        <f>IF(ISTEXT(RawMaterials[[#This Row],[Unit price in quote year]]),"Check calcs",RawMaterials[[#This Row],[Unit price in quote year]]/VLOOKUP(RawMaterials[[#This Row],[Quote Year]],ChemPPI[],14,FALSE)*VLOOKUP(BasisYear,ChemPPI[],14,FALSE))</f>
        <v>4.4109502032520336</v>
      </c>
      <c r="AM171" s="373" t="str">
        <f t="shared" si="2"/>
        <v>$/lb (2016)</v>
      </c>
    </row>
    <row r="172" spans="1:39">
      <c r="A172" s="263" t="s">
        <v>1277</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10.0924302325</v>
      </c>
      <c r="AL172" s="372">
        <f>IF(ISTEXT(RawMaterials[[#This Row],[Unit price in quote year]]),"Check calcs",RawMaterials[[#This Row],[Unit price in quote year]]/VLOOKUP(RawMaterials[[#This Row],[Quote Year]],ChemPPI[],14,FALSE)*VLOOKUP(BasisYear,ChemPPI[],14,FALSE))</f>
        <v>13.697602210877797</v>
      </c>
      <c r="AM172" s="373" t="str">
        <f t="shared" si="2"/>
        <v>$/lb (2016)</v>
      </c>
    </row>
    <row r="173" spans="1:39">
      <c r="A173" s="263" t="s">
        <v>1278</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173" s="372">
        <f>IF(ISTEXT(RawMaterials[[#This Row],[Unit price in quote year]]),"Check calcs",RawMaterials[[#This Row],[Unit price in quote year]]/VLOOKUP(RawMaterials[[#This Row],[Quote Year]],ChemPPI[],14,FALSE)*VLOOKUP(BasisYear,ChemPPI[],14,FALSE))</f>
        <v>1.6354446138211385</v>
      </c>
      <c r="AM173" s="373" t="str">
        <f t="shared" si="2"/>
        <v>$/lb (2016)</v>
      </c>
    </row>
    <row r="174" spans="1:39">
      <c r="A174" s="263" t="s">
        <v>1279</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174" s="372">
        <f>IF(ISTEXT(RawMaterials[[#This Row],[Unit price in quote year]]),"Check calcs",RawMaterials[[#This Row],[Unit price in quote year]]/VLOOKUP(RawMaterials[[#This Row],[Quote Year]],ChemPPI[],14,FALSE)*VLOOKUP(BasisYear,ChemPPI[],14,FALSE))</f>
        <v>1.7508079268292687</v>
      </c>
      <c r="AM174" s="373" t="str">
        <f t="shared" si="2"/>
        <v>$/lb (2016)</v>
      </c>
    </row>
    <row r="175" spans="1:39">
      <c r="A175" s="263" t="s">
        <v>1280</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v>
      </c>
      <c r="AL175" s="372">
        <f>IF(ISTEXT(RawMaterials[[#This Row],[Unit price in quote year]]),"Check calcs",RawMaterials[[#This Row],[Unit price in quote year]]/VLOOKUP(RawMaterials[[#This Row],[Quote Year]],ChemPPI[],14,FALSE)*VLOOKUP(BasisYear,ChemPPI[],14,FALSE))</f>
        <v>1.6422306910569107</v>
      </c>
      <c r="AM175" s="373" t="str">
        <f t="shared" si="2"/>
        <v>$/lb (2016)</v>
      </c>
    </row>
    <row r="176" spans="1:39">
      <c r="A176" s="263" t="s">
        <v>1281</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1.2149999999999901</v>
      </c>
      <c r="AL176" s="372">
        <f>IF(ISTEXT(RawMaterials[[#This Row],[Unit price in quote year]]),"Check calcs",RawMaterials[[#This Row],[Unit price in quote year]]/VLOOKUP(RawMaterials[[#This Row],[Quote Year]],ChemPPI[],14,FALSE)*VLOOKUP(BasisYear,ChemPPI[],14,FALSE))</f>
        <v>1.6490167682926697</v>
      </c>
      <c r="AM176" s="373" t="str">
        <f t="shared" si="2"/>
        <v>$/lb (2016)</v>
      </c>
    </row>
    <row r="177" spans="1:39">
      <c r="A177" s="263" t="s">
        <v>1282</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v>
      </c>
      <c r="AL177" s="372">
        <f>IF(ISTEXT(RawMaterials[[#This Row],[Unit price in quote year]]),"Check calcs",RawMaterials[[#This Row],[Unit price in quote year]]/VLOOKUP(RawMaterials[[#This Row],[Quote Year]],ChemPPI[],14,FALSE)*VLOOKUP(BasisYear,ChemPPI[],14,FALSE))</f>
        <v>1.8390269308943092</v>
      </c>
      <c r="AM177" s="373" t="str">
        <f t="shared" si="2"/>
        <v>$/lb (2016)</v>
      </c>
    </row>
    <row r="178" spans="1:39">
      <c r="A178" s="263" t="s">
        <v>1283</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178" s="372">
        <f>IF(ISTEXT(RawMaterials[[#This Row],[Unit price in quote year]]),"Check calcs",RawMaterials[[#This Row],[Unit price in quote year]]/VLOOKUP(RawMaterials[[#This Row],[Quote Year]],ChemPPI[],14,FALSE)*VLOOKUP(BasisYear,ChemPPI[],14,FALSE))</f>
        <v>1.7304496951219512</v>
      </c>
      <c r="AM178" s="373" t="str">
        <f t="shared" si="2"/>
        <v>$/lb (2016)</v>
      </c>
    </row>
    <row r="179" spans="1:39">
      <c r="A179" s="263" t="s">
        <v>1284</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179" s="372">
        <f>IF(ISTEXT(RawMaterials[[#This Row],[Unit price in quote year]]),"Check calcs",RawMaterials[[#This Row],[Unit price in quote year]]/VLOOKUP(RawMaterials[[#This Row],[Quote Year]],ChemPPI[],14,FALSE)*VLOOKUP(BasisYear,ChemPPI[],14,FALSE))</f>
        <v>0.67299251415008221</v>
      </c>
      <c r="AM179" s="373" t="str">
        <f t="shared" si="2"/>
        <v>$/lb (2016)</v>
      </c>
    </row>
    <row r="180" spans="1:39">
      <c r="A180" s="263" t="s">
        <v>1285</v>
      </c>
      <c r="B180" s="264"/>
      <c r="C180" s="271"/>
      <c r="D180" s="365"/>
      <c r="E180" s="264">
        <v>100</v>
      </c>
      <c r="F180" s="264"/>
      <c r="G180" s="271"/>
      <c r="H180" s="271"/>
      <c r="I180" s="268"/>
      <c r="J180" s="271"/>
      <c r="K180" s="271"/>
      <c r="L180" s="271"/>
      <c r="M180" s="271"/>
      <c r="N180" s="271"/>
      <c r="O180" s="271"/>
      <c r="P180" s="265">
        <v>390</v>
      </c>
      <c r="Q180" s="264">
        <v>1</v>
      </c>
      <c r="R180" s="264" t="s">
        <v>1123</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0.17690102429999999</v>
      </c>
      <c r="AL180" s="372">
        <f>IF(ISTEXT(RawMaterials[[#This Row],[Unit price in quote year]]),"Check calcs",RawMaterials[[#This Row],[Unit price in quote year]]/VLOOKUP(RawMaterials[[#This Row],[Quote Year]],ChemPPI[],14,FALSE)*VLOOKUP(BasisYear,ChemPPI[],14,FALSE))</f>
        <v>0.20704880886849003</v>
      </c>
      <c r="AM180" s="373" t="str">
        <f t="shared" si="2"/>
        <v>$/lb (2016)</v>
      </c>
    </row>
    <row r="181" spans="1:39">
      <c r="A181" s="263" t="s">
        <v>1286</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81" s="372">
        <f>IF(ISTEXT(RawMaterials[[#This Row],[Unit price in quote year]]),"Check calcs",RawMaterials[[#This Row],[Unit price in quote year]]/VLOOKUP(RawMaterials[[#This Row],[Quote Year]],ChemPPI[],14,FALSE)*VLOOKUP(BasisYear,ChemPPI[],14,FALSE))</f>
        <v>0.98398119918699201</v>
      </c>
      <c r="AM181" s="373" t="str">
        <f t="shared" si="2"/>
        <v>$/lb (2016)</v>
      </c>
    </row>
    <row r="182" spans="1:39">
      <c r="A182" s="263" t="s">
        <v>1287</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2" s="372">
        <f>IF(ISTEXT(RawMaterials[[#This Row],[Unit price in quote year]]),"Check calcs",RawMaterials[[#This Row],[Unit price in quote year]]/VLOOKUP(RawMaterials[[#This Row],[Quote Year]],ChemPPI[],14,FALSE)*VLOOKUP(BasisYear,ChemPPI[],14,FALSE))</f>
        <v>0.88219004065040663</v>
      </c>
      <c r="AM182" s="373" t="str">
        <f t="shared" si="2"/>
        <v>$/lb (2016)</v>
      </c>
    </row>
    <row r="183" spans="1:39">
      <c r="A183" s="263" t="s">
        <v>1288</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3" s="372">
        <f>IF(ISTEXT(RawMaterials[[#This Row],[Unit price in quote year]]),"Check calcs",RawMaterials[[#This Row],[Unit price in quote year]]/VLOOKUP(RawMaterials[[#This Row],[Quote Year]],ChemPPI[],14,FALSE)*VLOOKUP(BasisYear,ChemPPI[],14,FALSE))</f>
        <v>0.88219004065040663</v>
      </c>
      <c r="AM183" s="373" t="str">
        <f t="shared" si="2"/>
        <v>$/lb (2016)</v>
      </c>
    </row>
    <row r="184" spans="1:39">
      <c r="A184" s="263" t="s">
        <v>1289</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184" s="372">
        <f>IF(ISTEXT(RawMaterials[[#This Row],[Unit price in quote year]]),"Check calcs",RawMaterials[[#This Row],[Unit price in quote year]]/VLOOKUP(RawMaterials[[#This Row],[Quote Year]],ChemPPI[],14,FALSE)*VLOOKUP(BasisYear,ChemPPI[],14,FALSE))</f>
        <v>0.96362296747967491</v>
      </c>
      <c r="AM184" s="373" t="str">
        <f t="shared" si="2"/>
        <v>$/lb (2016)</v>
      </c>
    </row>
    <row r="185" spans="1:39">
      <c r="A185" s="263" t="s">
        <v>1290</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85" s="372">
        <f>IF(ISTEXT(RawMaterials[[#This Row],[Unit price in quote year]]),"Check calcs",RawMaterials[[#This Row],[Unit price in quote year]]/VLOOKUP(RawMaterials[[#This Row],[Quote Year]],ChemPPI[],14,FALSE)*VLOOKUP(BasisYear,ChemPPI[],14,FALSE))</f>
        <v>0.89537264926054416</v>
      </c>
      <c r="AM185" s="373" t="str">
        <f t="shared" si="2"/>
        <v>$/lb (2016)</v>
      </c>
    </row>
    <row r="186" spans="1:39">
      <c r="A186" s="263" t="s">
        <v>1291</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186" s="372">
        <f>IF(ISTEXT(RawMaterials[[#This Row],[Unit price in quote year]]),"Check calcs",RawMaterials[[#This Row],[Unit price in quote year]]/VLOOKUP(RawMaterials[[#This Row],[Quote Year]],ChemPPI[],14,FALSE)*VLOOKUP(BasisYear,ChemPPI[],14,FALSE))</f>
        <v>0.91612042682926853</v>
      </c>
      <c r="AM186" s="373" t="str">
        <f t="shared" si="2"/>
        <v>$/lb (2016)</v>
      </c>
    </row>
    <row r="187" spans="1:39">
      <c r="A187" s="263" t="s">
        <v>1292</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187" s="372">
        <f>IF(ISTEXT(RawMaterials[[#This Row],[Unit price in quote year]]),"Check calcs",RawMaterials[[#This Row],[Unit price in quote year]]/VLOOKUP(RawMaterials[[#This Row],[Quote Year]],ChemPPI[],14,FALSE)*VLOOKUP(BasisYear,ChemPPI[],14,FALSE))</f>
        <v>0.67884462296877845</v>
      </c>
      <c r="AM187" s="373" t="str">
        <f t="shared" si="2"/>
        <v>$/lb (2016)</v>
      </c>
    </row>
    <row r="188" spans="1:39">
      <c r="A188" s="263" t="s">
        <v>1293</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0.42499999999999999</v>
      </c>
      <c r="AL188" s="372">
        <f>IF(ISTEXT(RawMaterials[[#This Row],[Unit price in quote year]]),"Check calcs",RawMaterials[[#This Row],[Unit price in quote year]]/VLOOKUP(RawMaterials[[#This Row],[Quote Year]],ChemPPI[],14,FALSE)*VLOOKUP(BasisYear,ChemPPI[],14,FALSE))</f>
        <v>0.57681656504065049</v>
      </c>
      <c r="AM188" s="373" t="str">
        <f t="shared" si="2"/>
        <v>$/lb (2016)</v>
      </c>
    </row>
    <row r="189" spans="1:39">
      <c r="A189" s="263" t="s">
        <v>1294</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1.38499999999999</v>
      </c>
      <c r="AL189" s="372">
        <f>IF(ISTEXT(RawMaterials[[#This Row],[Unit price in quote year]]),"Check calcs",RawMaterials[[#This Row],[Unit price in quote year]]/VLOOKUP(RawMaterials[[#This Row],[Quote Year]],ChemPPI[],14,FALSE)*VLOOKUP(BasisYear,ChemPPI[],14,FALSE))</f>
        <v>1.8797433943089299</v>
      </c>
      <c r="AM189" s="373" t="str">
        <f t="shared" si="2"/>
        <v>$/lb (2016)</v>
      </c>
    </row>
    <row r="190" spans="1:39">
      <c r="A190" s="263" t="s">
        <v>1295</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3.4019427750000002</v>
      </c>
      <c r="AL190" s="372">
        <f>IF(ISTEXT(RawMaterials[[#This Row],[Unit price in quote year]]),"Check calcs",RawMaterials[[#This Row],[Unit price in quote year]]/VLOOKUP(RawMaterials[[#This Row],[Quote Year]],ChemPPI[],14,FALSE)*VLOOKUP(BasisYear,ChemPPI[],14,FALSE))</f>
        <v>4.6171692845655503</v>
      </c>
      <c r="AM190" s="373" t="str">
        <f t="shared" si="2"/>
        <v>$/lb (2016)</v>
      </c>
    </row>
    <row r="191" spans="1:39">
      <c r="A191" s="263" t="s">
        <v>1296</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91" s="372">
        <f>IF(ISTEXT(RawMaterials[[#This Row],[Unit price in quote year]]),"Check calcs",RawMaterials[[#This Row],[Unit price in quote year]]/VLOOKUP(RawMaterials[[#This Row],[Quote Year]],ChemPPI[],14,FALSE)*VLOOKUP(BasisYear,ChemPPI[],14,FALSE))</f>
        <v>1.1119006755523098</v>
      </c>
      <c r="AM191" s="373" t="str">
        <f t="shared" si="2"/>
        <v>$/lb (2016)</v>
      </c>
    </row>
    <row r="192" spans="1:39">
      <c r="A192" s="263" t="s">
        <v>1297</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192" s="372">
        <f>IF(ISTEXT(RawMaterials[[#This Row],[Unit price in quote year]]),"Check calcs",RawMaterials[[#This Row],[Unit price in quote year]]/VLOOKUP(RawMaterials[[#This Row],[Quote Year]],ChemPPI[],14,FALSE)*VLOOKUP(BasisYear,ChemPPI[],14,FALSE))</f>
        <v>1.100196457914917</v>
      </c>
      <c r="AM192" s="373" t="str">
        <f t="shared" si="2"/>
        <v>$/lb (2016)</v>
      </c>
    </row>
    <row r="193" spans="1:39">
      <c r="A193" s="263" t="s">
        <v>1298</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193" s="372">
        <f>IF(ISTEXT(RawMaterials[[#This Row],[Unit price in quote year]]),"Check calcs",RawMaterials[[#This Row],[Unit price in quote year]]/VLOOKUP(RawMaterials[[#This Row],[Quote Year]],ChemPPI[],14,FALSE)*VLOOKUP(BasisYear,ChemPPI[],14,FALSE))</f>
        <v>1.2230907431075406</v>
      </c>
      <c r="AM193" s="373" t="str">
        <f t="shared" si="2"/>
        <v>$/lb (2016)</v>
      </c>
    </row>
    <row r="194" spans="1:39">
      <c r="A194" s="263" t="s">
        <v>1299</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0.94499999999999995</v>
      </c>
      <c r="AL194" s="372">
        <f>IF(ISTEXT(RawMaterials[[#This Row],[Unit price in quote year]]),"Check calcs",RawMaterials[[#This Row],[Unit price in quote year]]/VLOOKUP(RawMaterials[[#This Row],[Quote Year]],ChemPPI[],14,FALSE)*VLOOKUP(BasisYear,ChemPPI[],14,FALSE))</f>
        <v>1.1060485667336133</v>
      </c>
      <c r="AM194" s="373" t="str">
        <f t="shared" si="2"/>
        <v>$/lb (2016)</v>
      </c>
    </row>
    <row r="195" spans="1:39">
      <c r="A195" s="263" t="s">
        <v>1300</v>
      </c>
      <c r="B195" s="264"/>
      <c r="C195" s="271"/>
      <c r="D195" s="365"/>
      <c r="E195" s="264">
        <v>100</v>
      </c>
      <c r="F195" s="264"/>
      <c r="G195" s="271"/>
      <c r="H195" s="271"/>
      <c r="I195" s="268"/>
      <c r="J195" s="271"/>
      <c r="K195" s="271"/>
      <c r="L195" s="271"/>
      <c r="M195" s="271"/>
      <c r="N195" s="271"/>
      <c r="O195" s="271"/>
      <c r="P195" s="265">
        <v>16.5</v>
      </c>
      <c r="Q195" s="264">
        <v>1</v>
      </c>
      <c r="R195" s="264" t="s">
        <v>406</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8.2500000000000004E-3</v>
      </c>
      <c r="AL195" s="372">
        <f>IF(ISTEXT(RawMaterials[[#This Row],[Unit price in quote year]]),"Check calcs",RawMaterials[[#This Row],[Unit price in quote year]]/VLOOKUP(RawMaterials[[#This Row],[Quote Year]],ChemPPI[],14,FALSE)*VLOOKUP(BasisYear,ChemPPI[],14,FALSE))</f>
        <v>9.6559795508490056E-3</v>
      </c>
      <c r="AM195" s="373" t="str">
        <f t="shared" si="2"/>
        <v>$/lb (2016)</v>
      </c>
    </row>
    <row r="196" spans="1:39">
      <c r="A196" s="263" t="s">
        <v>1301</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96" s="372">
        <f>IF(ISTEXT(RawMaterials[[#This Row],[Unit price in quote year]]),"Check calcs",RawMaterials[[#This Row],[Unit price in quote year]]/VLOOKUP(RawMaterials[[#This Row],[Quote Year]],ChemPPI[],14,FALSE)*VLOOKUP(BasisYear,ChemPPI[],14,FALSE))</f>
        <v>1.0299711520905606</v>
      </c>
      <c r="AM196" s="373" t="str">
        <f t="shared" si="2"/>
        <v>$/lb (2016)</v>
      </c>
    </row>
    <row r="197" spans="1:39">
      <c r="A197" s="263" t="s">
        <v>1302</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v>
      </c>
      <c r="AL197" s="372">
        <f>IF(ISTEXT(RawMaterials[[#This Row],[Unit price in quote year]]),"Check calcs",RawMaterials[[#This Row],[Unit price in quote year]]/VLOOKUP(RawMaterials[[#This Row],[Quote Year]],ChemPPI[],14,FALSE)*VLOOKUP(BasisYear,ChemPPI[],14,FALSE))</f>
        <v>0.91292897571663334</v>
      </c>
      <c r="AM197" s="373" t="str">
        <f t="shared" si="2"/>
        <v>$/lb (2016)</v>
      </c>
    </row>
    <row r="198" spans="1:39">
      <c r="A198" s="263" t="s">
        <v>1303</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v>
      </c>
      <c r="AL198" s="372">
        <f>IF(ISTEXT(RawMaterials[[#This Row],[Unit price in quote year]]),"Check calcs",RawMaterials[[#This Row],[Unit price in quote year]]/VLOOKUP(RawMaterials[[#This Row],[Quote Year]],ChemPPI[],14,FALSE)*VLOOKUP(BasisYear,ChemPPI[],14,FALSE))</f>
        <v>1.6034778163228045</v>
      </c>
      <c r="AM198" s="373" t="str">
        <f t="shared" si="2"/>
        <v>$/lb (2016)</v>
      </c>
    </row>
    <row r="199" spans="1:39">
      <c r="A199" s="263" t="s">
        <v>1304</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325.5</v>
      </c>
      <c r="AL199" s="372">
        <f>IF(ISTEXT(RawMaterials[[#This Row],[Unit price in quote year]]),"Check calcs",RawMaterials[[#This Row],[Unit price in quote year]]/VLOOKUP(RawMaterials[[#This Row],[Quote Year]],ChemPPI[],14,FALSE)*VLOOKUP(BasisYear,ChemPPI[],14,FALSE))</f>
        <v>441.77362804878055</v>
      </c>
      <c r="AM199" s="373" t="str">
        <f t="shared" si="2"/>
        <v>$/lb (2016)</v>
      </c>
    </row>
    <row r="200" spans="1:39">
      <c r="A200" s="263" t="s">
        <v>1305</v>
      </c>
      <c r="B200" s="264"/>
      <c r="C200" s="271"/>
      <c r="D200" s="365"/>
      <c r="E200" s="264">
        <v>100</v>
      </c>
      <c r="F200" s="264"/>
      <c r="G200" s="271"/>
      <c r="H200" s="271"/>
      <c r="I200" s="268"/>
      <c r="J200" s="271"/>
      <c r="K200" s="271"/>
      <c r="L200" s="271"/>
      <c r="M200" s="271"/>
      <c r="N200" s="271"/>
      <c r="O200" s="271"/>
      <c r="P200" s="265">
        <v>2.5</v>
      </c>
      <c r="Q200" s="264">
        <v>1</v>
      </c>
      <c r="R200" s="264" t="s">
        <v>406</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1.25E-3</v>
      </c>
      <c r="AL200" s="372">
        <f>IF(ISTEXT(RawMaterials[[#This Row],[Unit price in quote year]]),"Check calcs",RawMaterials[[#This Row],[Unit price in quote year]]/VLOOKUP(RawMaterials[[#This Row],[Quote Year]],ChemPPI[],14,FALSE)*VLOOKUP(BasisYear,ChemPPI[],14,FALSE))</f>
        <v>1.6965193089430897E-3</v>
      </c>
      <c r="AM200" s="373" t="str">
        <f t="shared" si="2"/>
        <v>$/lb (2016)</v>
      </c>
    </row>
    <row r="201" spans="1:39">
      <c r="A201" s="263" t="s">
        <v>1306</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v>
      </c>
      <c r="AL201" s="372">
        <f>IF(ISTEXT(RawMaterials[[#This Row],[Unit price in quote year]]),"Check calcs",RawMaterials[[#This Row],[Unit price in quote year]]/VLOOKUP(RawMaterials[[#This Row],[Quote Year]],ChemPPI[],14,FALSE)*VLOOKUP(BasisYear,ChemPPI[],14,FALSE))</f>
        <v>225.29776422764232</v>
      </c>
      <c r="AM201" s="373" t="str">
        <f t="shared" si="2"/>
        <v>$/lb (2016)</v>
      </c>
    </row>
    <row r="202" spans="1:39">
      <c r="A202" s="263" t="s">
        <v>1307</v>
      </c>
      <c r="B202" s="264"/>
      <c r="C202" s="271"/>
      <c r="D202" s="365"/>
      <c r="E202" s="264">
        <v>100</v>
      </c>
      <c r="F202" s="264"/>
      <c r="G202" s="271"/>
      <c r="H202" s="271"/>
      <c r="I202" s="268"/>
      <c r="J202" s="271"/>
      <c r="K202" s="271"/>
      <c r="L202" s="271"/>
      <c r="M202" s="271"/>
      <c r="N202" s="271"/>
      <c r="O202" s="271"/>
      <c r="P202" s="265">
        <v>12.5</v>
      </c>
      <c r="Q202" s="264">
        <v>1</v>
      </c>
      <c r="R202" s="264" t="s">
        <v>406</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6.2500000000000003E-3</v>
      </c>
      <c r="AL202" s="372">
        <f>IF(ISTEXT(RawMaterials[[#This Row],[Unit price in quote year]]),"Check calcs",RawMaterials[[#This Row],[Unit price in quote year]]/VLOOKUP(RawMaterials[[#This Row],[Quote Year]],ChemPPI[],14,FALSE)*VLOOKUP(BasisYear,ChemPPI[],14,FALSE))</f>
        <v>8.4825965447154483E-3</v>
      </c>
      <c r="AM202" s="373" t="str">
        <f t="shared" si="2"/>
        <v>$/lb (2016)</v>
      </c>
    </row>
    <row r="203" spans="1:39">
      <c r="A203" s="263" t="s">
        <v>1308</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203" s="372">
        <f>IF(ISTEXT(RawMaterials[[#This Row],[Unit price in quote year]]),"Check calcs",RawMaterials[[#This Row],[Unit price in quote year]]/VLOOKUP(RawMaterials[[#This Row],[Quote Year]],ChemPPI[],14,FALSE)*VLOOKUP(BasisYear,ChemPPI[],14,FALSE))</f>
        <v>0.74646849593495956</v>
      </c>
      <c r="AM203" s="373" t="str">
        <f t="shared" si="2"/>
        <v>$/lb (2016)</v>
      </c>
    </row>
    <row r="204" spans="1:39">
      <c r="A204" s="263" t="s">
        <v>1309</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4" s="372">
        <f>IF(ISTEXT(RawMaterials[[#This Row],[Unit price in quote year]]),"Check calcs",RawMaterials[[#This Row],[Unit price in quote year]]/VLOOKUP(RawMaterials[[#This Row],[Quote Year]],ChemPPI[],14,FALSE)*VLOOKUP(BasisYear,ChemPPI[],14,FALSE))</f>
        <v>0.2850152439024391</v>
      </c>
      <c r="AM204" s="373" t="str">
        <f t="shared" si="2"/>
        <v>$/lb (2016)</v>
      </c>
    </row>
    <row r="205" spans="1:39">
      <c r="A205" s="263" t="s">
        <v>1310</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5" s="372">
        <f>IF(ISTEXT(RawMaterials[[#This Row],[Unit price in quote year]]),"Check calcs",RawMaterials[[#This Row],[Unit price in quote year]]/VLOOKUP(RawMaterials[[#This Row],[Quote Year]],ChemPPI[],14,FALSE)*VLOOKUP(BasisYear,ChemPPI[],14,FALSE))</f>
        <v>0.2850152439024391</v>
      </c>
      <c r="AM205" s="373" t="str">
        <f t="shared" si="2"/>
        <v>$/lb (2016)</v>
      </c>
    </row>
    <row r="206" spans="1:39">
      <c r="A206" s="263" t="s">
        <v>1311</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6" s="372">
        <f>IF(ISTEXT(RawMaterials[[#This Row],[Unit price in quote year]]),"Check calcs",RawMaterials[[#This Row],[Unit price in quote year]]/VLOOKUP(RawMaterials[[#This Row],[Quote Year]],ChemPPI[],14,FALSE)*VLOOKUP(BasisYear,ChemPPI[],14,FALSE))</f>
        <v>0.2850152439024391</v>
      </c>
      <c r="AM206" s="373" t="str">
        <f t="shared" si="2"/>
        <v>$/lb (2016)</v>
      </c>
    </row>
    <row r="207" spans="1:39">
      <c r="A207" s="263" t="s">
        <v>1312</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207" s="372">
        <f>IF(ISTEXT(RawMaterials[[#This Row],[Unit price in quote year]]),"Check calcs",RawMaterials[[#This Row],[Unit price in quote year]]/VLOOKUP(RawMaterials[[#This Row],[Quote Year]],ChemPPI[],14,FALSE)*VLOOKUP(BasisYear,ChemPPI[],14,FALSE))</f>
        <v>1.1332748983739838</v>
      </c>
      <c r="AM207" s="373" t="str">
        <f t="shared" si="2"/>
        <v>$/lb (2016)</v>
      </c>
    </row>
    <row r="208" spans="1:39">
      <c r="A208" s="263" t="s">
        <v>1313</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208" s="372">
        <f>IF(ISTEXT(RawMaterials[[#This Row],[Unit price in quote year]]),"Check calcs",RawMaterials[[#This Row],[Unit price in quote year]]/VLOOKUP(RawMaterials[[#This Row],[Quote Year]],ChemPPI[],14,FALSE)*VLOOKUP(BasisYear,ChemPPI[],14,FALSE))</f>
        <v>3.7323424796747973</v>
      </c>
      <c r="AM208" s="373" t="str">
        <f t="shared" ref="AM208:AM271" si="3">CurrencySymbol&amp;"/"&amp;OutMassUnit&amp;" ("&amp;BasisYear&amp;")"</f>
        <v>$/lb (2016)</v>
      </c>
    </row>
    <row r="209" spans="1:39">
      <c r="A209" s="263" t="s">
        <v>1314</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2.95</v>
      </c>
      <c r="AL209" s="372">
        <f>IF(ISTEXT(RawMaterials[[#This Row],[Unit price in quote year]]),"Check calcs",RawMaterials[[#This Row],[Unit price in quote year]]/VLOOKUP(RawMaterials[[#This Row],[Quote Year]],ChemPPI[],14,FALSE)*VLOOKUP(BasisYear,ChemPPI[],14,FALSE))</f>
        <v>4.0037855691056921</v>
      </c>
      <c r="AM209" s="373" t="str">
        <f t="shared" si="3"/>
        <v>$/lb (2016)</v>
      </c>
    </row>
    <row r="210" spans="1:39">
      <c r="A210" s="263" t="s">
        <v>1315</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3.0249999999999999</v>
      </c>
      <c r="AL210" s="372">
        <f>IF(ISTEXT(RawMaterials[[#This Row],[Unit price in quote year]]),"Check calcs",RawMaterials[[#This Row],[Unit price in quote year]]/VLOOKUP(RawMaterials[[#This Row],[Quote Year]],ChemPPI[],14,FALSE)*VLOOKUP(BasisYear,ChemPPI[],14,FALSE))</f>
        <v>4.1055767276422772</v>
      </c>
      <c r="AM210" s="373" t="str">
        <f t="shared" si="3"/>
        <v>$/lb (2016)</v>
      </c>
    </row>
    <row r="211" spans="1:39">
      <c r="A211" s="263" t="s">
        <v>1316</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v>
      </c>
      <c r="AL211" s="372">
        <f>IF(ISTEXT(RawMaterials[[#This Row],[Unit price in quote year]]),"Check calcs",RawMaterials[[#This Row],[Unit price in quote year]]/VLOOKUP(RawMaterials[[#This Row],[Quote Year]],ChemPPI[],14,FALSE)*VLOOKUP(BasisYear,ChemPPI[],14,FALSE))</f>
        <v>4.2073678861788624</v>
      </c>
      <c r="AM211" s="373" t="str">
        <f t="shared" si="3"/>
        <v>$/lb (2016)</v>
      </c>
    </row>
    <row r="212" spans="1:39">
      <c r="A212" s="263" t="s">
        <v>1317</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212" s="372">
        <f>IF(ISTEXT(RawMaterials[[#This Row],[Unit price in quote year]]),"Check calcs",RawMaterials[[#This Row],[Unit price in quote year]]/VLOOKUP(RawMaterials[[#This Row],[Quote Year]],ChemPPI[],14,FALSE)*VLOOKUP(BasisYear,ChemPPI[],14,FALSE))</f>
        <v>4.3430894308943095</v>
      </c>
      <c r="AM212" s="373" t="str">
        <f t="shared" si="3"/>
        <v>$/lb (2016)</v>
      </c>
    </row>
    <row r="213" spans="1:39">
      <c r="A213" s="263" t="s">
        <v>1318</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3.45</v>
      </c>
      <c r="AL213" s="372">
        <f>IF(ISTEXT(RawMaterials[[#This Row],[Unit price in quote year]]),"Check calcs",RawMaterials[[#This Row],[Unit price in quote year]]/VLOOKUP(RawMaterials[[#This Row],[Quote Year]],ChemPPI[],14,FALSE)*VLOOKUP(BasisYear,ChemPPI[],14,FALSE))</f>
        <v>4.6823932926829279</v>
      </c>
      <c r="AM213" s="373" t="str">
        <f t="shared" si="3"/>
        <v>$/lb (2016)</v>
      </c>
    </row>
    <row r="214" spans="1:39">
      <c r="A214" s="263" t="s">
        <v>1319</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3.8499999999999899</v>
      </c>
      <c r="AL214" s="372">
        <f>IF(ISTEXT(RawMaterials[[#This Row],[Unit price in quote year]]),"Check calcs",RawMaterials[[#This Row],[Unit price in quote year]]/VLOOKUP(RawMaterials[[#This Row],[Quote Year]],ChemPPI[],14,FALSE)*VLOOKUP(BasisYear,ChemPPI[],14,FALSE))</f>
        <v>5.2252794715447024</v>
      </c>
      <c r="AM214" s="373" t="str">
        <f t="shared" si="3"/>
        <v>$/lb (2016)</v>
      </c>
    </row>
    <row r="215" spans="1:39">
      <c r="A215" s="263" t="s">
        <v>1320</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4.1749999999999998</v>
      </c>
      <c r="AL215" s="372">
        <f>IF(ISTEXT(RawMaterials[[#This Row],[Unit price in quote year]]),"Check calcs",RawMaterials[[#This Row],[Unit price in quote year]]/VLOOKUP(RawMaterials[[#This Row],[Quote Year]],ChemPPI[],14,FALSE)*VLOOKUP(BasisYear,ChemPPI[],14,FALSE))</f>
        <v>5.6663744918699201</v>
      </c>
      <c r="AM215" s="373" t="str">
        <f t="shared" si="3"/>
        <v>$/lb (2016)</v>
      </c>
    </row>
    <row r="216" spans="1:39">
      <c r="A216" s="263" t="s">
        <v>1321</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2.9483504050000002</v>
      </c>
      <c r="AL216" s="372">
        <f>IF(ISTEXT(RawMaterials[[#This Row],[Unit price in quote year]]),"Check calcs",RawMaterials[[#This Row],[Unit price in quote year]]/VLOOKUP(RawMaterials[[#This Row],[Quote Year]],ChemPPI[],14,FALSE)*VLOOKUP(BasisYear,ChemPPI[],14,FALSE))</f>
        <v>4.0015467132901437</v>
      </c>
      <c r="AM216" s="373" t="str">
        <f t="shared" si="3"/>
        <v>$/lb (2016)</v>
      </c>
    </row>
    <row r="217" spans="1:39">
      <c r="A217" s="263" t="s">
        <v>1322</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17" s="372">
        <f>IF(ISTEXT(RawMaterials[[#This Row],[Unit price in quote year]]),"Check calcs",RawMaterials[[#This Row],[Unit price in quote year]]/VLOOKUP(RawMaterials[[#This Row],[Quote Year]],ChemPPI[],14,FALSE)*VLOOKUP(BasisYear,ChemPPI[],14,FALSE))</f>
        <v>0.61074695121951228</v>
      </c>
      <c r="AM217" s="373" t="str">
        <f t="shared" si="3"/>
        <v>$/lb (2016)</v>
      </c>
    </row>
    <row r="218" spans="1:39">
      <c r="A218" s="263" t="s">
        <v>1323</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0.52749999999999997</v>
      </c>
      <c r="AL218" s="372">
        <f>IF(ISTEXT(RawMaterials[[#This Row],[Unit price in quote year]]),"Check calcs",RawMaterials[[#This Row],[Unit price in quote year]]/VLOOKUP(RawMaterials[[#This Row],[Quote Year]],ChemPPI[],14,FALSE)*VLOOKUP(BasisYear,ChemPPI[],14,FALSE))</f>
        <v>0.71593114837398375</v>
      </c>
      <c r="AM218" s="373" t="str">
        <f t="shared" si="3"/>
        <v>$/lb (2016)</v>
      </c>
    </row>
    <row r="219" spans="1:39">
      <c r="A219" s="263" t="s">
        <v>1324</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219" s="372">
        <f>IF(ISTEXT(RawMaterials[[#This Row],[Unit price in quote year]]),"Check calcs",RawMaterials[[#This Row],[Unit price in quote year]]/VLOOKUP(RawMaterials[[#This Row],[Quote Year]],ChemPPI[],14,FALSE)*VLOOKUP(BasisYear,ChemPPI[],14,FALSE))</f>
        <v>1.2230907431075406</v>
      </c>
      <c r="AM219" s="373" t="str">
        <f t="shared" si="3"/>
        <v>$/lb (2016)</v>
      </c>
    </row>
    <row r="220" spans="1:39">
      <c r="A220" s="263" t="s">
        <v>1325</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20" s="372">
        <f>IF(ISTEXT(RawMaterials[[#This Row],[Unit price in quote year]]),"Check calcs",RawMaterials[[#This Row],[Unit price in quote year]]/VLOOKUP(RawMaterials[[#This Row],[Quote Year]],ChemPPI[],14,FALSE)*VLOOKUP(BasisYear,ChemPPI[],14,FALSE))</f>
        <v>0.87781632280445498</v>
      </c>
      <c r="AM220" s="373" t="str">
        <f t="shared" si="3"/>
        <v>$/lb (2016)</v>
      </c>
    </row>
    <row r="221" spans="1:39">
      <c r="A221" s="263" t="s">
        <v>1326</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v>
      </c>
      <c r="AL221" s="372">
        <f>IF(ISTEXT(RawMaterials[[#This Row],[Unit price in quote year]]),"Check calcs",RawMaterials[[#This Row],[Unit price in quote year]]/VLOOKUP(RawMaterials[[#This Row],[Quote Year]],ChemPPI[],14,FALSE)*VLOOKUP(BasisYear,ChemPPI[],14,FALSE))</f>
        <v>1.053379587365346</v>
      </c>
      <c r="AM221" s="373" t="str">
        <f t="shared" si="3"/>
        <v>$/lb (2016)</v>
      </c>
    </row>
    <row r="222" spans="1:39">
      <c r="A222" s="263" t="s">
        <v>1327</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v>
      </c>
      <c r="AL222" s="372">
        <f>IF(ISTEXT(RawMaterials[[#This Row],[Unit price in quote year]]),"Check calcs",RawMaterials[[#This Row],[Unit price in quote year]]/VLOOKUP(RawMaterials[[#This Row],[Quote Year]],ChemPPI[],14,FALSE)*VLOOKUP(BasisYear,ChemPPI[],14,FALSE))</f>
        <v>0.88952054044184781</v>
      </c>
      <c r="AM222" s="373" t="str">
        <f t="shared" si="3"/>
        <v>$/lb (2016)</v>
      </c>
    </row>
    <row r="223" spans="1:39">
      <c r="A223" s="263" t="s">
        <v>1328</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223" s="372">
        <f>IF(ISTEXT(RawMaterials[[#This Row],[Unit price in quote year]]),"Check calcs",RawMaterials[[#This Row],[Unit price in quote year]]/VLOOKUP(RawMaterials[[#This Row],[Quote Year]],ChemPPI[],14,FALSE)*VLOOKUP(BasisYear,ChemPPI[],14,FALSE))</f>
        <v>1.0943443490962206</v>
      </c>
      <c r="AM223" s="373" t="str">
        <f t="shared" si="3"/>
        <v>$/lb (2016)</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1105</v>
      </c>
      <c r="U224" s="382">
        <v>43339</v>
      </c>
      <c r="V224" s="269" t="s">
        <v>1716</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17511.666666666668</v>
      </c>
      <c r="AL224" s="372">
        <f>IF(ISTEXT(RawMaterials[[#This Row],[Unit price in quote year]]),"Check calcs",RawMaterials[[#This Row],[Unit price in quote year]]/VLOOKUP(RawMaterials[[#This Row],[Quote Year]],ChemPPI[],14,FALSE)*VLOOKUP(BasisYear,ChemPPI[],14,FALSE))</f>
        <v>16270.231552339874</v>
      </c>
      <c r="AM224" s="373" t="str">
        <f t="shared" si="3"/>
        <v>$/lb (2016)</v>
      </c>
    </row>
    <row r="225" spans="1:39">
      <c r="A225" s="263" t="s">
        <v>1329</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225" s="372">
        <f>IF(ISTEXT(RawMaterials[[#This Row],[Unit price in quote year]]),"Check calcs",RawMaterials[[#This Row],[Unit price in quote year]]/VLOOKUP(RawMaterials[[#This Row],[Quote Year]],ChemPPI[],14,FALSE)*VLOOKUP(BasisYear,ChemPPI[],14,FALSE))</f>
        <v>0.34152370804475229</v>
      </c>
      <c r="AM225" s="373" t="str">
        <f t="shared" si="3"/>
        <v>$/lb (2016)</v>
      </c>
    </row>
    <row r="226" spans="1:39">
      <c r="A226" s="263" t="s">
        <v>1330</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26" s="372">
        <f>IF(ISTEXT(RawMaterials[[#This Row],[Unit price in quote year]]),"Check calcs",RawMaterials[[#This Row],[Unit price in quote year]]/VLOOKUP(RawMaterials[[#This Row],[Quote Year]],ChemPPI[],14,FALSE)*VLOOKUP(BasisYear,ChemPPI[],14,FALSE))</f>
        <v>0.42033687143969511</v>
      </c>
      <c r="AM226" s="373" t="str">
        <f t="shared" si="3"/>
        <v>$/lb (2016)</v>
      </c>
    </row>
    <row r="227" spans="1:39">
      <c r="A227" s="263" t="s">
        <v>1331</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7" s="372">
        <f>IF(ISTEXT(RawMaterials[[#This Row],[Unit price in quote year]]),"Check calcs",RawMaterials[[#This Row],[Unit price in quote year]]/VLOOKUP(RawMaterials[[#This Row],[Quote Year]],ChemPPI[],14,FALSE)*VLOOKUP(BasisYear,ChemPPI[],14,FALSE))</f>
        <v>0.33881307944129901</v>
      </c>
      <c r="AM227" s="373" t="str">
        <f t="shared" si="3"/>
        <v>$/lb (2016)</v>
      </c>
    </row>
    <row r="228" spans="1:39">
      <c r="A228" s="263" t="s">
        <v>1332</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8" s="372">
        <f>IF(ISTEXT(RawMaterials[[#This Row],[Unit price in quote year]]),"Check calcs",RawMaterials[[#This Row],[Unit price in quote year]]/VLOOKUP(RawMaterials[[#This Row],[Quote Year]],ChemPPI[],14,FALSE)*VLOOKUP(BasisYear,ChemPPI[],14,FALSE))</f>
        <v>0.33881307944129901</v>
      </c>
      <c r="AM228" s="373" t="str">
        <f t="shared" si="3"/>
        <v>$/lb (2016)</v>
      </c>
    </row>
    <row r="229" spans="1:39">
      <c r="A229" s="263" t="s">
        <v>1333</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29" s="372">
        <f>IF(ISTEXT(RawMaterials[[#This Row],[Unit price in quote year]]),"Check calcs",RawMaterials[[#This Row],[Unit price in quote year]]/VLOOKUP(RawMaterials[[#This Row],[Quote Year]],ChemPPI[],14,FALSE)*VLOOKUP(BasisYear,ChemPPI[],14,FALSE))</f>
        <v>0.29049988612860284</v>
      </c>
      <c r="AM229" s="373" t="str">
        <f t="shared" si="3"/>
        <v>$/lb (2016)</v>
      </c>
    </row>
    <row r="230" spans="1:39">
      <c r="A230" s="263" t="s">
        <v>1334</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30" s="372">
        <f>IF(ISTEXT(RawMaterials[[#This Row],[Unit price in quote year]]),"Check calcs",RawMaterials[[#This Row],[Unit price in quote year]]/VLOOKUP(RawMaterials[[#This Row],[Quote Year]],ChemPPI[],14,FALSE)*VLOOKUP(BasisYear,ChemPPI[],14,FALSE))</f>
        <v>0.29049988612860284</v>
      </c>
      <c r="AM230" s="373" t="str">
        <f t="shared" si="3"/>
        <v>$/lb (2016)</v>
      </c>
    </row>
    <row r="231" spans="1:39">
      <c r="A231" s="263" t="s">
        <v>1335</v>
      </c>
      <c r="B231" s="264"/>
      <c r="C231" s="271"/>
      <c r="D231" s="365"/>
      <c r="E231" s="264">
        <v>100</v>
      </c>
      <c r="F231" s="264"/>
      <c r="G231" s="271"/>
      <c r="H231" s="271"/>
      <c r="I231" s="268"/>
      <c r="J231" s="271"/>
      <c r="K231" s="271"/>
      <c r="L231" s="271"/>
      <c r="M231" s="271"/>
      <c r="N231" s="271"/>
      <c r="O231" s="271"/>
      <c r="P231" s="265">
        <v>85.43</v>
      </c>
      <c r="Q231" s="264">
        <v>1</v>
      </c>
      <c r="R231" s="264" t="s">
        <v>1123</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3.8750396169100004E-2</v>
      </c>
      <c r="AL231" s="372">
        <f>IF(ISTEXT(RawMaterials[[#This Row],[Unit price in quote year]]),"Check calcs",RawMaterials[[#This Row],[Unit price in quote year]]/VLOOKUP(RawMaterials[[#This Row],[Quote Year]],ChemPPI[],14,FALSE)*VLOOKUP(BasisYear,ChemPPI[],14,FALSE))</f>
        <v>5.0900688414900759E-2</v>
      </c>
      <c r="AM231" s="373" t="str">
        <f t="shared" si="3"/>
        <v>$/lb (2016)</v>
      </c>
    </row>
    <row r="232" spans="1:39">
      <c r="A232" s="263" t="s">
        <v>1336</v>
      </c>
      <c r="B232" s="264"/>
      <c r="C232" s="271"/>
      <c r="D232" s="365"/>
      <c r="E232" s="264">
        <v>100</v>
      </c>
      <c r="F232" s="264"/>
      <c r="G232" s="271"/>
      <c r="H232" s="271"/>
      <c r="I232" s="268"/>
      <c r="J232" s="271"/>
      <c r="K232" s="271"/>
      <c r="L232" s="271"/>
      <c r="M232" s="271"/>
      <c r="N232" s="271"/>
      <c r="O232" s="271"/>
      <c r="P232" s="265">
        <v>93.7</v>
      </c>
      <c r="Q232" s="264">
        <v>1</v>
      </c>
      <c r="R232" s="264" t="s">
        <v>1123</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4.2501605068999998E-2</v>
      </c>
      <c r="AL232" s="372">
        <f>IF(ISTEXT(RawMaterials[[#This Row],[Unit price in quote year]]),"Check calcs",RawMaterials[[#This Row],[Unit price in quote year]]/VLOOKUP(RawMaterials[[#This Row],[Quote Year]],ChemPPI[],14,FALSE)*VLOOKUP(BasisYear,ChemPPI[],14,FALSE))</f>
        <v>5.5828099080840458E-2</v>
      </c>
      <c r="AM232" s="373" t="str">
        <f t="shared" si="3"/>
        <v>$/lb (2016)</v>
      </c>
    </row>
    <row r="233" spans="1:39">
      <c r="A233" s="263" t="s">
        <v>1337</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0.25750000000000001</v>
      </c>
      <c r="AL233" s="372">
        <f>IF(ISTEXT(RawMaterials[[#This Row],[Unit price in quote year]]),"Check calcs",RawMaterials[[#This Row],[Unit price in quote year]]/VLOOKUP(RawMaterials[[#This Row],[Quote Year]],ChemPPI[],14,FALSE)*VLOOKUP(BasisYear,ChemPPI[],14,FALSE))</f>
        <v>0.34948297764227654</v>
      </c>
      <c r="AM233" s="373" t="str">
        <f t="shared" si="3"/>
        <v>$/lb (2016)</v>
      </c>
    </row>
    <row r="234" spans="1:39">
      <c r="A234" s="263" t="s">
        <v>1338</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34" s="372">
        <f>IF(ISTEXT(RawMaterials[[#This Row],[Unit price in quote year]]),"Check calcs",RawMaterials[[#This Row],[Unit price in quote year]]/VLOOKUP(RawMaterials[[#This Row],[Quote Year]],ChemPPI[],14,FALSE)*VLOOKUP(BasisYear,ChemPPI[],14,FALSE))</f>
        <v>0.71932418699187006</v>
      </c>
      <c r="AM234" s="373" t="str">
        <f t="shared" si="3"/>
        <v>$/lb (2016)</v>
      </c>
    </row>
    <row r="235" spans="1:39">
      <c r="A235" s="263" t="s">
        <v>1339</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35" s="372">
        <f>IF(ISTEXT(RawMaterials[[#This Row],[Unit price in quote year]]),"Check calcs",RawMaterials[[#This Row],[Unit price in quote year]]/VLOOKUP(RawMaterials[[#This Row],[Quote Year]],ChemPPI[],14,FALSE)*VLOOKUP(BasisYear,ChemPPI[],14,FALSE))</f>
        <v>0.67182164634146346</v>
      </c>
      <c r="AM235" s="373" t="str">
        <f t="shared" si="3"/>
        <v>$/lb (2016)</v>
      </c>
    </row>
    <row r="236" spans="1:39">
      <c r="A236" s="263" t="s">
        <v>1340</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0.35625000000000001</v>
      </c>
      <c r="AL236" s="372">
        <f>IF(ISTEXT(RawMaterials[[#This Row],[Unit price in quote year]]),"Check calcs",RawMaterials[[#This Row],[Unit price in quote year]]/VLOOKUP(RawMaterials[[#This Row],[Quote Year]],ChemPPI[],14,FALSE)*VLOOKUP(BasisYear,ChemPPI[],14,FALSE))</f>
        <v>0.48350800304878061</v>
      </c>
      <c r="AM236" s="373" t="str">
        <f t="shared" si="3"/>
        <v>$/lb (2016)</v>
      </c>
    </row>
    <row r="237" spans="1:39">
      <c r="A237" s="263" t="s">
        <v>1341</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237" s="372">
        <f>IF(ISTEXT(RawMaterials[[#This Row],[Unit price in quote year]]),"Check calcs",RawMaterials[[#This Row],[Unit price in quote year]]/VLOOKUP(RawMaterials[[#This Row],[Quote Year]],ChemPPI[],14,FALSE)*VLOOKUP(BasisYear,ChemPPI[],14,FALSE))</f>
        <v>0.64807037601626027</v>
      </c>
      <c r="AM237" s="373" t="str">
        <f t="shared" si="3"/>
        <v>$/lb (2016)</v>
      </c>
    </row>
    <row r="238" spans="1:39">
      <c r="A238" s="263" t="s">
        <v>1342</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38" s="372">
        <f>IF(ISTEXT(RawMaterials[[#This Row],[Unit price in quote year]]),"Check calcs",RawMaterials[[#This Row],[Unit price in quote year]]/VLOOKUP(RawMaterials[[#This Row],[Quote Year]],ChemPPI[],14,FALSE)*VLOOKUP(BasisYear,ChemPPI[],14,FALSE))</f>
        <v>14.159319139334352</v>
      </c>
      <c r="AM238" s="373" t="str">
        <f t="shared" si="3"/>
        <v>$/lb (2016)</v>
      </c>
    </row>
    <row r="239" spans="1:39">
      <c r="A239" s="263" t="s">
        <v>1343</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10.886216880000001</v>
      </c>
      <c r="AL239" s="372">
        <f>IF(ISTEXT(RawMaterials[[#This Row],[Unit price in quote year]]),"Check calcs",RawMaterials[[#This Row],[Unit price in quote year]]/VLOOKUP(RawMaterials[[#This Row],[Quote Year]],ChemPPI[],14,FALSE)*VLOOKUP(BasisYear,ChemPPI[],14,FALSE))</f>
        <v>14.77494171060976</v>
      </c>
      <c r="AM239" s="373" t="str">
        <f t="shared" si="3"/>
        <v>$/lb (2016)</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1105</v>
      </c>
      <c r="U240" s="382">
        <v>43339</v>
      </c>
      <c r="V240" s="269" t="s">
        <v>1716</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21000.000000000004</v>
      </c>
      <c r="AL240" s="372">
        <f>IF(ISTEXT(RawMaterials[[#This Row],[Unit price in quote year]]),"Check calcs",RawMaterials[[#This Row],[Unit price in quote year]]/VLOOKUP(RawMaterials[[#This Row],[Quote Year]],ChemPPI[],14,FALSE)*VLOOKUP(BasisYear,ChemPPI[],14,FALSE))</f>
        <v>19511.270349241691</v>
      </c>
      <c r="AM240" s="373" t="str">
        <f t="shared" si="3"/>
        <v>$/lb (2016)</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406</v>
      </c>
      <c r="S241" s="379">
        <v>2018</v>
      </c>
      <c r="T241" s="266" t="s">
        <v>1718</v>
      </c>
      <c r="U241" s="382">
        <v>43367</v>
      </c>
      <c r="V241" s="269" t="s">
        <v>1716</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4.7500000000000001E-2</v>
      </c>
      <c r="AL241" s="372">
        <f>IF(ISTEXT(RawMaterials[[#This Row],[Unit price in quote year]]),"Check calcs",RawMaterials[[#This Row],[Unit price in quote year]]/VLOOKUP(RawMaterials[[#This Row],[Quote Year]],ChemPPI[],14,FALSE)*VLOOKUP(BasisYear,ChemPPI[],14,FALSE))</f>
        <v>4.4132635313760958E-2</v>
      </c>
      <c r="AM241" s="373" t="str">
        <f t="shared" si="3"/>
        <v>$/lb (2016)</v>
      </c>
    </row>
    <row r="242" spans="1:39">
      <c r="A242" s="263" t="s">
        <v>1344</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242" s="372">
        <f>IF(ISTEXT(RawMaterials[[#This Row],[Unit price in quote year]]),"Check calcs",RawMaterials[[#This Row],[Unit price in quote year]]/VLOOKUP(RawMaterials[[#This Row],[Quote Year]],ChemPPI[],14,FALSE)*VLOOKUP(BasisYear,ChemPPI[],14,FALSE))</f>
        <v>1.2757825203252036</v>
      </c>
      <c r="AM242" s="373" t="str">
        <f t="shared" si="3"/>
        <v>$/lb (2016)</v>
      </c>
    </row>
    <row r="243" spans="1:39">
      <c r="A243" s="263" t="s">
        <v>1345</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243" s="372">
        <f>IF(ISTEXT(RawMaterials[[#This Row],[Unit price in quote year]]),"Check calcs",RawMaterials[[#This Row],[Unit price in quote year]]/VLOOKUP(RawMaterials[[#This Row],[Quote Year]],ChemPPI[],14,FALSE)*VLOOKUP(BasisYear,ChemPPI[],14,FALSE))</f>
        <v>0.85504573170731724</v>
      </c>
      <c r="AM243" s="373" t="str">
        <f t="shared" si="3"/>
        <v>$/lb (2016)</v>
      </c>
    </row>
    <row r="244" spans="1:39">
      <c r="A244" s="263" t="s">
        <v>1346</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244" s="372">
        <f>IF(ISTEXT(RawMaterials[[#This Row],[Unit price in quote year]]),"Check calcs",RawMaterials[[#This Row],[Unit price in quote year]]/VLOOKUP(RawMaterials[[#This Row],[Quote Year]],ChemPPI[],14,FALSE)*VLOOKUP(BasisYear,ChemPPI[],14,FALSE))</f>
        <v>1.3029268292682927</v>
      </c>
      <c r="AM244" s="373" t="str">
        <f t="shared" si="3"/>
        <v>$/lb (2016)</v>
      </c>
    </row>
    <row r="245" spans="1:39">
      <c r="A245" s="263" t="s">
        <v>1347</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0.55249999999999999</v>
      </c>
      <c r="AL245" s="372">
        <f>IF(ISTEXT(RawMaterials[[#This Row],[Unit price in quote year]]),"Check calcs",RawMaterials[[#This Row],[Unit price in quote year]]/VLOOKUP(RawMaterials[[#This Row],[Quote Year]],ChemPPI[],14,FALSE)*VLOOKUP(BasisYear,ChemPPI[],14,FALSE))</f>
        <v>0.74986153455284565</v>
      </c>
      <c r="AM245" s="373" t="str">
        <f t="shared" si="3"/>
        <v>$/lb (2016)</v>
      </c>
    </row>
    <row r="246" spans="1:39">
      <c r="A246" s="263" t="s">
        <v>1348</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v>
      </c>
      <c r="AL246" s="372">
        <f>IF(ISTEXT(RawMaterials[[#This Row],[Unit price in quote year]]),"Check calcs",RawMaterials[[#This Row],[Unit price in quote year]]/VLOOKUP(RawMaterials[[#This Row],[Quote Year]],ChemPPI[],14,FALSE)*VLOOKUP(BasisYear,ChemPPI[],14,FALSE))</f>
        <v>1.4115040650406507</v>
      </c>
      <c r="AM246" s="373" t="str">
        <f t="shared" si="3"/>
        <v>$/lb (2016)</v>
      </c>
    </row>
    <row r="247" spans="1:39">
      <c r="A247" s="263" t="s">
        <v>1349</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47" s="372">
        <f>IF(ISTEXT(RawMaterials[[#This Row],[Unit price in quote year]]),"Check calcs",RawMaterials[[#This Row],[Unit price in quote year]]/VLOOKUP(RawMaterials[[#This Row],[Quote Year]],ChemPPI[],14,FALSE)*VLOOKUP(BasisYear,ChemPPI[],14,FALSE))</f>
        <v>0.84825965447154483</v>
      </c>
      <c r="AM247" s="373" t="str">
        <f t="shared" si="3"/>
        <v>$/lb (2016)</v>
      </c>
    </row>
    <row r="248" spans="1:39">
      <c r="A248" s="263" t="s">
        <v>1350</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48" s="372">
        <f>IF(ISTEXT(RawMaterials[[#This Row],[Unit price in quote year]]),"Check calcs",RawMaterials[[#This Row],[Unit price in quote year]]/VLOOKUP(RawMaterials[[#This Row],[Quote Year]],ChemPPI[],14,FALSE)*VLOOKUP(BasisYear,ChemPPI[],14,FALSE))</f>
        <v>0.43430894308943097</v>
      </c>
      <c r="AM248" s="373" t="str">
        <f t="shared" si="3"/>
        <v>$/lb (2016)</v>
      </c>
    </row>
    <row r="249" spans="1:39">
      <c r="A249" s="263" t="s">
        <v>1351</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49" s="372">
        <f>IF(ISTEXT(RawMaterials[[#This Row],[Unit price in quote year]]),"Check calcs",RawMaterials[[#This Row],[Unit price in quote year]]/VLOOKUP(RawMaterials[[#This Row],[Quote Year]],ChemPPI[],14,FALSE)*VLOOKUP(BasisYear,ChemPPI[],14,FALSE))</f>
        <v>0.98900639035968607</v>
      </c>
      <c r="AM249" s="373" t="str">
        <f t="shared" si="3"/>
        <v>$/lb (2016)</v>
      </c>
    </row>
    <row r="250" spans="1:39">
      <c r="A250" s="263" t="s">
        <v>1352</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250" s="372">
        <f>IF(ISTEXT(RawMaterials[[#This Row],[Unit price in quote year]]),"Check calcs",RawMaterials[[#This Row],[Unit price in quote year]]/VLOOKUP(RawMaterials[[#This Row],[Quote Year]],ChemPPI[],14,FALSE)*VLOOKUP(BasisYear,ChemPPI[],14,FALSE))</f>
        <v>0.74321781997443859</v>
      </c>
      <c r="AM250" s="373" t="str">
        <f t="shared" si="3"/>
        <v>$/lb (2016)</v>
      </c>
    </row>
    <row r="251" spans="1:39">
      <c r="A251" s="263" t="s">
        <v>1353</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251" s="372">
        <f>IF(ISTEXT(RawMaterials[[#This Row],[Unit price in quote year]]),"Check calcs",RawMaterials[[#This Row],[Unit price in quote year]]/VLOOKUP(RawMaterials[[#This Row],[Quote Year]],ChemPPI[],14,FALSE)*VLOOKUP(BasisYear,ChemPPI[],14,FALSE))</f>
        <v>0.76662625524922401</v>
      </c>
      <c r="AM251" s="373" t="str">
        <f t="shared" si="3"/>
        <v>$/lb (2016)</v>
      </c>
    </row>
    <row r="252" spans="1:39">
      <c r="A252" s="263" t="s">
        <v>1354</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v>
      </c>
      <c r="AL252" s="372">
        <f>IF(ISTEXT(RawMaterials[[#This Row],[Unit price in quote year]]),"Check calcs",RawMaterials[[#This Row],[Unit price in quote year]]/VLOOKUP(RawMaterials[[#This Row],[Quote Year]],ChemPPI[],14,FALSE)*VLOOKUP(BasisYear,ChemPPI[],14,FALSE))</f>
        <v>0.62431910569105709</v>
      </c>
      <c r="AM252" s="373" t="str">
        <f t="shared" si="3"/>
        <v>$/lb (2016)</v>
      </c>
    </row>
    <row r="253" spans="1:39">
      <c r="A253" s="263" t="s">
        <v>1355</v>
      </c>
      <c r="B253" s="264"/>
      <c r="C253" s="271"/>
      <c r="D253" s="365"/>
      <c r="E253" s="264">
        <v>100</v>
      </c>
      <c r="F253" s="264"/>
      <c r="G253" s="271"/>
      <c r="H253" s="271"/>
      <c r="I253" s="268"/>
      <c r="J253" s="271"/>
      <c r="K253" s="271"/>
      <c r="L253" s="271"/>
      <c r="M253" s="271"/>
      <c r="N253" s="271"/>
      <c r="O253" s="271"/>
      <c r="P253" s="265">
        <v>265</v>
      </c>
      <c r="Q253" s="264">
        <v>1</v>
      </c>
      <c r="R253" s="264" t="s">
        <v>406</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253" s="372">
        <f>IF(ISTEXT(RawMaterials[[#This Row],[Unit price in quote year]]),"Check calcs",RawMaterials[[#This Row],[Unit price in quote year]]/VLOOKUP(RawMaterials[[#This Row],[Quote Year]],ChemPPI[],14,FALSE)*VLOOKUP(BasisYear,ChemPPI[],14,FALSE))</f>
        <v>0.17983104674796752</v>
      </c>
      <c r="AM253" s="373" t="str">
        <f t="shared" si="3"/>
        <v>$/lb (2016)</v>
      </c>
    </row>
    <row r="254" spans="1:39">
      <c r="A254" s="263" t="s">
        <v>1356</v>
      </c>
      <c r="B254" s="264"/>
      <c r="C254" s="271"/>
      <c r="D254" s="365"/>
      <c r="E254" s="264">
        <v>100</v>
      </c>
      <c r="F254" s="264"/>
      <c r="G254" s="271"/>
      <c r="H254" s="271"/>
      <c r="I254" s="268"/>
      <c r="J254" s="271"/>
      <c r="K254" s="271"/>
      <c r="L254" s="271"/>
      <c r="M254" s="271"/>
      <c r="N254" s="271"/>
      <c r="O254" s="271"/>
      <c r="P254" s="265">
        <v>117.5</v>
      </c>
      <c r="Q254" s="264">
        <v>1</v>
      </c>
      <c r="R254" s="264" t="s">
        <v>406</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5.8749999999999997E-2</v>
      </c>
      <c r="AL254" s="372">
        <f>IF(ISTEXT(RawMaterials[[#This Row],[Unit price in quote year]]),"Check calcs",RawMaterials[[#This Row],[Unit price in quote year]]/VLOOKUP(RawMaterials[[#This Row],[Quote Year]],ChemPPI[],14,FALSE)*VLOOKUP(BasisYear,ChemPPI[],14,FALSE))</f>
        <v>7.9736407520325223E-2</v>
      </c>
      <c r="AM254" s="373" t="str">
        <f t="shared" si="3"/>
        <v>$/lb (2016)</v>
      </c>
    </row>
    <row r="255" spans="1:39">
      <c r="A255" s="263" t="s">
        <v>1357</v>
      </c>
      <c r="B255" s="264"/>
      <c r="C255" s="271"/>
      <c r="D255" s="365"/>
      <c r="E255" s="264">
        <v>100</v>
      </c>
      <c r="F255" s="264"/>
      <c r="G255" s="271"/>
      <c r="H255" s="271"/>
      <c r="I255" s="268"/>
      <c r="J255" s="271"/>
      <c r="K255" s="271"/>
      <c r="L255" s="271"/>
      <c r="M255" s="271"/>
      <c r="N255" s="271"/>
      <c r="O255" s="271"/>
      <c r="P255" s="265">
        <v>17.100000000000001</v>
      </c>
      <c r="Q255" s="264">
        <v>1</v>
      </c>
      <c r="R255" s="264" t="s">
        <v>406</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8.5500000000000003E-3</v>
      </c>
      <c r="AL255" s="372">
        <f>IF(ISTEXT(RawMaterials[[#This Row],[Unit price in quote year]]),"Check calcs",RawMaterials[[#This Row],[Unit price in quote year]]/VLOOKUP(RawMaterials[[#This Row],[Quote Year]],ChemPPI[],14,FALSE)*VLOOKUP(BasisYear,ChemPPI[],14,FALSE))</f>
        <v>1.1604192073170734E-2</v>
      </c>
      <c r="AM255" s="373" t="str">
        <f t="shared" si="3"/>
        <v>$/lb (2016)</v>
      </c>
    </row>
    <row r="256" spans="1:39">
      <c r="A256" s="263" t="s">
        <v>1358</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v>
      </c>
      <c r="AL256" s="372">
        <f>IF(ISTEXT(RawMaterials[[#This Row],[Unit price in quote year]]),"Check calcs",RawMaterials[[#This Row],[Unit price in quote year]]/VLOOKUP(RawMaterials[[#This Row],[Quote Year]],ChemPPI[],14,FALSE)*VLOOKUP(BasisYear,ChemPPI[],14,FALSE))</f>
        <v>2.931585365853659</v>
      </c>
      <c r="AM256" s="373" t="str">
        <f t="shared" si="3"/>
        <v>$/lb (2016)</v>
      </c>
    </row>
    <row r="257" spans="1:39">
      <c r="A257" s="263" t="s">
        <v>1359</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4.0823313300000006</v>
      </c>
      <c r="AL257" s="372">
        <f>IF(ISTEXT(RawMaterials[[#This Row],[Unit price in quote year]]),"Check calcs",RawMaterials[[#This Row],[Unit price in quote year]]/VLOOKUP(RawMaterials[[#This Row],[Quote Year]],ChemPPI[],14,FALSE)*VLOOKUP(BasisYear,ChemPPI[],14,FALSE))</f>
        <v>5.5406031414786598</v>
      </c>
      <c r="AM257" s="373" t="str">
        <f t="shared" si="3"/>
        <v>$/lb (2016)</v>
      </c>
    </row>
    <row r="258" spans="1:39">
      <c r="A258" s="263" t="s">
        <v>1360</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21.545637575000001</v>
      </c>
      <c r="AL258" s="372">
        <f>IF(ISTEXT(RawMaterials[[#This Row],[Unit price in quote year]]),"Check calcs",RawMaterials[[#This Row],[Unit price in quote year]]/VLOOKUP(RawMaterials[[#This Row],[Quote Year]],ChemPPI[],14,FALSE)*VLOOKUP(BasisYear,ChemPPI[],14,FALSE))</f>
        <v>29.242072135581815</v>
      </c>
      <c r="AM258" s="373" t="str">
        <f t="shared" si="3"/>
        <v>$/lb (2016)</v>
      </c>
    </row>
    <row r="259" spans="1:39">
      <c r="A259" s="263" t="s">
        <v>1361</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22.6796185</v>
      </c>
      <c r="AL259" s="372">
        <f>IF(ISTEXT(RawMaterials[[#This Row],[Unit price in quote year]]),"Check calcs",RawMaterials[[#This Row],[Unit price in quote year]]/VLOOKUP(RawMaterials[[#This Row],[Quote Year]],ChemPPI[],14,FALSE)*VLOOKUP(BasisYear,ChemPPI[],14,FALSE))</f>
        <v>30.781128563770331</v>
      </c>
      <c r="AM259" s="373" t="str">
        <f t="shared" si="3"/>
        <v>$/lb (2016)</v>
      </c>
    </row>
    <row r="260" spans="1:39">
      <c r="A260" s="263" t="s">
        <v>1362</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60" s="372">
        <f>IF(ISTEXT(RawMaterials[[#This Row],[Unit price in quote year]]),"Check calcs",RawMaterials[[#This Row],[Unit price in quote year]]/VLOOKUP(RawMaterials[[#This Row],[Quote Year]],ChemPPI[],14,FALSE)*VLOOKUP(BasisYear,ChemPPI[],14,FALSE))</f>
        <v>0.84825965447154483</v>
      </c>
      <c r="AM260" s="373" t="str">
        <f t="shared" si="3"/>
        <v>$/lb (2016)</v>
      </c>
    </row>
    <row r="261" spans="1:39">
      <c r="A261" s="263" t="s">
        <v>1363</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61" s="372">
        <f>IF(ISTEXT(RawMaterials[[#This Row],[Unit price in quote year]]),"Check calcs",RawMaterials[[#This Row],[Unit price in quote year]]/VLOOKUP(RawMaterials[[#This Row],[Quote Year]],ChemPPI[],14,FALSE)*VLOOKUP(BasisYear,ChemPPI[],14,FALSE))</f>
        <v>1.0179115853658538</v>
      </c>
      <c r="AM261" s="373" t="str">
        <f t="shared" si="3"/>
        <v>$/lb (2016)</v>
      </c>
    </row>
    <row r="262" spans="1:39">
      <c r="A262" s="263" t="s">
        <v>1364</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262" s="372">
        <f>IF(ISTEXT(RawMaterials[[#This Row],[Unit price in quote year]]),"Check calcs",RawMaterials[[#This Row],[Unit price in quote year]]/VLOOKUP(RawMaterials[[#This Row],[Quote Year]],ChemPPI[],14,FALSE)*VLOOKUP(BasisYear,ChemPPI[],14,FALSE))</f>
        <v>1.0654141260162591</v>
      </c>
      <c r="AM262" s="373" t="str">
        <f t="shared" si="3"/>
        <v>$/lb (2016)</v>
      </c>
    </row>
    <row r="263" spans="1:39">
      <c r="A263" s="263" t="s">
        <v>1365</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263" s="372">
        <f>IF(ISTEXT(RawMaterials[[#This Row],[Unit price in quote year]]),"Check calcs",RawMaterials[[#This Row],[Unit price in quote year]]/VLOOKUP(RawMaterials[[#This Row],[Quote Year]],ChemPPI[],14,FALSE)*VLOOKUP(BasisYear,ChemPPI[],14,FALSE))</f>
        <v>0.33930386178861799</v>
      </c>
      <c r="AM263" s="373" t="str">
        <f t="shared" si="3"/>
        <v>$/lb (2016)</v>
      </c>
    </row>
    <row r="264" spans="1:39">
      <c r="A264" s="263" t="s">
        <v>1366</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v>
      </c>
      <c r="AL264" s="372">
        <f>IF(ISTEXT(RawMaterials[[#This Row],[Unit price in quote year]]),"Check calcs",RawMaterials[[#This Row],[Unit price in quote year]]/VLOOKUP(RawMaterials[[#This Row],[Quote Year]],ChemPPI[],14,FALSE)*VLOOKUP(BasisYear,ChemPPI[],14,FALSE))</f>
        <v>0.84147357723577243</v>
      </c>
      <c r="AM264" s="373" t="str">
        <f t="shared" si="3"/>
        <v>$/lb (2016)</v>
      </c>
    </row>
    <row r="265" spans="1:39">
      <c r="A265" s="263" t="s">
        <v>1367</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265" s="372">
        <f>IF(ISTEXT(RawMaterials[[#This Row],[Unit price in quote year]]),"Check calcs",RawMaterials[[#This Row],[Unit price in quote year]]/VLOOKUP(RawMaterials[[#This Row],[Quote Year]],ChemPPI[],14,FALSE)*VLOOKUP(BasisYear,ChemPPI[],14,FALSE))</f>
        <v>0.81432926829268304</v>
      </c>
      <c r="AM265" s="373" t="str">
        <f t="shared" si="3"/>
        <v>$/lb (2016)</v>
      </c>
    </row>
    <row r="266" spans="1:39">
      <c r="A266" s="263" t="s">
        <v>1368</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0.40625</v>
      </c>
      <c r="AL266" s="372">
        <f>IF(ISTEXT(RawMaterials[[#This Row],[Unit price in quote year]]),"Check calcs",RawMaterials[[#This Row],[Unit price in quote year]]/VLOOKUP(RawMaterials[[#This Row],[Quote Year]],ChemPPI[],14,FALSE)*VLOOKUP(BasisYear,ChemPPI[],14,FALSE))</f>
        <v>0.5336307938199254</v>
      </c>
      <c r="AM266" s="373" t="str">
        <f t="shared" si="3"/>
        <v>$/lb (2016)</v>
      </c>
    </row>
    <row r="267" spans="1:39">
      <c r="A267" s="263" t="s">
        <v>1369</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267" s="372">
        <f>IF(ISTEXT(RawMaterials[[#This Row],[Unit price in quote year]]),"Check calcs",RawMaterials[[#This Row],[Unit price in quote year]]/VLOOKUP(RawMaterials[[#This Row],[Quote Year]],ChemPPI[],14,FALSE)*VLOOKUP(BasisYear,ChemPPI[],14,FALSE))</f>
        <v>0.92969258130081323</v>
      </c>
      <c r="AM267" s="373" t="str">
        <f t="shared" si="3"/>
        <v>$/lb (2016)</v>
      </c>
    </row>
    <row r="268" spans="1:39">
      <c r="A268" s="263" t="s">
        <v>1370</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0.65999999999999903</v>
      </c>
      <c r="AL268" s="372">
        <f>IF(ISTEXT(RawMaterials[[#This Row],[Unit price in quote year]]),"Check calcs",RawMaterials[[#This Row],[Unit price in quote year]]/VLOOKUP(RawMaterials[[#This Row],[Quote Year]],ChemPPI[],14,FALSE)*VLOOKUP(BasisYear,ChemPPI[],14,FALSE))</f>
        <v>0.89576219512194999</v>
      </c>
      <c r="AM268" s="373" t="str">
        <f t="shared" si="3"/>
        <v>$/lb (2016)</v>
      </c>
    </row>
    <row r="269" spans="1:39">
      <c r="A269" s="263" t="s">
        <v>1371</v>
      </c>
      <c r="B269" s="264"/>
      <c r="C269" s="271"/>
      <c r="D269" s="365"/>
      <c r="E269" s="264">
        <v>100</v>
      </c>
      <c r="F269" s="264"/>
      <c r="G269" s="271"/>
      <c r="H269" s="271"/>
      <c r="I269" s="268"/>
      <c r="J269" s="271"/>
      <c r="K269" s="271"/>
      <c r="L269" s="271"/>
      <c r="M269" s="271"/>
      <c r="N269" s="271"/>
      <c r="O269" s="271"/>
      <c r="P269" s="265">
        <v>70</v>
      </c>
      <c r="Q269" s="264">
        <v>1</v>
      </c>
      <c r="R269" s="264" t="s">
        <v>406</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3.5000000000000003E-2</v>
      </c>
      <c r="AL269" s="372">
        <f>IF(ISTEXT(RawMaterials[[#This Row],[Unit price in quote year]]),"Check calcs",RawMaterials[[#This Row],[Unit price in quote year]]/VLOOKUP(RawMaterials[[#This Row],[Quote Year]],ChemPPI[],14,FALSE)*VLOOKUP(BasisYear,ChemPPI[],14,FALSE))</f>
        <v>4.7502540650406516E-2</v>
      </c>
      <c r="AM269" s="373" t="str">
        <f t="shared" si="3"/>
        <v>$/lb (2016)</v>
      </c>
    </row>
    <row r="270" spans="1:39">
      <c r="A270" s="263" t="s">
        <v>1372</v>
      </c>
      <c r="B270" s="264"/>
      <c r="C270" s="271"/>
      <c r="D270" s="365"/>
      <c r="E270" s="264">
        <v>100</v>
      </c>
      <c r="F270" s="264"/>
      <c r="G270" s="271"/>
      <c r="H270" s="271"/>
      <c r="I270" s="268"/>
      <c r="J270" s="271"/>
      <c r="K270" s="271"/>
      <c r="L270" s="271"/>
      <c r="M270" s="271"/>
      <c r="N270" s="271"/>
      <c r="O270" s="271"/>
      <c r="P270" s="265">
        <v>61</v>
      </c>
      <c r="Q270" s="264">
        <v>1</v>
      </c>
      <c r="R270" s="264" t="s">
        <v>406</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3.0499999999999999E-2</v>
      </c>
      <c r="AL270" s="372">
        <f>IF(ISTEXT(RawMaterials[[#This Row],[Unit price in quote year]]),"Check calcs",RawMaterials[[#This Row],[Unit price in quote year]]/VLOOKUP(RawMaterials[[#This Row],[Quote Year]],ChemPPI[],14,FALSE)*VLOOKUP(BasisYear,ChemPPI[],14,FALSE))</f>
        <v>4.1395071138211392E-2</v>
      </c>
      <c r="AM270" s="373" t="str">
        <f t="shared" si="3"/>
        <v>$/lb (2016)</v>
      </c>
    </row>
    <row r="271" spans="1:39">
      <c r="A271" s="263" t="s">
        <v>1373</v>
      </c>
      <c r="B271" s="264"/>
      <c r="C271" s="271"/>
      <c r="D271" s="365"/>
      <c r="E271" s="264">
        <v>100</v>
      </c>
      <c r="F271" s="264"/>
      <c r="G271" s="271"/>
      <c r="H271" s="271"/>
      <c r="I271" s="268"/>
      <c r="J271" s="271"/>
      <c r="K271" s="271"/>
      <c r="L271" s="271"/>
      <c r="M271" s="271"/>
      <c r="N271" s="271"/>
      <c r="O271" s="271"/>
      <c r="P271" s="265">
        <v>69.5</v>
      </c>
      <c r="Q271" s="264">
        <v>1</v>
      </c>
      <c r="R271" s="264" t="s">
        <v>406</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3.4750000000000003E-2</v>
      </c>
      <c r="AL271" s="372">
        <f>IF(ISTEXT(RawMaterials[[#This Row],[Unit price in quote year]]),"Check calcs",RawMaterials[[#This Row],[Unit price in quote year]]/VLOOKUP(RawMaterials[[#This Row],[Quote Year]],ChemPPI[],14,FALSE)*VLOOKUP(BasisYear,ChemPPI[],14,FALSE))</f>
        <v>4.7163236788617897E-2</v>
      </c>
      <c r="AM271" s="373" t="str">
        <f t="shared" si="3"/>
        <v>$/lb (2016)</v>
      </c>
    </row>
    <row r="272" spans="1:39">
      <c r="A272" s="263" t="s">
        <v>1374</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272" s="372">
        <f>IF(ISTEXT(RawMaterials[[#This Row],[Unit price in quote year]]),"Check calcs",RawMaterials[[#This Row],[Unit price in quote year]]/VLOOKUP(RawMaterials[[#This Row],[Quote Year]],ChemPPI[],14,FALSE)*VLOOKUP(BasisYear,ChemPPI[],14,FALSE))</f>
        <v>0.63789126016260178</v>
      </c>
      <c r="AM272" s="373" t="str">
        <f t="shared" ref="AM272:AM335" si="4">CurrencySymbol&amp;"/"&amp;OutMassUnit&amp;" ("&amp;BasisYear&amp;")"</f>
        <v>$/lb (2016)</v>
      </c>
    </row>
    <row r="273" spans="1:39">
      <c r="A273" s="263" t="s">
        <v>1375</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73" s="372">
        <f>IF(ISTEXT(RawMaterials[[#This Row],[Unit price in quote year]]),"Check calcs",RawMaterials[[#This Row],[Unit price in quote year]]/VLOOKUP(RawMaterials[[#This Row],[Quote Year]],ChemPPI[],14,FALSE)*VLOOKUP(BasisYear,ChemPPI[],14,FALSE))</f>
        <v>0.71253810975609766</v>
      </c>
      <c r="AM273" s="373" t="str">
        <f t="shared" si="4"/>
        <v>$/lb (2016)</v>
      </c>
    </row>
    <row r="274" spans="1:39">
      <c r="A274" s="263" t="s">
        <v>1376</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274" s="372">
        <f>IF(ISTEXT(RawMaterials[[#This Row],[Unit price in quote year]]),"Check calcs",RawMaterials[[#This Row],[Unit price in quote year]]/VLOOKUP(RawMaterials[[#This Row],[Quote Year]],ChemPPI[],14,FALSE)*VLOOKUP(BasisYear,ChemPPI[],14,FALSE))</f>
        <v>0.64364083439203323</v>
      </c>
      <c r="AM274" s="373" t="str">
        <f t="shared" si="4"/>
        <v>$/lb (2016)</v>
      </c>
    </row>
    <row r="275" spans="1:39">
      <c r="A275" s="263" t="s">
        <v>1377</v>
      </c>
      <c r="B275" s="264"/>
      <c r="C275" s="271"/>
      <c r="D275" s="365"/>
      <c r="E275" s="264">
        <v>100</v>
      </c>
      <c r="F275" s="264"/>
      <c r="G275" s="271"/>
      <c r="H275" s="271"/>
      <c r="I275" s="268"/>
      <c r="J275" s="271"/>
      <c r="K275" s="271"/>
      <c r="L275" s="271"/>
      <c r="M275" s="271"/>
      <c r="N275" s="271"/>
      <c r="O275" s="271"/>
      <c r="P275" s="265">
        <v>137.5</v>
      </c>
      <c r="Q275" s="264">
        <v>1</v>
      </c>
      <c r="R275" s="264" t="s">
        <v>406</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6.8750000000000006E-2</v>
      </c>
      <c r="AL275" s="372">
        <f>IF(ISTEXT(RawMaterials[[#This Row],[Unit price in quote year]]),"Check calcs",RawMaterials[[#This Row],[Unit price in quote year]]/VLOOKUP(RawMaterials[[#This Row],[Quote Year]],ChemPPI[],14,FALSE)*VLOOKUP(BasisYear,ChemPPI[],14,FALSE))</f>
        <v>9.3308561991869945E-2</v>
      </c>
      <c r="AM275" s="373" t="str">
        <f t="shared" si="4"/>
        <v>$/lb (2016)</v>
      </c>
    </row>
    <row r="276" spans="1:39">
      <c r="A276" s="263" t="s">
        <v>1378</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76" s="372">
        <f>IF(ISTEXT(RawMaterials[[#This Row],[Unit price in quote year]]),"Check calcs",RawMaterials[[#This Row],[Unit price in quote year]]/VLOOKUP(RawMaterials[[#This Row],[Quote Year]],ChemPPI[],14,FALSE)*VLOOKUP(BasisYear,ChemPPI[],14,FALSE))</f>
        <v>14.159319139334352</v>
      </c>
      <c r="AM276" s="373" t="str">
        <f t="shared" si="4"/>
        <v>$/lb (2016)</v>
      </c>
    </row>
    <row r="277" spans="1:39">
      <c r="A277" s="263" t="s">
        <v>1379</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7.1770478287366251</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0.18391963262593439</v>
      </c>
      <c r="AL277" s="372">
        <f>IF(ISTEXT(RawMaterials[[#This Row],[Unit price in quote year]]),"Check calcs",RawMaterials[[#This Row],[Unit price in quote year]]/VLOOKUP(RawMaterials[[#This Row],[Quote Year]],ChemPPI[],14,FALSE)*VLOOKUP(BasisYear,ChemPPI[],14,FALSE))</f>
        <v>0.24961856643489372</v>
      </c>
      <c r="AM277" s="373" t="str">
        <f t="shared" si="4"/>
        <v>$/lb (2016)</v>
      </c>
    </row>
    <row r="278" spans="1:39">
      <c r="A278" s="263" t="s">
        <v>1380</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0.13874999999999901</v>
      </c>
      <c r="AL278" s="372">
        <f>IF(ISTEXT(RawMaterials[[#This Row],[Unit price in quote year]]),"Check calcs",RawMaterials[[#This Row],[Unit price in quote year]]/VLOOKUP(RawMaterials[[#This Row],[Quote Year]],ChemPPI[],14,FALSE)*VLOOKUP(BasisYear,ChemPPI[],14,FALSE))</f>
        <v>0.18831364329268163</v>
      </c>
      <c r="AM278" s="373" t="str">
        <f t="shared" si="4"/>
        <v>$/lb (2016)</v>
      </c>
    </row>
    <row r="279" spans="1:39">
      <c r="A279" s="263" t="s">
        <v>1381</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0.14499999999999999</v>
      </c>
      <c r="AL279" s="372">
        <f>IF(ISTEXT(RawMaterials[[#This Row],[Unit price in quote year]]),"Check calcs",RawMaterials[[#This Row],[Unit price in quote year]]/VLOOKUP(RawMaterials[[#This Row],[Quote Year]],ChemPPI[],14,FALSE)*VLOOKUP(BasisYear,ChemPPI[],14,FALSE))</f>
        <v>0.19679623983739841</v>
      </c>
      <c r="AM279" s="373" t="str">
        <f t="shared" si="4"/>
        <v>$/lb (2016)</v>
      </c>
    </row>
    <row r="280" spans="1:39">
      <c r="A280" s="263" t="s">
        <v>1382</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v>
      </c>
      <c r="AL280" s="372">
        <f>IF(ISTEXT(RawMaterials[[#This Row],[Unit price in quote year]]),"Check calcs",RawMaterials[[#This Row],[Unit price in quote year]]/VLOOKUP(RawMaterials[[#This Row],[Quote Year]],ChemPPI[],14,FALSE)*VLOOKUP(BasisYear,ChemPPI[],14,FALSE))</f>
        <v>5.7681656504065053</v>
      </c>
      <c r="AM280" s="373" t="str">
        <f t="shared" si="4"/>
        <v>$/lb (2016)</v>
      </c>
    </row>
    <row r="281" spans="1:39">
      <c r="A281" s="263" t="s">
        <v>1383</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81" s="372">
        <f>IF(ISTEXT(RawMaterials[[#This Row],[Unit price in quote year]]),"Check calcs",RawMaterials[[#This Row],[Unit price in quote year]]/VLOOKUP(RawMaterials[[#This Row],[Quote Year]],ChemPPI[],14,FALSE)*VLOOKUP(BasisYear,ChemPPI[],14,FALSE))</f>
        <v>0.61074695121951228</v>
      </c>
      <c r="AM281" s="373" t="str">
        <f t="shared" si="4"/>
        <v>$/lb (2016)</v>
      </c>
    </row>
    <row r="282" spans="1:39">
      <c r="A282" s="263" t="s">
        <v>1384</v>
      </c>
      <c r="B282" s="264"/>
      <c r="C282" s="271"/>
      <c r="D282" s="365"/>
      <c r="E282" s="264">
        <v>100</v>
      </c>
      <c r="F282" s="264"/>
      <c r="G282" s="271"/>
      <c r="H282" s="271"/>
      <c r="I282" s="268"/>
      <c r="J282" s="271"/>
      <c r="K282" s="271"/>
      <c r="L282" s="271"/>
      <c r="M282" s="271"/>
      <c r="N282" s="271"/>
      <c r="O282" s="271"/>
      <c r="P282" s="265">
        <v>244</v>
      </c>
      <c r="Q282" s="264">
        <v>1</v>
      </c>
      <c r="R282" s="264" t="s">
        <v>406</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v>
      </c>
      <c r="AL282" s="372">
        <f>IF(ISTEXT(RawMaterials[[#This Row],[Unit price in quote year]]),"Check calcs",RawMaterials[[#This Row],[Unit price in quote year]]/VLOOKUP(RawMaterials[[#This Row],[Quote Year]],ChemPPI[],14,FALSE)*VLOOKUP(BasisYear,ChemPPI[],14,FALSE))</f>
        <v>0.16558028455284557</v>
      </c>
      <c r="AM282" s="373" t="str">
        <f t="shared" si="4"/>
        <v>$/lb (2016)</v>
      </c>
    </row>
    <row r="283" spans="1:39">
      <c r="A283" s="263" t="s">
        <v>1385</v>
      </c>
      <c r="B283" s="264"/>
      <c r="C283" s="271"/>
      <c r="D283" s="365"/>
      <c r="E283" s="264">
        <v>100</v>
      </c>
      <c r="F283" s="264"/>
      <c r="G283" s="271"/>
      <c r="H283" s="271"/>
      <c r="I283" s="268"/>
      <c r="J283" s="271"/>
      <c r="K283" s="271"/>
      <c r="L283" s="271"/>
      <c r="M283" s="271"/>
      <c r="N283" s="271"/>
      <c r="O283" s="271"/>
      <c r="P283" s="265">
        <v>370</v>
      </c>
      <c r="Q283" s="264">
        <v>1</v>
      </c>
      <c r="R283" s="264" t="s">
        <v>406</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3" s="372">
        <f>IF(ISTEXT(RawMaterials[[#This Row],[Unit price in quote year]]),"Check calcs",RawMaterials[[#This Row],[Unit price in quote year]]/VLOOKUP(RawMaterials[[#This Row],[Quote Year]],ChemPPI[],14,FALSE)*VLOOKUP(BasisYear,ChemPPI[],14,FALSE))</f>
        <v>0.25108485772357725</v>
      </c>
      <c r="AM283" s="373" t="str">
        <f t="shared" si="4"/>
        <v>$/lb (2016)</v>
      </c>
    </row>
    <row r="284" spans="1:39">
      <c r="A284" s="263" t="s">
        <v>1386</v>
      </c>
      <c r="B284" s="264"/>
      <c r="C284" s="271"/>
      <c r="D284" s="365"/>
      <c r="E284" s="264">
        <v>100</v>
      </c>
      <c r="F284" s="264"/>
      <c r="G284" s="271"/>
      <c r="H284" s="271"/>
      <c r="I284" s="268"/>
      <c r="J284" s="271"/>
      <c r="K284" s="271"/>
      <c r="L284" s="271"/>
      <c r="M284" s="271"/>
      <c r="N284" s="271"/>
      <c r="O284" s="271"/>
      <c r="P284" s="265">
        <v>490</v>
      </c>
      <c r="Q284" s="264">
        <v>1</v>
      </c>
      <c r="R284" s="264" t="s">
        <v>406</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0.245</v>
      </c>
      <c r="AL284" s="372">
        <f>IF(ISTEXT(RawMaterials[[#This Row],[Unit price in quote year]]),"Check calcs",RawMaterials[[#This Row],[Unit price in quote year]]/VLOOKUP(RawMaterials[[#This Row],[Quote Year]],ChemPPI[],14,FALSE)*VLOOKUP(BasisYear,ChemPPI[],14,FALSE))</f>
        <v>0.33251778455284559</v>
      </c>
      <c r="AM284" s="373" t="str">
        <f t="shared" si="4"/>
        <v>$/lb (2016)</v>
      </c>
    </row>
    <row r="285" spans="1:39">
      <c r="A285" s="263" t="s">
        <v>1387</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0.19750000000000001</v>
      </c>
      <c r="AL285" s="372">
        <f>IF(ISTEXT(RawMaterials[[#This Row],[Unit price in quote year]]),"Check calcs",RawMaterials[[#This Row],[Unit price in quote year]]/VLOOKUP(RawMaterials[[#This Row],[Quote Year]],ChemPPI[],14,FALSE)*VLOOKUP(BasisYear,ChemPPI[],14,FALSE))</f>
        <v>0.2680500508130082</v>
      </c>
      <c r="AM285" s="373" t="str">
        <f t="shared" si="4"/>
        <v>$/lb (2016)</v>
      </c>
    </row>
    <row r="286" spans="1:39">
      <c r="A286" s="263" t="s">
        <v>1388</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6" s="372">
        <f>IF(ISTEXT(RawMaterials[[#This Row],[Unit price in quote year]]),"Check calcs",RawMaterials[[#This Row],[Unit price in quote year]]/VLOOKUP(RawMaterials[[#This Row],[Quote Year]],ChemPPI[],14,FALSE)*VLOOKUP(BasisYear,ChemPPI[],14,FALSE))</f>
        <v>0.2442987804878049</v>
      </c>
      <c r="AM286" s="373" t="str">
        <f t="shared" si="4"/>
        <v>$/lb (2016)</v>
      </c>
    </row>
    <row r="287" spans="1:39">
      <c r="A287" s="263" t="s">
        <v>1389</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0.19500000000000001</v>
      </c>
      <c r="AL287" s="372">
        <f>IF(ISTEXT(RawMaterials[[#This Row],[Unit price in quote year]]),"Check calcs",RawMaterials[[#This Row],[Unit price in quote year]]/VLOOKUP(RawMaterials[[#This Row],[Quote Year]],ChemPPI[],14,FALSE)*VLOOKUP(BasisYear,ChemPPI[],14,FALSE))</f>
        <v>0.264657012195122</v>
      </c>
      <c r="AM287" s="373" t="str">
        <f t="shared" si="4"/>
        <v>$/lb (2016)</v>
      </c>
    </row>
    <row r="288" spans="1:39">
      <c r="A288" s="263" t="s">
        <v>1390</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8" s="372">
        <f>IF(ISTEXT(RawMaterials[[#This Row],[Unit price in quote year]]),"Check calcs",RawMaterials[[#This Row],[Unit price in quote year]]/VLOOKUP(RawMaterials[[#This Row],[Quote Year]],ChemPPI[],14,FALSE)*VLOOKUP(BasisYear,ChemPPI[],14,FALSE))</f>
        <v>0.2442987804878049</v>
      </c>
      <c r="AM288" s="373" t="str">
        <f t="shared" si="4"/>
        <v>$/lb (2016)</v>
      </c>
    </row>
    <row r="289" spans="1:39">
      <c r="A289" s="263" t="s">
        <v>1391</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9" s="372">
        <f>IF(ISTEXT(RawMaterials[[#This Row],[Unit price in quote year]]),"Check calcs",RawMaterials[[#This Row],[Unit price in quote year]]/VLOOKUP(RawMaterials[[#This Row],[Quote Year]],ChemPPI[],14,FALSE)*VLOOKUP(BasisYear,ChemPPI[],14,FALSE))</f>
        <v>0.25108485772357725</v>
      </c>
      <c r="AM289" s="373" t="str">
        <f t="shared" si="4"/>
        <v>$/lb (2016)</v>
      </c>
    </row>
    <row r="290" spans="1:39">
      <c r="A290" s="263" t="s">
        <v>1392</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90" s="372">
        <f>IF(ISTEXT(RawMaterials[[#This Row],[Unit price in quote year]]),"Check calcs",RawMaterials[[#This Row],[Unit price in quote year]]/VLOOKUP(RawMaterials[[#This Row],[Quote Year]],ChemPPI[],14,FALSE)*VLOOKUP(BasisYear,ChemPPI[],14,FALSE))</f>
        <v>0.71253810975609766</v>
      </c>
      <c r="AM290" s="373" t="str">
        <f t="shared" si="4"/>
        <v>$/lb (2016)</v>
      </c>
    </row>
    <row r="291" spans="1:39">
      <c r="A291" s="263" t="s">
        <v>1393</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1" s="372">
        <f>IF(ISTEXT(RawMaterials[[#This Row],[Unit price in quote year]]),"Check calcs",RawMaterials[[#This Row],[Unit price in quote year]]/VLOOKUP(RawMaterials[[#This Row],[Quote Year]],ChemPPI[],14,FALSE)*VLOOKUP(BasisYear,ChemPPI[],14,FALSE))</f>
        <v>0.95005081300813021</v>
      </c>
      <c r="AM291" s="373" t="str">
        <f t="shared" si="4"/>
        <v>$/lb (2016)</v>
      </c>
    </row>
    <row r="292" spans="1:39">
      <c r="A292" s="263" t="s">
        <v>1394</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292" s="372">
        <f>IF(ISTEXT(RawMaterials[[#This Row],[Unit price in quote year]]),"Check calcs",RawMaterials[[#This Row],[Unit price in quote year]]/VLOOKUP(RawMaterials[[#This Row],[Quote Year]],ChemPPI[],14,FALSE)*VLOOKUP(BasisYear,ChemPPI[],14,FALSE))</f>
        <v>1.1197027439024392</v>
      </c>
      <c r="AM292" s="373" t="str">
        <f t="shared" si="4"/>
        <v>$/lb (2016)</v>
      </c>
    </row>
    <row r="293" spans="1:39">
      <c r="A293" s="263" t="s">
        <v>1395</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v>
      </c>
      <c r="AL293" s="372">
        <f>IF(ISTEXT(RawMaterials[[#This Row],[Unit price in quote year]]),"Check calcs",RawMaterials[[#This Row],[Unit price in quote year]]/VLOOKUP(RawMaterials[[#This Row],[Quote Year]],ChemPPI[],14,FALSE)*VLOOKUP(BasisYear,ChemPPI[],14,FALSE))</f>
        <v>4.750254065040652</v>
      </c>
      <c r="AM293" s="373" t="str">
        <f t="shared" si="4"/>
        <v>$/lb (2016)</v>
      </c>
    </row>
    <row r="294" spans="1:39">
      <c r="A294" s="263" t="s">
        <v>1396</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294" s="372">
        <f>IF(ISTEXT(RawMaterials[[#This Row],[Unit price in quote year]]),"Check calcs",RawMaterials[[#This Row],[Unit price in quote year]]/VLOOKUP(RawMaterials[[#This Row],[Quote Year]],ChemPPI[],14,FALSE)*VLOOKUP(BasisYear,ChemPPI[],14,FALSE))</f>
        <v>0.9771951219512196</v>
      </c>
      <c r="AM294" s="373" t="str">
        <f t="shared" si="4"/>
        <v>$/lb (2016)</v>
      </c>
    </row>
    <row r="295" spans="1:39">
      <c r="A295" s="263" t="s">
        <v>1397</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95" s="372">
        <f>IF(ISTEXT(RawMaterials[[#This Row],[Unit price in quote year]]),"Check calcs",RawMaterials[[#This Row],[Unit price in quote year]]/VLOOKUP(RawMaterials[[#This Row],[Quote Year]],ChemPPI[],14,FALSE)*VLOOKUP(BasisYear,ChemPPI[],14,FALSE))</f>
        <v>0.84825965447154483</v>
      </c>
      <c r="AM295" s="373" t="str">
        <f t="shared" si="4"/>
        <v>$/lb (2016)</v>
      </c>
    </row>
    <row r="296" spans="1:39">
      <c r="A296" s="263" t="s">
        <v>1398</v>
      </c>
      <c r="B296" s="264"/>
      <c r="C296" s="271"/>
      <c r="D296" s="365"/>
      <c r="E296" s="264">
        <v>100</v>
      </c>
      <c r="F296" s="264"/>
      <c r="G296" s="271"/>
      <c r="H296" s="271"/>
      <c r="I296" s="268"/>
      <c r="J296" s="271"/>
      <c r="K296" s="271"/>
      <c r="L296" s="271"/>
      <c r="M296" s="271"/>
      <c r="N296" s="271"/>
      <c r="O296" s="271"/>
      <c r="P296" s="265">
        <v>0.5</v>
      </c>
      <c r="Q296" s="264">
        <v>1</v>
      </c>
      <c r="R296" s="264" t="s">
        <v>406</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2.5000000000000001E-4</v>
      </c>
      <c r="AL296" s="372">
        <f>IF(ISTEXT(RawMaterials[[#This Row],[Unit price in quote year]]),"Check calcs",RawMaterials[[#This Row],[Unit price in quote year]]/VLOOKUP(RawMaterials[[#This Row],[Quote Year]],ChemPPI[],14,FALSE)*VLOOKUP(BasisYear,ChemPPI[],14,FALSE))</f>
        <v>3.3930386178861795E-4</v>
      </c>
      <c r="AM296" s="373" t="str">
        <f t="shared" si="4"/>
        <v>$/lb (2016)</v>
      </c>
    </row>
    <row r="297" spans="1:39">
      <c r="A297" s="263" t="s">
        <v>1399</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297" s="372">
        <f>IF(ISTEXT(RawMaterials[[#This Row],[Unit price in quote year]]),"Check calcs",RawMaterials[[#This Row],[Unit price in quote year]]/VLOOKUP(RawMaterials[[#This Row],[Quote Year]],ChemPPI[],14,FALSE)*VLOOKUP(BasisYear,ChemPPI[],14,FALSE))</f>
        <v>1.0650838050027389</v>
      </c>
      <c r="AM297" s="373" t="str">
        <f t="shared" si="4"/>
        <v>$/lb (2016)</v>
      </c>
    </row>
    <row r="298" spans="1:39">
      <c r="A298" s="263" t="s">
        <v>1400</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900</v>
      </c>
      <c r="AL298" s="372">
        <f>IF(ISTEXT(RawMaterials[[#This Row],[Unit price in quote year]]),"Check calcs",RawMaterials[[#This Row],[Unit price in quote year]]/VLOOKUP(RawMaterials[[#This Row],[Quote Year]],ChemPPI[],14,FALSE)*VLOOKUP(BasisYear,ChemPPI[],14,FALSE))</f>
        <v>1221.4939024390246</v>
      </c>
      <c r="AM298" s="373" t="str">
        <f t="shared" si="4"/>
        <v>$/lb (2016)</v>
      </c>
    </row>
    <row r="299" spans="1:39">
      <c r="A299" s="263" t="s">
        <v>1401</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0.14514955840000002</v>
      </c>
      <c r="AL299" s="372">
        <f>IF(ISTEXT(RawMaterials[[#This Row],[Unit price in quote year]]),"Check calcs",RawMaterials[[#This Row],[Unit price in quote year]]/VLOOKUP(RawMaterials[[#This Row],[Quote Year]],ChemPPI[],14,FALSE)*VLOOKUP(BasisYear,ChemPPI[],14,FALSE))</f>
        <v>0.19699922280813012</v>
      </c>
      <c r="AM299" s="373" t="str">
        <f t="shared" si="4"/>
        <v>$/lb (2016)</v>
      </c>
    </row>
    <row r="300" spans="1:39">
      <c r="A300" s="263" t="s">
        <v>1402</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v>
      </c>
      <c r="AL300" s="372">
        <f>IF(ISTEXT(RawMaterials[[#This Row],[Unit price in quote year]]),"Check calcs",RawMaterials[[#This Row],[Unit price in quote year]]/VLOOKUP(RawMaterials[[#This Row],[Quote Year]],ChemPPI[],14,FALSE)*VLOOKUP(BasisYear,ChemPPI[],14,FALSE))</f>
        <v>27.144308943089435</v>
      </c>
      <c r="AM300" s="373" t="str">
        <f t="shared" si="4"/>
        <v>$/lb (2016)</v>
      </c>
    </row>
    <row r="301" spans="1:39">
      <c r="A301" s="263" t="s">
        <v>1403</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8.7316531225000009</v>
      </c>
      <c r="AL301" s="372">
        <f>IF(ISTEXT(RawMaterials[[#This Row],[Unit price in quote year]]),"Check calcs",RawMaterials[[#This Row],[Unit price in quote year]]/VLOOKUP(RawMaterials[[#This Row],[Quote Year]],ChemPPI[],14,FALSE)*VLOOKUP(BasisYear,ChemPPI[],14,FALSE))</f>
        <v>11.850734497051578</v>
      </c>
      <c r="AM301" s="373" t="str">
        <f t="shared" si="4"/>
        <v>$/lb (2016)</v>
      </c>
    </row>
    <row r="302" spans="1:39">
      <c r="A302" s="263" t="s">
        <v>1404</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0.3056179080557212</v>
      </c>
      <c r="AL302" s="372">
        <f>IF(ISTEXT(RawMaterials[[#This Row],[Unit price in quote year]]),"Check calcs",RawMaterials[[#This Row],[Unit price in quote year]]/VLOOKUP(RawMaterials[[#This Row],[Quote Year]],ChemPPI[],14,FALSE)*VLOOKUP(BasisYear,ChemPPI[],14,FALSE))</f>
        <v>0.35770185097688428</v>
      </c>
      <c r="AM302" s="373" t="str">
        <f t="shared" si="4"/>
        <v>$/lb (2016)</v>
      </c>
    </row>
    <row r="303" spans="1:39">
      <c r="A303" s="263" t="s">
        <v>1405</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0.22467455121917967</v>
      </c>
      <c r="AL303" s="372">
        <f>IF(ISTEXT(RawMaterials[[#This Row],[Unit price in quote year]]),"Check calcs",RawMaterials[[#This Row],[Unit price in quote year]]/VLOOKUP(RawMaterials[[#This Row],[Quote Year]],ChemPPI[],14,FALSE)*VLOOKUP(BasisYear,ChemPPI[],14,FALSE))</f>
        <v>0.26296398450528202</v>
      </c>
      <c r="AM303" s="373" t="str">
        <f t="shared" si="4"/>
        <v>$/lb (2016)</v>
      </c>
    </row>
    <row r="304" spans="1:39">
      <c r="A304" s="263" t="s">
        <v>1406</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1.5349999999999999</v>
      </c>
      <c r="AL304" s="372">
        <f>IF(ISTEXT(RawMaterials[[#This Row],[Unit price in quote year]]),"Check calcs",RawMaterials[[#This Row],[Unit price in quote year]]/VLOOKUP(RawMaterials[[#This Row],[Quote Year]],ChemPPI[],14,FALSE)*VLOOKUP(BasisYear,ChemPPI[],14,FALSE))</f>
        <v>1.7965974073397846</v>
      </c>
      <c r="AM304" s="373" t="str">
        <f t="shared" si="4"/>
        <v>$/lb (2016)</v>
      </c>
    </row>
    <row r="305" spans="1:39">
      <c r="A305" s="263" t="s">
        <v>1407</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305" s="372">
        <f>IF(ISTEXT(RawMaterials[[#This Row],[Unit price in quote year]]),"Check calcs",RawMaterials[[#This Row],[Unit price in quote year]]/VLOOKUP(RawMaterials[[#This Row],[Quote Year]],ChemPPI[],14,FALSE)*VLOOKUP(BasisYear,ChemPPI[],14,FALSE))</f>
        <v>1.9272459349593498</v>
      </c>
      <c r="AM305" s="373" t="str">
        <f t="shared" si="4"/>
        <v>$/lb (2016)</v>
      </c>
    </row>
    <row r="306" spans="1:39">
      <c r="A306" s="263" t="s">
        <v>1408</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1.665</v>
      </c>
      <c r="AL306" s="372">
        <f>IF(ISTEXT(RawMaterials[[#This Row],[Unit price in quote year]]),"Check calcs",RawMaterials[[#This Row],[Unit price in quote year]]/VLOOKUP(RawMaterials[[#This Row],[Quote Year]],ChemPPI[],14,FALSE)*VLOOKUP(BasisYear,ChemPPI[],14,FALSE))</f>
        <v>2.2597637195121956</v>
      </c>
      <c r="AM306" s="373" t="str">
        <f t="shared" si="4"/>
        <v>$/lb (2016)</v>
      </c>
    </row>
    <row r="307" spans="1:39">
      <c r="A307" s="263" t="s">
        <v>1409</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07" s="372">
        <f>IF(ISTEXT(RawMaterials[[#This Row],[Unit price in quote year]]),"Check calcs",RawMaterials[[#This Row],[Unit price in quote year]]/VLOOKUP(RawMaterials[[#This Row],[Quote Year]],ChemPPI[],14,FALSE)*VLOOKUP(BasisYear,ChemPPI[],14,FALSE))</f>
        <v>1.1264888211382116</v>
      </c>
      <c r="AM307" s="373" t="str">
        <f t="shared" si="4"/>
        <v>$/lb (2016)</v>
      </c>
    </row>
    <row r="308" spans="1:39">
      <c r="A308" s="263" t="s">
        <v>1410</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0.15422140579999957</v>
      </c>
      <c r="AL308" s="372">
        <f>IF(ISTEXT(RawMaterials[[#This Row],[Unit price in quote year]]),"Check calcs",RawMaterials[[#This Row],[Unit price in quote year]]/VLOOKUP(RawMaterials[[#This Row],[Quote Year]],ChemPPI[],14,FALSE)*VLOOKUP(BasisYear,ChemPPI[],14,FALSE))</f>
        <v>0.20931167423363767</v>
      </c>
      <c r="AM308" s="373" t="str">
        <f t="shared" si="4"/>
        <v>$/lb (2016)</v>
      </c>
    </row>
    <row r="309" spans="1:39">
      <c r="A309" s="263" t="s">
        <v>1411</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v>
      </c>
      <c r="AL309" s="372">
        <f>IF(ISTEXT(RawMaterials[[#This Row],[Unit price in quote year]]),"Check calcs",RawMaterials[[#This Row],[Unit price in quote year]]/VLOOKUP(RawMaterials[[#This Row],[Quote Year]],ChemPPI[],14,FALSE)*VLOOKUP(BasisYear,ChemPPI[],14,FALSE))</f>
        <v>454.66717479674804</v>
      </c>
      <c r="AM309" s="373" t="str">
        <f t="shared" si="4"/>
        <v>$/lb (2016)</v>
      </c>
    </row>
    <row r="310" spans="1:39">
      <c r="A310" s="263" t="s">
        <v>1412</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310" s="372">
        <f>IF(ISTEXT(RawMaterials[[#This Row],[Unit price in quote year]]),"Check calcs",RawMaterials[[#This Row],[Unit price in quote year]]/VLOOKUP(RawMaterials[[#This Row],[Quote Year]],ChemPPI[],14,FALSE)*VLOOKUP(BasisYear,ChemPPI[],14,FALSE))</f>
        <v>1.8661712398373986</v>
      </c>
      <c r="AM310" s="373" t="str">
        <f t="shared" si="4"/>
        <v>$/lb (2016)</v>
      </c>
    </row>
    <row r="311" spans="1:39">
      <c r="A311" s="263" t="s">
        <v>1413</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v>
      </c>
      <c r="AL311" s="372">
        <f>IF(ISTEXT(RawMaterials[[#This Row],[Unit price in quote year]]),"Check calcs",RawMaterials[[#This Row],[Unit price in quote year]]/VLOOKUP(RawMaterials[[#This Row],[Quote Year]],ChemPPI[],14,FALSE)*VLOOKUP(BasisYear,ChemPPI[],14,FALSE))</f>
        <v>1.7643800813008133</v>
      </c>
      <c r="AM311" s="373" t="str">
        <f t="shared" si="4"/>
        <v>$/lb (2016)</v>
      </c>
    </row>
    <row r="312" spans="1:39">
      <c r="A312" s="263" t="s">
        <v>1414</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0.32885446825000003</v>
      </c>
      <c r="AL312" s="372">
        <f>IF(ISTEXT(RawMaterials[[#This Row],[Unit price in quote year]]),"Check calcs",RawMaterials[[#This Row],[Unit price in quote year]]/VLOOKUP(RawMaterials[[#This Row],[Quote Year]],ChemPPI[],14,FALSE)*VLOOKUP(BasisYear,ChemPPI[],14,FALSE))</f>
        <v>0.44632636417466981</v>
      </c>
      <c r="AM312" s="373" t="str">
        <f t="shared" si="4"/>
        <v>$/lb (2016)</v>
      </c>
    </row>
    <row r="313" spans="1:39">
      <c r="A313" s="263" t="s">
        <v>1415</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21.9</v>
      </c>
      <c r="AL313" s="372">
        <f>IF(ISTEXT(RawMaterials[[#This Row],[Unit price in quote year]]),"Check calcs",RawMaterials[[#This Row],[Unit price in quote year]]/VLOOKUP(RawMaterials[[#This Row],[Quote Year]],ChemPPI[],14,FALSE)*VLOOKUP(BasisYear,ChemPPI[],14,FALSE))</f>
        <v>29.72301829268293</v>
      </c>
      <c r="AM313" s="373" t="str">
        <f t="shared" si="4"/>
        <v>$/lb (2016)</v>
      </c>
    </row>
    <row r="314" spans="1:39">
      <c r="A314" s="263" t="s">
        <v>1416</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14" s="372">
        <f>IF(ISTEXT(RawMaterials[[#This Row],[Unit price in quote year]]),"Check calcs",RawMaterials[[#This Row],[Unit price in quote year]]/VLOOKUP(RawMaterials[[#This Row],[Quote Year]],ChemPPI[],14,FALSE)*VLOOKUP(BasisYear,ChemPPI[],14,FALSE))</f>
        <v>1.0943443490962206</v>
      </c>
      <c r="AM314" s="373" t="str">
        <f t="shared" si="4"/>
        <v>$/lb (2016)</v>
      </c>
    </row>
    <row r="315" spans="1:39">
      <c r="A315" s="263" t="s">
        <v>1417</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315" s="372">
        <f>IF(ISTEXT(RawMaterials[[#This Row],[Unit price in quote year]]),"Check calcs",RawMaterials[[#This Row],[Unit price in quote year]]/VLOOKUP(RawMaterials[[#This Row],[Quote Year]],ChemPPI[],14,FALSE)*VLOOKUP(BasisYear,ChemPPI[],14,FALSE))</f>
        <v>0.89537264926054416</v>
      </c>
      <c r="AM315" s="373" t="str">
        <f t="shared" si="4"/>
        <v>$/lb (2016)</v>
      </c>
    </row>
    <row r="316" spans="1:39">
      <c r="A316" s="263" t="s">
        <v>1418</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316" s="372">
        <f>IF(ISTEXT(RawMaterials[[#This Row],[Unit price in quote year]]),"Check calcs",RawMaterials[[#This Row],[Unit price in quote year]]/VLOOKUP(RawMaterials[[#This Row],[Quote Year]],ChemPPI[],14,FALSE)*VLOOKUP(BasisYear,ChemPPI[],14,FALSE))</f>
        <v>1.1704217637392733</v>
      </c>
      <c r="AM316" s="373" t="str">
        <f t="shared" si="4"/>
        <v>$/lb (2016)</v>
      </c>
    </row>
    <row r="317" spans="1:39">
      <c r="A317" s="263" t="s">
        <v>1419</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v>
      </c>
      <c r="AL317" s="372">
        <f>IF(ISTEXT(RawMaterials[[#This Row],[Unit price in quote year]]),"Check calcs",RawMaterials[[#This Row],[Unit price in quote year]]/VLOOKUP(RawMaterials[[#This Row],[Quote Year]],ChemPPI[],14,FALSE)*VLOOKUP(BasisYear,ChemPPI[],14,FALSE))</f>
        <v>1.193830199014059</v>
      </c>
      <c r="AM317" s="373" t="str">
        <f t="shared" si="4"/>
        <v>$/lb (2016)</v>
      </c>
    </row>
    <row r="318" spans="1:39">
      <c r="A318" s="263" t="s">
        <v>1420</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18" s="372">
        <f>IF(ISTEXT(RawMaterials[[#This Row],[Unit price in quote year]]),"Check calcs",RawMaterials[[#This Row],[Unit price in quote year]]/VLOOKUP(RawMaterials[[#This Row],[Quote Year]],ChemPPI[],14,FALSE)*VLOOKUP(BasisYear,ChemPPI[],14,FALSE))</f>
        <v>0.56765455541354748</v>
      </c>
      <c r="AM318" s="373" t="str">
        <f t="shared" si="4"/>
        <v>$/lb (2016)</v>
      </c>
    </row>
    <row r="319" spans="1:39">
      <c r="A319" s="263" t="s">
        <v>1421</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319" s="372">
        <f>IF(ISTEXT(RawMaterials[[#This Row],[Unit price in quote year]]),"Check calcs",RawMaterials[[#This Row],[Unit price in quote year]]/VLOOKUP(RawMaterials[[#This Row],[Quote Year]],ChemPPI[],14,FALSE)*VLOOKUP(BasisYear,ChemPPI[],14,FALSE))</f>
        <v>0.50328135840788757</v>
      </c>
      <c r="AM319" s="373" t="str">
        <f t="shared" si="4"/>
        <v>$/lb (2016)</v>
      </c>
    </row>
    <row r="320" spans="1:39">
      <c r="A320" s="263" t="s">
        <v>1422</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0.64749999999999996</v>
      </c>
      <c r="AL320" s="372">
        <f>IF(ISTEXT(RawMaterials[[#This Row],[Unit price in quote year]]),"Check calcs",RawMaterials[[#This Row],[Unit price in quote year]]/VLOOKUP(RawMaterials[[#This Row],[Quote Year]],ChemPPI[],14,FALSE)*VLOOKUP(BasisYear,ChemPPI[],14,FALSE))</f>
        <v>0.87879700203252042</v>
      </c>
      <c r="AM320" s="373" t="str">
        <f t="shared" si="4"/>
        <v>$/lb (2016)</v>
      </c>
    </row>
    <row r="321" spans="1:39">
      <c r="A321" s="263" t="s">
        <v>1423</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0.71750000000000003</v>
      </c>
      <c r="AL321" s="372">
        <f>IF(ISTEXT(RawMaterials[[#This Row],[Unit price in quote year]]),"Check calcs",RawMaterials[[#This Row],[Unit price in quote year]]/VLOOKUP(RawMaterials[[#This Row],[Quote Year]],ChemPPI[],14,FALSE)*VLOOKUP(BasisYear,ChemPPI[],14,FALSE))</f>
        <v>0.97380208333333351</v>
      </c>
      <c r="AM321" s="373" t="str">
        <f t="shared" si="4"/>
        <v>$/lb (2016)</v>
      </c>
    </row>
    <row r="322" spans="1:39">
      <c r="A322" s="263" t="s">
        <v>1424</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0.82468776447511205</v>
      </c>
      <c r="AL322" s="372">
        <f>IF(ISTEXT(RawMaterials[[#This Row],[Unit price in quote year]]),"Check calcs",RawMaterials[[#This Row],[Unit price in quote year]]/VLOOKUP(RawMaterials[[#This Row],[Quote Year]],ChemPPI[],14,FALSE)*VLOOKUP(BasisYear,ChemPPI[],14,FALSE))</f>
        <v>1.1192789730249109</v>
      </c>
      <c r="AM322" s="373" t="str">
        <f t="shared" si="4"/>
        <v>$/lb (2016)</v>
      </c>
    </row>
    <row r="323" spans="1:39">
      <c r="A323" s="263" t="s">
        <v>1425</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0.82750720982374504</v>
      </c>
      <c r="AL323" s="372">
        <f>IF(ISTEXT(RawMaterials[[#This Row],[Unit price in quote year]]),"Check calcs",RawMaterials[[#This Row],[Unit price in quote year]]/VLOOKUP(RawMaterials[[#This Row],[Quote Year]],ChemPPI[],14,FALSE)*VLOOKUP(BasisYear,ChemPPI[],14,FALSE))</f>
        <v>1.1231055678044835</v>
      </c>
      <c r="AM323" s="373" t="str">
        <f t="shared" si="4"/>
        <v>$/lb (2016)</v>
      </c>
    </row>
    <row r="324" spans="1:39">
      <c r="A324" s="263" t="s">
        <v>1426</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0.84019471389259293</v>
      </c>
      <c r="AL324" s="372">
        <f>IF(ISTEXT(RawMaterials[[#This Row],[Unit price in quote year]]),"Check calcs",RawMaterials[[#This Row],[Unit price in quote year]]/VLOOKUP(RawMaterials[[#This Row],[Quote Year]],ChemPPI[],14,FALSE)*VLOOKUP(BasisYear,ChemPPI[],14,FALSE))</f>
        <v>1.1403252443125589</v>
      </c>
      <c r="AM324" s="373" t="str">
        <f t="shared" si="4"/>
        <v>$/lb (2016)</v>
      </c>
    </row>
    <row r="325" spans="1:39">
      <c r="A325" s="263" t="s">
        <v>1427</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0.80213220168604926</v>
      </c>
      <c r="AL325" s="372">
        <f>IF(ISTEXT(RawMaterials[[#This Row],[Unit price in quote year]]),"Check calcs",RawMaterials[[#This Row],[Unit price in quote year]]/VLOOKUP(RawMaterials[[#This Row],[Quote Year]],ChemPPI[],14,FALSE)*VLOOKUP(BasisYear,ChemPPI[],14,FALSE))</f>
        <v>1.0886662147883321</v>
      </c>
      <c r="AM325" s="373" t="str">
        <f t="shared" si="4"/>
        <v>$/lb (2016)</v>
      </c>
    </row>
    <row r="326" spans="1:39">
      <c r="A326" s="263" t="s">
        <v>1428</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0.78098636157130275</v>
      </c>
      <c r="AL326" s="372">
        <f>IF(ISTEXT(RawMaterials[[#This Row],[Unit price in quote year]]),"Check calcs",RawMaterials[[#This Row],[Unit price in quote year]]/VLOOKUP(RawMaterials[[#This Row],[Quote Year]],ChemPPI[],14,FALSE)*VLOOKUP(BasisYear,ChemPPI[],14,FALSE))</f>
        <v>1.0599667539415398</v>
      </c>
      <c r="AM326" s="373" t="str">
        <f t="shared" si="4"/>
        <v>$/lb (2016)</v>
      </c>
    </row>
    <row r="327" spans="1:39">
      <c r="A327" s="263" t="s">
        <v>1429</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0.7866252522685685</v>
      </c>
      <c r="AL327" s="372">
        <f>IF(ISTEXT(RawMaterials[[#This Row],[Unit price in quote year]]),"Check calcs",RawMaterials[[#This Row],[Unit price in quote year]]/VLOOKUP(RawMaterials[[#This Row],[Quote Year]],ChemPPI[],14,FALSE)*VLOOKUP(BasisYear,ChemPPI[],14,FALSE))</f>
        <v>1.0676199435006843</v>
      </c>
      <c r="AM327" s="373" t="str">
        <f t="shared" si="4"/>
        <v>$/lb (2016)</v>
      </c>
    </row>
    <row r="328" spans="1:39">
      <c r="A328" s="263" t="s">
        <v>1430</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0.79085442029151787</v>
      </c>
      <c r="AL328" s="372">
        <f>IF(ISTEXT(RawMaterials[[#This Row],[Unit price in quote year]]),"Check calcs",RawMaterials[[#This Row],[Unit price in quote year]]/VLOOKUP(RawMaterials[[#This Row],[Quote Year]],ChemPPI[],14,FALSE)*VLOOKUP(BasisYear,ChemPPI[],14,FALSE))</f>
        <v>1.0733598356700431</v>
      </c>
      <c r="AM328" s="373" t="str">
        <f t="shared" si="4"/>
        <v>$/lb (2016)</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1123</v>
      </c>
      <c r="S329" s="379">
        <v>2018</v>
      </c>
      <c r="T329" s="366" t="s">
        <v>1106</v>
      </c>
      <c r="U329" s="382">
        <v>43339</v>
      </c>
      <c r="V329" s="269" t="s">
        <v>1716</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10.886216879999999</v>
      </c>
      <c r="AL329" s="372">
        <f>IF(ISTEXT(RawMaterials[[#This Row],[Unit price in quote year]]),"Check calcs",RawMaterials[[#This Row],[Unit price in quote year]]/VLOOKUP(RawMaterials[[#This Row],[Quote Year]],ChemPPI[],14,FALSE)*VLOOKUP(BasisYear,ChemPPI[],14,FALSE))</f>
        <v>10.114472410769443</v>
      </c>
      <c r="AM329" s="373" t="str">
        <f t="shared" si="4"/>
        <v>$/lb (2016)</v>
      </c>
    </row>
    <row r="330" spans="1:39">
      <c r="A330" s="263" t="s">
        <v>1431</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330" s="372">
        <f>IF(ISTEXT(RawMaterials[[#This Row],[Unit price in quote year]]),"Check calcs",RawMaterials[[#This Row],[Unit price in quote year]]/VLOOKUP(RawMaterials[[#This Row],[Quote Year]],ChemPPI[],14,FALSE)*VLOOKUP(BasisYear,ChemPPI[],14,FALSE))</f>
        <v>0.74646849593495956</v>
      </c>
      <c r="AM330" s="373" t="str">
        <f t="shared" si="4"/>
        <v>$/lb (2016)</v>
      </c>
    </row>
    <row r="331" spans="1:39">
      <c r="A331" s="263" t="s">
        <v>1432</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4.6100000000000003</v>
      </c>
      <c r="AL331" s="372">
        <f>IF(ISTEXT(RawMaterials[[#This Row],[Unit price in quote year]]),"Check calcs",RawMaterials[[#This Row],[Unit price in quote year]]/VLOOKUP(RawMaterials[[#This Row],[Quote Year]],ChemPPI[],14,FALSE)*VLOOKUP(BasisYear,ChemPPI[],14,FALSE))</f>
        <v>6.2567632113821157</v>
      </c>
      <c r="AM331" s="373" t="str">
        <f t="shared" si="4"/>
        <v>$/lb (2016)</v>
      </c>
    </row>
    <row r="332" spans="1:39">
      <c r="A332" s="263" t="s">
        <v>1433</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2" s="372">
        <f>IF(ISTEXT(RawMaterials[[#This Row],[Unit price in quote year]]),"Check calcs",RawMaterials[[#This Row],[Unit price in quote year]]/VLOOKUP(RawMaterials[[#This Row],[Quote Year]],ChemPPI[],14,FALSE)*VLOOKUP(BasisYear,ChemPPI[],14,FALSE))</f>
        <v>1.187563516260163</v>
      </c>
      <c r="AM332" s="373" t="str">
        <f t="shared" si="4"/>
        <v>$/lb (2016)</v>
      </c>
    </row>
    <row r="333" spans="1:39">
      <c r="A333" s="263" t="s">
        <v>1434</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333" s="372">
        <f>IF(ISTEXT(RawMaterials[[#This Row],[Unit price in quote year]]),"Check calcs",RawMaterials[[#This Row],[Unit price in quote year]]/VLOOKUP(RawMaterials[[#This Row],[Quote Year]],ChemPPI[],14,FALSE)*VLOOKUP(BasisYear,ChemPPI[],14,FALSE))</f>
        <v>1.0518419715447156</v>
      </c>
      <c r="AM333" s="373" t="str">
        <f t="shared" si="4"/>
        <v>$/lb (2016)</v>
      </c>
    </row>
    <row r="334" spans="1:39">
      <c r="A334" s="263" t="s">
        <v>1435</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6.1755992944943046</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0.50359484993993053</v>
      </c>
      <c r="AL334" s="372">
        <f>IF(ISTEXT(RawMaterials[[#This Row],[Unit price in quote year]]),"Check calcs",RawMaterials[[#This Row],[Unit price in quote year]]/VLOOKUP(RawMaterials[[#This Row],[Quote Year]],ChemPPI[],14,FALSE)*VLOOKUP(BasisYear,ChemPPI[],14,FALSE))</f>
        <v>0.58941837247670814</v>
      </c>
      <c r="AM334" s="373" t="str">
        <f t="shared" si="4"/>
        <v>$/lb (2016)</v>
      </c>
    </row>
    <row r="335" spans="1:39">
      <c r="A335" s="263" t="s">
        <v>1436</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0.48125000000000001</v>
      </c>
      <c r="AL335" s="372">
        <f>IF(ISTEXT(RawMaterials[[#This Row],[Unit price in quote year]]),"Check calcs",RawMaterials[[#This Row],[Unit price in quote year]]/VLOOKUP(RawMaterials[[#This Row],[Quote Year]],ChemPPI[],14,FALSE)*VLOOKUP(BasisYear,ChemPPI[],14,FALSE))</f>
        <v>0.63214724806360401</v>
      </c>
      <c r="AM335" s="373" t="str">
        <f t="shared" si="4"/>
        <v>$/lb (2016)</v>
      </c>
    </row>
    <row r="336" spans="1:39">
      <c r="A336" s="263" t="s">
        <v>1437</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36" s="372">
        <f>IF(ISTEXT(RawMaterials[[#This Row],[Unit price in quote year]]),"Check calcs",RawMaterials[[#This Row],[Unit price in quote year]]/VLOOKUP(RawMaterials[[#This Row],[Quote Year]],ChemPPI[],14,FALSE)*VLOOKUP(BasisYear,ChemPPI[],14,FALSE))</f>
        <v>0.91612042682926853</v>
      </c>
      <c r="AM336" s="373" t="str">
        <f t="shared" ref="AM336:AM399" si="5">CurrencySymbol&amp;"/"&amp;OutMassUnit&amp;" ("&amp;BasisYear&amp;")"</f>
        <v>$/lb (2016)</v>
      </c>
    </row>
    <row r="337" spans="1:39">
      <c r="A337" s="263" t="s">
        <v>1438</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7" s="372">
        <f>IF(ISTEXT(RawMaterials[[#This Row],[Unit price in quote year]]),"Check calcs",RawMaterials[[#This Row],[Unit price in quote year]]/VLOOKUP(RawMaterials[[#This Row],[Quote Year]],ChemPPI[],14,FALSE)*VLOOKUP(BasisYear,ChemPPI[],14,FALSE))</f>
        <v>1.187563516260163</v>
      </c>
      <c r="AM337" s="373" t="str">
        <f t="shared" si="5"/>
        <v>$/lb (2016)</v>
      </c>
    </row>
    <row r="338" spans="1:39">
      <c r="A338" s="263" t="s">
        <v>1439</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338" s="372">
        <f>IF(ISTEXT(RawMaterials[[#This Row],[Unit price in quote year]]),"Check calcs",RawMaterials[[#This Row],[Unit price in quote year]]/VLOOKUP(RawMaterials[[#This Row],[Quote Year]],ChemPPI[],14,FALSE)*VLOOKUP(BasisYear,ChemPPI[],14,FALSE))</f>
        <v>1.1332748983739838</v>
      </c>
      <c r="AM338" s="373" t="str">
        <f t="shared" si="5"/>
        <v>$/lb (2016)</v>
      </c>
    </row>
    <row r="339" spans="1:39">
      <c r="A339" s="263" t="s">
        <v>1440</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0.56999999999999995</v>
      </c>
      <c r="AL339" s="372">
        <f>IF(ISTEXT(RawMaterials[[#This Row],[Unit price in quote year]]),"Check calcs",RawMaterials[[#This Row],[Unit price in quote year]]/VLOOKUP(RawMaterials[[#This Row],[Quote Year]],ChemPPI[],14,FALSE)*VLOOKUP(BasisYear,ChemPPI[],14,FALSE))</f>
        <v>0.77361280487804884</v>
      </c>
      <c r="AM339" s="373" t="str">
        <f t="shared" si="5"/>
        <v>$/lb (2016)</v>
      </c>
    </row>
    <row r="340" spans="1:39">
      <c r="A340" s="263" t="s">
        <v>1441</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1.9750000000000001</v>
      </c>
      <c r="AL340" s="372">
        <f>IF(ISTEXT(RawMaterials[[#This Row],[Unit price in quote year]]),"Check calcs",RawMaterials[[#This Row],[Unit price in quote year]]/VLOOKUP(RawMaterials[[#This Row],[Quote Year]],ChemPPI[],14,FALSE)*VLOOKUP(BasisYear,ChemPPI[],14,FALSE))</f>
        <v>2.6805005081300819</v>
      </c>
      <c r="AM340" s="373" t="str">
        <f t="shared" si="5"/>
        <v>$/lb (2016)</v>
      </c>
    </row>
    <row r="341" spans="1:39">
      <c r="A341" s="263" t="s">
        <v>1442</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341" s="372">
        <f>IF(ISTEXT(RawMaterials[[#This Row],[Unit price in quote year]]),"Check calcs",RawMaterials[[#This Row],[Unit price in quote year]]/VLOOKUP(RawMaterials[[#This Row],[Quote Year]],ChemPPI[],14,FALSE)*VLOOKUP(BasisYear,ChemPPI[],14,FALSE))</f>
        <v>2.5447789634146347</v>
      </c>
      <c r="AM341" s="373" t="str">
        <f t="shared" si="5"/>
        <v>$/lb (2016)</v>
      </c>
    </row>
    <row r="342" spans="1:39">
      <c r="A342" s="263" t="s">
        <v>1443</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0.66999999999999904</v>
      </c>
      <c r="AL342" s="372">
        <f>IF(ISTEXT(RawMaterials[[#This Row],[Unit price in quote year]]),"Check calcs",RawMaterials[[#This Row],[Unit price in quote year]]/VLOOKUP(RawMaterials[[#This Row],[Quote Year]],ChemPPI[],14,FALSE)*VLOOKUP(BasisYear,ChemPPI[],14,FALSE))</f>
        <v>0.9093343495934948</v>
      </c>
      <c r="AM342" s="373" t="str">
        <f t="shared" si="5"/>
        <v>$/lb (2016)</v>
      </c>
    </row>
    <row r="343" spans="1:39">
      <c r="A343" s="263" t="s">
        <v>1444</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343" s="372">
        <f>IF(ISTEXT(RawMaterials[[#This Row],[Unit price in quote year]]),"Check calcs",RawMaterials[[#This Row],[Unit price in quote year]]/VLOOKUP(RawMaterials[[#This Row],[Quote Year]],ChemPPI[],14,FALSE)*VLOOKUP(BasisYear,ChemPPI[],14,FALSE))</f>
        <v>0.88219004065040663</v>
      </c>
      <c r="AM343" s="373" t="str">
        <f t="shared" si="5"/>
        <v>$/lb (2016)</v>
      </c>
    </row>
    <row r="344" spans="1:39">
      <c r="A344" s="263" t="s">
        <v>1445</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344" s="372">
        <f>IF(ISTEXT(RawMaterials[[#This Row],[Unit price in quote year]]),"Check calcs",RawMaterials[[#This Row],[Unit price in quote year]]/VLOOKUP(RawMaterials[[#This Row],[Quote Year]],ChemPPI[],14,FALSE)*VLOOKUP(BasisYear,ChemPPI[],14,FALSE))</f>
        <v>1.20792174796748</v>
      </c>
      <c r="AM344" s="373" t="str">
        <f t="shared" si="5"/>
        <v>$/lb (2016)</v>
      </c>
    </row>
    <row r="345" spans="1:39">
      <c r="A345" s="263" t="s">
        <v>1446</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45" s="372">
        <f>IF(ISTEXT(RawMaterials[[#This Row],[Unit price in quote year]]),"Check calcs",RawMaterials[[#This Row],[Unit price in quote year]]/VLOOKUP(RawMaterials[[#This Row],[Quote Year]],ChemPPI[],14,FALSE)*VLOOKUP(BasisYear,ChemPPI[],14,FALSE))</f>
        <v>1.1129166666666668</v>
      </c>
      <c r="AM345" s="373" t="str">
        <f t="shared" si="5"/>
        <v>$/lb (2016)</v>
      </c>
    </row>
    <row r="346" spans="1:39">
      <c r="A346" s="263" t="s">
        <v>1447</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4.4225256074999999</v>
      </c>
      <c r="AL346" s="372">
        <f>IF(ISTEXT(RawMaterials[[#This Row],[Unit price in quote year]]),"Check calcs",RawMaterials[[#This Row],[Unit price in quote year]]/VLOOKUP(RawMaterials[[#This Row],[Quote Year]],ChemPPI[],14,FALSE)*VLOOKUP(BasisYear,ChemPPI[],14,FALSE))</f>
        <v>6.0023200699352142</v>
      </c>
      <c r="AM346" s="373" t="str">
        <f t="shared" si="5"/>
        <v>$/lb (2016)</v>
      </c>
    </row>
    <row r="347" spans="1:39">
      <c r="A347" s="263" t="s">
        <v>1448</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4.1957294225000004</v>
      </c>
      <c r="AL347" s="372">
        <f>IF(ISTEXT(RawMaterials[[#This Row],[Unit price in quote year]]),"Check calcs",RawMaterials[[#This Row],[Unit price in quote year]]/VLOOKUP(RawMaterials[[#This Row],[Quote Year]],ChemPPI[],14,FALSE)*VLOOKUP(BasisYear,ChemPPI[],14,FALSE))</f>
        <v>5.6945087842975122</v>
      </c>
      <c r="AM347" s="373" t="str">
        <f t="shared" si="5"/>
        <v>$/lb (2016)</v>
      </c>
    </row>
    <row r="348" spans="1:39">
      <c r="A348" s="263" t="s">
        <v>1449</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4.3658265612500005</v>
      </c>
      <c r="AL348" s="372">
        <f>IF(ISTEXT(RawMaterials[[#This Row],[Unit price in quote year]]),"Check calcs",RawMaterials[[#This Row],[Unit price in quote year]]/VLOOKUP(RawMaterials[[#This Row],[Quote Year]],ChemPPI[],14,FALSE)*VLOOKUP(BasisYear,ChemPPI[],14,FALSE))</f>
        <v>5.9253672485257889</v>
      </c>
      <c r="AM348" s="373" t="str">
        <f t="shared" si="5"/>
        <v>$/lb (2016)</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1105</v>
      </c>
      <c r="U349" s="382">
        <v>43339</v>
      </c>
      <c r="V349" s="269" t="s">
        <v>1716</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6.08</v>
      </c>
      <c r="AL349" s="372">
        <f>IF(ISTEXT(RawMaterials[[#This Row],[Unit price in quote year]]),"Check calcs",RawMaterials[[#This Row],[Unit price in quote year]]/VLOOKUP(RawMaterials[[#This Row],[Quote Year]],ChemPPI[],14,FALSE)*VLOOKUP(BasisYear,ChemPPI[],14,FALSE))</f>
        <v>5.6489773201614026</v>
      </c>
      <c r="AM349" s="373" t="str">
        <f t="shared" si="5"/>
        <v>$/lb (2016)</v>
      </c>
    </row>
    <row r="350" spans="1:39">
      <c r="A350" s="263" t="s">
        <v>1450</v>
      </c>
      <c r="B350" s="264"/>
      <c r="C350" s="271"/>
      <c r="D350" s="365"/>
      <c r="E350" s="264">
        <v>100</v>
      </c>
      <c r="F350" s="264"/>
      <c r="G350" s="271"/>
      <c r="H350" s="271"/>
      <c r="I350" s="268"/>
      <c r="J350" s="271"/>
      <c r="K350" s="271"/>
      <c r="L350" s="271"/>
      <c r="M350" s="271"/>
      <c r="N350" s="271"/>
      <c r="O350" s="271"/>
      <c r="P350" s="265">
        <v>220</v>
      </c>
      <c r="Q350" s="264">
        <v>1</v>
      </c>
      <c r="R350" s="264" t="s">
        <v>406</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v>
      </c>
      <c r="AL350" s="372">
        <f>IF(ISTEXT(RawMaterials[[#This Row],[Unit price in quote year]]),"Check calcs",RawMaterials[[#This Row],[Unit price in quote year]]/VLOOKUP(RawMaterials[[#This Row],[Quote Year]],ChemPPI[],14,FALSE)*VLOOKUP(BasisYear,ChemPPI[],14,FALSE))</f>
        <v>0.1492936991869919</v>
      </c>
      <c r="AM350" s="373" t="str">
        <f t="shared" si="5"/>
        <v>$/lb (2016)</v>
      </c>
    </row>
    <row r="351" spans="1:39">
      <c r="A351" s="263" t="s">
        <v>1451</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0.33500000000000002</v>
      </c>
      <c r="AL351" s="372">
        <f>IF(ISTEXT(RawMaterials[[#This Row],[Unit price in quote year]]),"Check calcs",RawMaterials[[#This Row],[Unit price in quote year]]/VLOOKUP(RawMaterials[[#This Row],[Quote Year]],ChemPPI[],14,FALSE)*VLOOKUP(BasisYear,ChemPPI[],14,FALSE))</f>
        <v>0.45466717479674806</v>
      </c>
      <c r="AM351" s="373" t="str">
        <f t="shared" si="5"/>
        <v>$/lb (2016)</v>
      </c>
    </row>
    <row r="352" spans="1:39">
      <c r="A352" s="263" t="s">
        <v>1452</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352" s="372">
        <f>IF(ISTEXT(RawMaterials[[#This Row],[Unit price in quote year]]),"Check calcs",RawMaterials[[#This Row],[Unit price in quote year]]/VLOOKUP(RawMaterials[[#This Row],[Quote Year]],ChemPPI[],14,FALSE)*VLOOKUP(BasisYear,ChemPPI[],14,FALSE))</f>
        <v>0.65543618769399314</v>
      </c>
      <c r="AM352" s="373" t="str">
        <f t="shared" si="5"/>
        <v>$/lb (2016)</v>
      </c>
    </row>
    <row r="353" spans="1:39">
      <c r="A353" s="263" t="s">
        <v>1453</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0.55499999999999905</v>
      </c>
      <c r="AL353" s="372">
        <f>IF(ISTEXT(RawMaterials[[#This Row],[Unit price in quote year]]),"Check calcs",RawMaterials[[#This Row],[Unit price in quote year]]/VLOOKUP(RawMaterials[[#This Row],[Quote Year]],ChemPPI[],14,FALSE)*VLOOKUP(BasisYear,ChemPPI[],14,FALSE))</f>
        <v>0.64958407887529557</v>
      </c>
      <c r="AM353" s="373" t="str">
        <f t="shared" si="5"/>
        <v>$/lb (2016)</v>
      </c>
    </row>
    <row r="354" spans="1:39">
      <c r="A354" s="263" t="s">
        <v>1454</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54" s="372">
        <f>IF(ISTEXT(RawMaterials[[#This Row],[Unit price in quote year]]),"Check calcs",RawMaterials[[#This Row],[Unit price in quote year]]/VLOOKUP(RawMaterials[[#This Row],[Quote Year]],ChemPPI[],14,FALSE)*VLOOKUP(BasisYear,ChemPPI[],14,FALSE))</f>
        <v>2.0358231707317076</v>
      </c>
      <c r="AM354" s="373" t="str">
        <f t="shared" si="5"/>
        <v>$/lb (2016)</v>
      </c>
    </row>
    <row r="355" spans="1:39">
      <c r="A355" s="263" t="s">
        <v>1455</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0.49149999999999999</v>
      </c>
      <c r="AL355" s="372">
        <f>IF(ISTEXT(RawMaterials[[#This Row],[Unit price in quote year]]),"Check calcs",RawMaterials[[#This Row],[Unit price in quote year]]/VLOOKUP(RawMaterials[[#This Row],[Quote Year]],ChemPPI[],14,FALSE)*VLOOKUP(BasisYear,ChemPPI[],14,FALSE))</f>
        <v>0.64561116347690672</v>
      </c>
      <c r="AM355" s="373" t="str">
        <f t="shared" si="5"/>
        <v>$/lb (2016)</v>
      </c>
    </row>
    <row r="356" spans="1:39">
      <c r="A356" s="263" t="s">
        <v>1456</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56" s="372">
        <f>IF(ISTEXT(RawMaterials[[#This Row],[Unit price in quote year]]),"Check calcs",RawMaterials[[#This Row],[Unit price in quote year]]/VLOOKUP(RawMaterials[[#This Row],[Quote Year]],ChemPPI[],14,FALSE)*VLOOKUP(BasisYear,ChemPPI[],14,FALSE))</f>
        <v>0.6370730707757879</v>
      </c>
      <c r="AM356" s="373" t="str">
        <f t="shared" si="5"/>
        <v>$/lb (2016)</v>
      </c>
    </row>
    <row r="357" spans="1:39">
      <c r="A357" s="263" t="s">
        <v>1457</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57" s="372">
        <f>IF(ISTEXT(RawMaterials[[#This Row],[Unit price in quote year]]),"Check calcs",RawMaterials[[#This Row],[Unit price in quote year]]/VLOOKUP(RawMaterials[[#This Row],[Quote Year]],ChemPPI[],14,FALSE)*VLOOKUP(BasisYear,ChemPPI[],14,FALSE))</f>
        <v>0.79003469052400965</v>
      </c>
      <c r="AM357" s="373" t="str">
        <f t="shared" si="5"/>
        <v>$/lb (2016)</v>
      </c>
    </row>
    <row r="358" spans="1:39">
      <c r="A358" s="263" t="s">
        <v>1458</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358" s="372">
        <f>IF(ISTEXT(RawMaterials[[#This Row],[Unit price in quote year]]),"Check calcs",RawMaterials[[#This Row],[Unit price in quote year]]/VLOOKUP(RawMaterials[[#This Row],[Quote Year]],ChemPPI[],14,FALSE)*VLOOKUP(BasisYear,ChemPPI[],14,FALSE))</f>
        <v>0.67884462296877845</v>
      </c>
      <c r="AM358" s="373" t="str">
        <f t="shared" si="5"/>
        <v>$/lb (2016)</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1105</v>
      </c>
      <c r="U359" s="382">
        <v>43339</v>
      </c>
      <c r="V359" s="269" t="s">
        <v>1716</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14218.750000000002</v>
      </c>
      <c r="AL359" s="372">
        <f>IF(ISTEXT(RawMaterials[[#This Row],[Unit price in quote year]]),"Check calcs",RawMaterials[[#This Row],[Unit price in quote year]]/VLOOKUP(RawMaterials[[#This Row],[Quote Year]],ChemPPI[],14,FALSE)*VLOOKUP(BasisYear,ChemPPI[],14,FALSE))</f>
        <v>13210.755965632394</v>
      </c>
      <c r="AM359" s="373" t="str">
        <f t="shared" si="5"/>
        <v>$/lb (2016)</v>
      </c>
    </row>
    <row r="360" spans="1:39">
      <c r="A360" s="263" t="s">
        <v>1459</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60" s="372">
        <f>IF(ISTEXT(RawMaterials[[#This Row],[Unit price in quote year]]),"Check calcs",RawMaterials[[#This Row],[Unit price in quote year]]/VLOOKUP(RawMaterials[[#This Row],[Quote Year]],ChemPPI[],14,FALSE)*VLOOKUP(BasisYear,ChemPPI[],14,FALSE))</f>
        <v>0.65824949186991888</v>
      </c>
      <c r="AM360" s="373" t="str">
        <f t="shared" si="5"/>
        <v>$/lb (2016)</v>
      </c>
    </row>
    <row r="361" spans="1:39">
      <c r="A361" s="263" t="s">
        <v>1460</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361" s="372">
        <f>IF(ISTEXT(RawMaterials[[#This Row],[Unit price in quote year]]),"Check calcs",RawMaterials[[#This Row],[Unit price in quote year]]/VLOOKUP(RawMaterials[[#This Row],[Quote Year]],ChemPPI[],14,FALSE)*VLOOKUP(BasisYear,ChemPPI[],14,FALSE))</f>
        <v>0.67860772357723598</v>
      </c>
      <c r="AM361" s="373" t="str">
        <f t="shared" si="5"/>
        <v>$/lb (2016)</v>
      </c>
    </row>
    <row r="362" spans="1:39">
      <c r="A362" s="263" t="s">
        <v>1461</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362" s="372">
        <f>IF(ISTEXT(RawMaterials[[#This Row],[Unit price in quote year]]),"Check calcs",RawMaterials[[#This Row],[Unit price in quote year]]/VLOOKUP(RawMaterials[[#This Row],[Quote Year]],ChemPPI[],14,FALSE)*VLOOKUP(BasisYear,ChemPPI[],14,FALSE))</f>
        <v>0.77833047288661683</v>
      </c>
      <c r="AM362" s="373" t="str">
        <f t="shared" si="5"/>
        <v>$/lb (2016)</v>
      </c>
    </row>
    <row r="363" spans="1:39">
      <c r="A363" s="263" t="s">
        <v>1462</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0.51500000000000001</v>
      </c>
      <c r="AL363" s="372">
        <f>IF(ISTEXT(RawMaterials[[#This Row],[Unit price in quote year]]),"Check calcs",RawMaterials[[#This Row],[Unit price in quote year]]/VLOOKUP(RawMaterials[[#This Row],[Quote Year]],ChemPPI[],14,FALSE)*VLOOKUP(BasisYear,ChemPPI[],14,FALSE))</f>
        <v>0.60276720832572572</v>
      </c>
      <c r="AM363" s="373" t="str">
        <f t="shared" si="5"/>
        <v>$/lb (2016)</v>
      </c>
    </row>
    <row r="364" spans="1:39">
      <c r="A364" s="263" t="s">
        <v>1463</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64" s="372">
        <f>IF(ISTEXT(RawMaterials[[#This Row],[Unit price in quote year]]),"Check calcs",RawMaterials[[#This Row],[Unit price in quote year]]/VLOOKUP(RawMaterials[[#This Row],[Quote Year]],ChemPPI[],14,FALSE)*VLOOKUP(BasisYear,ChemPPI[],14,FALSE))</f>
        <v>0.88008032457686169</v>
      </c>
      <c r="AM364" s="373" t="str">
        <f t="shared" si="5"/>
        <v>$/lb (2016)</v>
      </c>
    </row>
    <row r="365" spans="1:39">
      <c r="A365" s="263" t="s">
        <v>1464</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0.78600000000000003</v>
      </c>
      <c r="AL365" s="372">
        <f>IF(ISTEXT(RawMaterials[[#This Row],[Unit price in quote year]]),"Check calcs",RawMaterials[[#This Row],[Unit price in quote year]]/VLOOKUP(RawMaterials[[#This Row],[Quote Year]],ChemPPI[],14,FALSE)*VLOOKUP(BasisYear,ChemPPI[],14,FALSE))</f>
        <v>1.0667713414634148</v>
      </c>
      <c r="AM365" s="373" t="str">
        <f t="shared" si="5"/>
        <v>$/lb (2016)</v>
      </c>
    </row>
    <row r="366" spans="1:39">
      <c r="A366" s="263" t="s">
        <v>1465</v>
      </c>
      <c r="B366" s="264"/>
      <c r="C366" s="271"/>
      <c r="D366" s="365"/>
      <c r="E366" s="264">
        <v>100</v>
      </c>
      <c r="F366" s="264"/>
      <c r="G366" s="271"/>
      <c r="H366" s="271"/>
      <c r="I366" s="268"/>
      <c r="J366" s="271"/>
      <c r="K366" s="271"/>
      <c r="L366" s="271"/>
      <c r="M366" s="271"/>
      <c r="N366" s="271"/>
      <c r="O366" s="271"/>
      <c r="P366" s="265">
        <v>97.5</v>
      </c>
      <c r="Q366" s="264">
        <v>1</v>
      </c>
      <c r="R366" s="264" t="s">
        <v>406</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366" s="372">
        <f>IF(ISTEXT(RawMaterials[[#This Row],[Unit price in quote year]]),"Check calcs",RawMaterials[[#This Row],[Unit price in quote year]]/VLOOKUP(RawMaterials[[#This Row],[Quote Year]],ChemPPI[],14,FALSE)*VLOOKUP(BasisYear,ChemPPI[],14,FALSE))</f>
        <v>6.61642530487805E-2</v>
      </c>
      <c r="AM366" s="373" t="str">
        <f t="shared" si="5"/>
        <v>$/lb (2016)</v>
      </c>
    </row>
    <row r="367" spans="1:39">
      <c r="A367" s="263" t="s">
        <v>1466</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367" s="372">
        <f>IF(ISTEXT(RawMaterials[[#This Row],[Unit price in quote year]]),"Check calcs",RawMaterials[[#This Row],[Unit price in quote year]]/VLOOKUP(RawMaterials[[#This Row],[Quote Year]],ChemPPI[],14,FALSE)*VLOOKUP(BasisYear,ChemPPI[],14,FALSE))</f>
        <v>6.7860772357723587</v>
      </c>
      <c r="AM367" s="373" t="str">
        <f t="shared" si="5"/>
        <v>$/lb (2016)</v>
      </c>
    </row>
    <row r="368" spans="1:39">
      <c r="A368" s="263" t="s">
        <v>1467</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v>
      </c>
      <c r="AL368" s="372">
        <f>IF(ISTEXT(RawMaterials[[#This Row],[Unit price in quote year]]),"Check calcs",RawMaterials[[#This Row],[Unit price in quote year]]/VLOOKUP(RawMaterials[[#This Row],[Quote Year]],ChemPPI[],14,FALSE)*VLOOKUP(BasisYear,ChemPPI[],14,FALSE))</f>
        <v>8.1432926829268304</v>
      </c>
      <c r="AM368" s="373" t="str">
        <f t="shared" si="5"/>
        <v>$/lb (2016)</v>
      </c>
    </row>
    <row r="369" spans="1:39">
      <c r="A369" s="263" t="s">
        <v>1468</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69" s="372">
        <f>IF(ISTEXT(RawMaterials[[#This Row],[Unit price in quote year]]),"Check calcs",RawMaterials[[#This Row],[Unit price in quote year]]/VLOOKUP(RawMaterials[[#This Row],[Quote Year]],ChemPPI[],14,FALSE)*VLOOKUP(BasisYear,ChemPPI[],14,FALSE))</f>
        <v>2.0358231707317076</v>
      </c>
      <c r="AM369" s="373" t="str">
        <f t="shared" si="5"/>
        <v>$/lb (2016)</v>
      </c>
    </row>
    <row r="370" spans="1:39">
      <c r="A370" s="263" t="s">
        <v>1469</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370" s="372">
        <f>IF(ISTEXT(RawMaterials[[#This Row],[Unit price in quote year]]),"Check calcs",RawMaterials[[#This Row],[Unit price in quote year]]/VLOOKUP(RawMaterials[[#This Row],[Quote Year]],ChemPPI[],14,FALSE)*VLOOKUP(BasisYear,ChemPPI[],14,FALSE))</f>
        <v>1.5540116869918701</v>
      </c>
      <c r="AM370" s="373" t="str">
        <f t="shared" si="5"/>
        <v>$/lb (2016)</v>
      </c>
    </row>
    <row r="371" spans="1:39">
      <c r="A371" s="263" t="s">
        <v>1470</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371" s="372">
        <f>IF(ISTEXT(RawMaterials[[#This Row],[Unit price in quote year]]),"Check calcs",RawMaterials[[#This Row],[Unit price in quote year]]/VLOOKUP(RawMaterials[[#This Row],[Quote Year]],ChemPPI[],14,FALSE)*VLOOKUP(BasisYear,ChemPPI[],14,FALSE))</f>
        <v>0.64467733739837407</v>
      </c>
      <c r="AM371" s="373" t="str">
        <f t="shared" si="5"/>
        <v>$/lb (2016)</v>
      </c>
    </row>
    <row r="372" spans="1:39">
      <c r="A372" s="263" t="s">
        <v>1471</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372" s="372">
        <f>IF(ISTEXT(RawMaterials[[#This Row],[Unit price in quote year]]),"Check calcs",RawMaterials[[#This Row],[Unit price in quote year]]/VLOOKUP(RawMaterials[[#This Row],[Quote Year]],ChemPPI[],14,FALSE)*VLOOKUP(BasisYear,ChemPPI[],14,FALSE))</f>
        <v>0.45646448785831667</v>
      </c>
      <c r="AM372" s="373" t="str">
        <f t="shared" si="5"/>
        <v>$/lb (2016)</v>
      </c>
    </row>
    <row r="373" spans="1:39">
      <c r="A373" s="263" t="s">
        <v>1472</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373" s="372">
        <f>IF(ISTEXT(RawMaterials[[#This Row],[Unit price in quote year]]),"Check calcs",RawMaterials[[#This Row],[Unit price in quote year]]/VLOOKUP(RawMaterials[[#This Row],[Quote Year]],ChemPPI[],14,FALSE)*VLOOKUP(BasisYear,ChemPPI[],14,FALSE))</f>
        <v>1.2282799796747972</v>
      </c>
      <c r="AM373" s="373" t="str">
        <f t="shared" si="5"/>
        <v>$/lb (2016)</v>
      </c>
    </row>
    <row r="374" spans="1:39">
      <c r="A374" s="263" t="s">
        <v>1473</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374" s="372">
        <f>IF(ISTEXT(RawMaterials[[#This Row],[Unit price in quote year]]),"Check calcs",RawMaterials[[#This Row],[Unit price in quote year]]/VLOOKUP(RawMaterials[[#This Row],[Quote Year]],ChemPPI[],14,FALSE)*VLOOKUP(BasisYear,ChemPPI[],14,FALSE))</f>
        <v>1.0857723577235774</v>
      </c>
      <c r="AM374" s="373" t="str">
        <f t="shared" si="5"/>
        <v>$/lb (2016)</v>
      </c>
    </row>
    <row r="375" spans="1:39">
      <c r="A375" s="263" t="s">
        <v>1474</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0.92500000000000004</v>
      </c>
      <c r="AL375" s="372">
        <f>IF(ISTEXT(RawMaterials[[#This Row],[Unit price in quote year]]),"Check calcs",RawMaterials[[#This Row],[Unit price in quote year]]/VLOOKUP(RawMaterials[[#This Row],[Quote Year]],ChemPPI[],14,FALSE)*VLOOKUP(BasisYear,ChemPPI[],14,FALSE))</f>
        <v>1.2554242886178864</v>
      </c>
      <c r="AM375" s="373" t="str">
        <f t="shared" si="5"/>
        <v>$/lb (2016)</v>
      </c>
    </row>
    <row r="376" spans="1:39">
      <c r="A376" s="263" t="s">
        <v>1475</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76" s="372">
        <f>IF(ISTEXT(RawMaterials[[#This Row],[Unit price in quote year]]),"Check calcs",RawMaterials[[#This Row],[Unit price in quote year]]/VLOOKUP(RawMaterials[[#This Row],[Quote Year]],ChemPPI[],14,FALSE)*VLOOKUP(BasisYear,ChemPPI[],14,FALSE))</f>
        <v>1.1129166666666668</v>
      </c>
      <c r="AM376" s="373" t="str">
        <f t="shared" si="5"/>
        <v>$/lb (2016)</v>
      </c>
    </row>
    <row r="377" spans="1:39">
      <c r="A377" s="263" t="s">
        <v>1476</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377" s="372">
        <f>IF(ISTEXT(RawMaterials[[#This Row],[Unit price in quote year]]),"Check calcs",RawMaterials[[#This Row],[Unit price in quote year]]/VLOOKUP(RawMaterials[[#This Row],[Quote Year]],ChemPPI[],14,FALSE)*VLOOKUP(BasisYear,ChemPPI[],14,FALSE))</f>
        <v>1.2622103658536588</v>
      </c>
      <c r="AM377" s="373" t="str">
        <f t="shared" si="5"/>
        <v>$/lb (2016)</v>
      </c>
    </row>
    <row r="378" spans="1:39">
      <c r="A378" s="263" t="s">
        <v>1477</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378" s="372">
        <f>IF(ISTEXT(RawMaterials[[#This Row],[Unit price in quote year]]),"Check calcs",RawMaterials[[#This Row],[Unit price in quote year]]/VLOOKUP(RawMaterials[[#This Row],[Quote Year]],ChemPPI[],14,FALSE)*VLOOKUP(BasisYear,ChemPPI[],14,FALSE))</f>
        <v>1.1197027439024392</v>
      </c>
      <c r="AM378" s="373" t="str">
        <f t="shared" si="5"/>
        <v>$/lb (2016)</v>
      </c>
    </row>
    <row r="379" spans="1:39">
      <c r="A379" s="263" t="s">
        <v>1478</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79" s="372">
        <f>IF(ISTEXT(RawMaterials[[#This Row],[Unit price in quote year]]),"Check calcs",RawMaterials[[#This Row],[Unit price in quote year]]/VLOOKUP(RawMaterials[[#This Row],[Quote Year]],ChemPPI[],14,FALSE)*VLOOKUP(BasisYear,ChemPPI[],14,FALSE))</f>
        <v>1.2689964430894314</v>
      </c>
      <c r="AM379" s="373" t="str">
        <f t="shared" si="5"/>
        <v>$/lb (2016)</v>
      </c>
    </row>
    <row r="380" spans="1:39">
      <c r="A380" s="263" t="s">
        <v>1479</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0" s="372">
        <f>IF(ISTEXT(RawMaterials[[#This Row],[Unit price in quote year]]),"Check calcs",RawMaterials[[#This Row],[Unit price in quote year]]/VLOOKUP(RawMaterials[[#This Row],[Quote Year]],ChemPPI[],14,FALSE)*VLOOKUP(BasisYear,ChemPPI[],14,FALSE))</f>
        <v>1.1264888211382116</v>
      </c>
      <c r="AM380" s="373" t="str">
        <f t="shared" si="5"/>
        <v>$/lb (2016)</v>
      </c>
    </row>
    <row r="381" spans="1:39">
      <c r="A381" s="263" t="s">
        <v>1480</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381" s="372">
        <f>IF(ISTEXT(RawMaterials[[#This Row],[Unit price in quote year]]),"Check calcs",RawMaterials[[#This Row],[Unit price in quote year]]/VLOOKUP(RawMaterials[[#This Row],[Quote Year]],ChemPPI[],14,FALSE)*VLOOKUP(BasisYear,ChemPPI[],14,FALSE))</f>
        <v>1.2350660569105694</v>
      </c>
      <c r="AM381" s="373" t="str">
        <f t="shared" si="5"/>
        <v>$/lb (2016)</v>
      </c>
    </row>
    <row r="382" spans="1:39">
      <c r="A382" s="263" t="s">
        <v>1481</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382" s="372">
        <f>IF(ISTEXT(RawMaterials[[#This Row],[Unit price in quote year]]),"Check calcs",RawMaterials[[#This Row],[Unit price in quote year]]/VLOOKUP(RawMaterials[[#This Row],[Quote Year]],ChemPPI[],14,FALSE)*VLOOKUP(BasisYear,ChemPPI[],14,FALSE))</f>
        <v>1.0925584349593498</v>
      </c>
      <c r="AM382" s="373" t="str">
        <f t="shared" si="5"/>
        <v>$/lb (2016)</v>
      </c>
    </row>
    <row r="383" spans="1:39">
      <c r="A383" s="263" t="s">
        <v>1482</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3" s="372">
        <f>IF(ISTEXT(RawMaterials[[#This Row],[Unit price in quote year]]),"Check calcs",RawMaterials[[#This Row],[Unit price in quote year]]/VLOOKUP(RawMaterials[[#This Row],[Quote Year]],ChemPPI[],14,FALSE)*VLOOKUP(BasisYear,ChemPPI[],14,FALSE))</f>
        <v>1.1264888211382116</v>
      </c>
      <c r="AM383" s="373" t="str">
        <f t="shared" si="5"/>
        <v>$/lb (2016)</v>
      </c>
    </row>
    <row r="384" spans="1:39">
      <c r="A384" s="263" t="s">
        <v>1483</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84" s="372">
        <f>IF(ISTEXT(RawMaterials[[#This Row],[Unit price in quote year]]),"Check calcs",RawMaterials[[#This Row],[Unit price in quote year]]/VLOOKUP(RawMaterials[[#This Row],[Quote Year]],ChemPPI[],14,FALSE)*VLOOKUP(BasisYear,ChemPPI[],14,FALSE))</f>
        <v>1.2689964430894314</v>
      </c>
      <c r="AM384" s="373" t="str">
        <f t="shared" si="5"/>
        <v>$/lb (2016)</v>
      </c>
    </row>
    <row r="385" spans="1:39">
      <c r="A385" s="263" t="s">
        <v>1484</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85" s="372">
        <f>IF(ISTEXT(RawMaterials[[#This Row],[Unit price in quote year]]),"Check calcs",RawMaterials[[#This Row],[Unit price in quote year]]/VLOOKUP(RawMaterials[[#This Row],[Quote Year]],ChemPPI[],14,FALSE)*VLOOKUP(BasisYear,ChemPPI[],14,FALSE))</f>
        <v>0.95974584626620407</v>
      </c>
      <c r="AM385" s="373" t="str">
        <f t="shared" si="5"/>
        <v>$/lb (2016)</v>
      </c>
    </row>
    <row r="386" spans="1:39">
      <c r="A386" s="263" t="s">
        <v>1485</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386" s="372">
        <f>IF(ISTEXT(RawMaterials[[#This Row],[Unit price in quote year]]),"Check calcs",RawMaterials[[#This Row],[Unit price in quote year]]/VLOOKUP(RawMaterials[[#This Row],[Quote Year]],ChemPPI[],14,FALSE)*VLOOKUP(BasisYear,ChemPPI[],14,FALSE))</f>
        <v>0.80173890816140225</v>
      </c>
      <c r="AM386" s="373" t="str">
        <f t="shared" si="5"/>
        <v>$/lb (2016)</v>
      </c>
    </row>
    <row r="387" spans="1:39">
      <c r="A387" s="263" t="s">
        <v>1486</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v>
      </c>
      <c r="AL387" s="372">
        <f>IF(ISTEXT(RawMaterials[[#This Row],[Unit price in quote year]]),"Check calcs",RawMaterials[[#This Row],[Unit price in quote year]]/VLOOKUP(RawMaterials[[#This Row],[Quote Year]],ChemPPI[],14,FALSE)*VLOOKUP(BasisYear,ChemPPI[],14,FALSE))</f>
        <v>1.004339430894309</v>
      </c>
      <c r="AM387" s="373" t="str">
        <f t="shared" si="5"/>
        <v>$/lb (2016)</v>
      </c>
    </row>
    <row r="388" spans="1:39">
      <c r="A388" s="263" t="s">
        <v>1487</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388" s="372">
        <f>IF(ISTEXT(RawMaterials[[#This Row],[Unit price in quote year]]),"Check calcs",RawMaterials[[#This Row],[Unit price in quote year]]/VLOOKUP(RawMaterials[[#This Row],[Quote Year]],ChemPPI[],14,FALSE)*VLOOKUP(BasisYear,ChemPPI[],14,FALSE))</f>
        <v>0.4885975609756098</v>
      </c>
      <c r="AM388" s="373" t="str">
        <f t="shared" si="5"/>
        <v>$/lb (2016)</v>
      </c>
    </row>
    <row r="389" spans="1:39">
      <c r="A389" s="263" t="s">
        <v>1488</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0.377</v>
      </c>
      <c r="AL389" s="372">
        <f>IF(ISTEXT(RawMaterials[[#This Row],[Unit price in quote year]]),"Check calcs",RawMaterials[[#This Row],[Unit price in quote year]]/VLOOKUP(RawMaterials[[#This Row],[Quote Year]],ChemPPI[],14,FALSE)*VLOOKUP(BasisYear,ChemPPI[],14,FALSE))</f>
        <v>0.51167022357723591</v>
      </c>
      <c r="AM389" s="373" t="str">
        <f t="shared" si="5"/>
        <v>$/lb (2016)</v>
      </c>
    </row>
    <row r="390" spans="1:39">
      <c r="A390" s="263" t="s">
        <v>1489</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0.36700000000000005</v>
      </c>
      <c r="AL390" s="372">
        <f>IF(ISTEXT(RawMaterials[[#This Row],[Unit price in quote year]]),"Check calcs",RawMaterials[[#This Row],[Unit price in quote year]]/VLOOKUP(RawMaterials[[#This Row],[Quote Year]],ChemPPI[],14,FALSE)*VLOOKUP(BasisYear,ChemPPI[],14,FALSE))</f>
        <v>0.49809806910569121</v>
      </c>
      <c r="AM390" s="373" t="str">
        <f t="shared" si="5"/>
        <v>$/lb (2016)</v>
      </c>
    </row>
    <row r="391" spans="1:39">
      <c r="A391" s="263" t="s">
        <v>1490</v>
      </c>
      <c r="B391" s="264"/>
      <c r="C391" s="271"/>
      <c r="D391" s="365"/>
      <c r="E391" s="264">
        <v>100</v>
      </c>
      <c r="F391" s="264"/>
      <c r="G391" s="271"/>
      <c r="H391" s="271"/>
      <c r="I391" s="268"/>
      <c r="J391" s="271"/>
      <c r="K391" s="271"/>
      <c r="L391" s="271"/>
      <c r="M391" s="271"/>
      <c r="N391" s="271"/>
      <c r="O391" s="271"/>
      <c r="P391" s="265">
        <v>450</v>
      </c>
      <c r="Q391" s="264">
        <v>1</v>
      </c>
      <c r="R391" s="264" t="s">
        <v>406</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391" s="372">
        <f>IF(ISTEXT(RawMaterials[[#This Row],[Unit price in quote year]]),"Check calcs",RawMaterials[[#This Row],[Unit price in quote year]]/VLOOKUP(RawMaterials[[#This Row],[Quote Year]],ChemPPI[],14,FALSE)*VLOOKUP(BasisYear,ChemPPI[],14,FALSE))</f>
        <v>0.30537347560975614</v>
      </c>
      <c r="AM391" s="373" t="str">
        <f t="shared" si="5"/>
        <v>$/lb (2016)</v>
      </c>
    </row>
    <row r="392" spans="1:39">
      <c r="A392" s="263" t="s">
        <v>1491</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92" s="372">
        <f>IF(ISTEXT(RawMaterials[[#This Row],[Unit price in quote year]]),"Check calcs",RawMaterials[[#This Row],[Unit price in quote year]]/VLOOKUP(RawMaterials[[#This Row],[Quote Year]],ChemPPI[],14,FALSE)*VLOOKUP(BasisYear,ChemPPI[],14,FALSE))</f>
        <v>0.90933434959349613</v>
      </c>
      <c r="AM392" s="373" t="str">
        <f t="shared" si="5"/>
        <v>$/lb (2016)</v>
      </c>
    </row>
    <row r="393" spans="1:39">
      <c r="A393" s="263" t="s">
        <v>1492</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7.0999999999999995E-3</v>
      </c>
      <c r="AL393" s="372">
        <f>IF(ISTEXT(RawMaterials[[#This Row],[Unit price in quote year]]),"Check calcs",RawMaterials[[#This Row],[Unit price in quote year]]/VLOOKUP(RawMaterials[[#This Row],[Quote Year]],ChemPPI[],14,FALSE)*VLOOKUP(BasisYear,ChemPPI[],14,FALSE))</f>
        <v>9.6362296747967494E-3</v>
      </c>
      <c r="AM393" s="373" t="str">
        <f t="shared" si="5"/>
        <v>$/lb (2016)</v>
      </c>
    </row>
    <row r="394" spans="1:39">
      <c r="A394" s="263" t="s">
        <v>1493</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1.1000000000000001</v>
      </c>
      <c r="AL394" s="372">
        <f>IF(ISTEXT(RawMaterials[[#This Row],[Unit price in quote year]]),"Check calcs",RawMaterials[[#This Row],[Unit price in quote year]]/VLOOKUP(RawMaterials[[#This Row],[Quote Year]],ChemPPI[],14,FALSE)*VLOOKUP(BasisYear,ChemPPI[],14,FALSE))</f>
        <v>1.4929369918699191</v>
      </c>
      <c r="AM394" s="373" t="str">
        <f t="shared" si="5"/>
        <v>$/lb (2016)</v>
      </c>
    </row>
    <row r="395" spans="1:39">
      <c r="A395" s="263" t="s">
        <v>1494</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5" s="372">
        <f>IF(ISTEXT(RawMaterials[[#This Row],[Unit price in quote year]]),"Check calcs",RawMaterials[[#This Row],[Unit price in quote year]]/VLOOKUP(RawMaterials[[#This Row],[Quote Year]],ChemPPI[],14,FALSE)*VLOOKUP(BasisYear,ChemPPI[],14,FALSE))</f>
        <v>0.66503556910569117</v>
      </c>
      <c r="AM395" s="373" t="str">
        <f t="shared" si="5"/>
        <v>$/lb (2016)</v>
      </c>
    </row>
    <row r="396" spans="1:39">
      <c r="A396" s="263" t="s">
        <v>1495</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6" s="372">
        <f>IF(ISTEXT(RawMaterials[[#This Row],[Unit price in quote year]]),"Check calcs",RawMaterials[[#This Row],[Unit price in quote year]]/VLOOKUP(RawMaterials[[#This Row],[Quote Year]],ChemPPI[],14,FALSE)*VLOOKUP(BasisYear,ChemPPI[],14,FALSE))</f>
        <v>0.66503556910569117</v>
      </c>
      <c r="AM396" s="373" t="str">
        <f t="shared" si="5"/>
        <v>$/lb (2016)</v>
      </c>
    </row>
    <row r="397" spans="1:39">
      <c r="A397" s="263" t="s">
        <v>1496</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v>
      </c>
      <c r="AL397" s="372">
        <f>IF(ISTEXT(RawMaterials[[#This Row],[Unit price in quote year]]),"Check calcs",RawMaterials[[#This Row],[Unit price in quote year]]/VLOOKUP(RawMaterials[[#This Row],[Quote Year]],ChemPPI[],14,FALSE)*VLOOKUP(BasisYear,ChemPPI[],14,FALSE))</f>
        <v>1.6965193089430897</v>
      </c>
      <c r="AM397" s="373" t="str">
        <f t="shared" si="5"/>
        <v>$/lb (2016)</v>
      </c>
    </row>
    <row r="398" spans="1:39">
      <c r="A398" s="263" t="s">
        <v>1497</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8" s="372">
        <f>IF(ISTEXT(RawMaterials[[#This Row],[Unit price in quote year]]),"Check calcs",RawMaterials[[#This Row],[Unit price in quote year]]/VLOOKUP(RawMaterials[[#This Row],[Quote Year]],ChemPPI[],14,FALSE)*VLOOKUP(BasisYear,ChemPPI[],14,FALSE))</f>
        <v>0.84270366989227674</v>
      </c>
      <c r="AM398" s="373" t="str">
        <f t="shared" si="5"/>
        <v>$/lb (2016)</v>
      </c>
    </row>
    <row r="399" spans="1:39">
      <c r="A399" s="263" t="s">
        <v>1498</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9" s="372">
        <f>IF(ISTEXT(RawMaterials[[#This Row],[Unit price in quote year]]),"Check calcs",RawMaterials[[#This Row],[Unit price in quote year]]/VLOOKUP(RawMaterials[[#This Row],[Quote Year]],ChemPPI[],14,FALSE)*VLOOKUP(BasisYear,ChemPPI[],14,FALSE))</f>
        <v>0.9771951219512196</v>
      </c>
      <c r="AM399" s="373" t="str">
        <f t="shared" si="5"/>
        <v>$/lb (2016)</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1105</v>
      </c>
      <c r="U400" s="382">
        <v>43339</v>
      </c>
      <c r="V400" s="269" t="s">
        <v>1716</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11571.875000000002</v>
      </c>
      <c r="AL400" s="372">
        <f>IF(ISTEXT(RawMaterials[[#This Row],[Unit price in quote year]]),"Check calcs",RawMaterials[[#This Row],[Unit price in quote year]]/VLOOKUP(RawMaterials[[#This Row],[Quote Year]],ChemPPI[],14,FALSE)*VLOOKUP(BasisYear,ChemPPI[],14,FALSE))</f>
        <v>10751.522932030057</v>
      </c>
      <c r="AM400" s="373" t="str">
        <f t="shared" ref="AM400:AM463" si="6">CurrencySymbol&amp;"/"&amp;OutMassUnit&amp;" ("&amp;BasisYear&amp;")"</f>
        <v>$/lb (2016)</v>
      </c>
    </row>
    <row r="401" spans="1:39">
      <c r="A401" s="263" t="s">
        <v>1499</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401" s="372">
        <f>IF(ISTEXT(RawMaterials[[#This Row],[Unit price in quote year]]),"Check calcs",RawMaterials[[#This Row],[Unit price in quote year]]/VLOOKUP(RawMaterials[[#This Row],[Quote Year]],ChemPPI[],14,FALSE)*VLOOKUP(BasisYear,ChemPPI[],14,FALSE))</f>
        <v>0.99485849917838232</v>
      </c>
      <c r="AM401" s="373" t="str">
        <f t="shared" si="6"/>
        <v>$/lb (2016)</v>
      </c>
    </row>
    <row r="402" spans="1:39">
      <c r="A402" s="263" t="s">
        <v>1500</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02" s="372">
        <f>IF(ISTEXT(RawMaterials[[#This Row],[Unit price in quote year]]),"Check calcs",RawMaterials[[#This Row],[Unit price in quote year]]/VLOOKUP(RawMaterials[[#This Row],[Quote Year]],ChemPPI[],14,FALSE)*VLOOKUP(BasisYear,ChemPPI[],14,FALSE))</f>
        <v>2.2823224392915833</v>
      </c>
      <c r="AM402" s="373" t="str">
        <f t="shared" si="6"/>
        <v>$/lb (2016)</v>
      </c>
    </row>
    <row r="403" spans="1:39">
      <c r="A403" s="263" t="s">
        <v>1501</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03" s="372">
        <f>IF(ISTEXT(RawMaterials[[#This Row],[Unit price in quote year]]),"Check calcs",RawMaterials[[#This Row],[Unit price in quote year]]/VLOOKUP(RawMaterials[[#This Row],[Quote Year]],ChemPPI[],14,FALSE)*VLOOKUP(BasisYear,ChemPPI[],14,FALSE))</f>
        <v>2.2706182216541899</v>
      </c>
      <c r="AM403" s="373" t="str">
        <f t="shared" si="6"/>
        <v>$/lb (2016)</v>
      </c>
    </row>
    <row r="404" spans="1:39">
      <c r="A404" s="263" t="s">
        <v>1502</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404" s="372">
        <f>IF(ISTEXT(RawMaterials[[#This Row],[Unit price in quote year]]),"Check calcs",RawMaterials[[#This Row],[Unit price in quote year]]/VLOOKUP(RawMaterials[[#This Row],[Quote Year]],ChemPPI[],14,FALSE)*VLOOKUP(BasisYear,ChemPPI[],14,FALSE))</f>
        <v>1.6619989045097683</v>
      </c>
      <c r="AM404" s="373" t="str">
        <f t="shared" si="6"/>
        <v>$/lb (2016)</v>
      </c>
    </row>
    <row r="405" spans="1:39">
      <c r="A405" s="263" t="s">
        <v>1503</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05" s="372">
        <f>IF(ISTEXT(RawMaterials[[#This Row],[Unit price in quote year]]),"Check calcs",RawMaterials[[#This Row],[Unit price in quote year]]/VLOOKUP(RawMaterials[[#This Row],[Quote Year]],ChemPPI[],14,FALSE)*VLOOKUP(BasisYear,ChemPPI[],14,FALSE))</f>
        <v>1.7673368632463027</v>
      </c>
      <c r="AM405" s="373" t="str">
        <f t="shared" si="6"/>
        <v>$/lb (2016)</v>
      </c>
    </row>
    <row r="406" spans="1:39">
      <c r="A406" s="263" t="s">
        <v>1504</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v>
      </c>
      <c r="AL406" s="372">
        <f>IF(ISTEXT(RawMaterials[[#This Row],[Unit price in quote year]]),"Check calcs",RawMaterials[[#This Row],[Unit price in quote year]]/VLOOKUP(RawMaterials[[#This Row],[Quote Year]],ChemPPI[],14,FALSE)*VLOOKUP(BasisYear,ChemPPI[],14,FALSE))</f>
        <v>2.3642519627533325</v>
      </c>
      <c r="AM406" s="373" t="str">
        <f t="shared" si="6"/>
        <v>$/lb (2016)</v>
      </c>
    </row>
    <row r="407" spans="1:39">
      <c r="A407" s="263" t="s">
        <v>1505</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2.0299999999999998</v>
      </c>
      <c r="AL407" s="372">
        <f>IF(ISTEXT(RawMaterials[[#This Row],[Unit price in quote year]]),"Check calcs",RawMaterials[[#This Row],[Unit price in quote year]]/VLOOKUP(RawMaterials[[#This Row],[Quote Year]],ChemPPI[],14,FALSE)*VLOOKUP(BasisYear,ChemPPI[],14,FALSE))</f>
        <v>2.375956180390725</v>
      </c>
      <c r="AM407" s="373" t="str">
        <f t="shared" si="6"/>
        <v>$/lb (2016)</v>
      </c>
    </row>
    <row r="408" spans="1:39">
      <c r="A408" s="263" t="s">
        <v>1506</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1.4350000000000001</v>
      </c>
      <c r="AL408" s="372">
        <f>IF(ISTEXT(RawMaterials[[#This Row],[Unit price in quote year]]),"Check calcs",RawMaterials[[#This Row],[Unit price in quote year]]/VLOOKUP(RawMaterials[[#This Row],[Quote Year]],ChemPPI[],14,FALSE)*VLOOKUP(BasisYear,ChemPPI[],14,FALSE))</f>
        <v>1.6795552309658572</v>
      </c>
      <c r="AM408" s="373" t="str">
        <f t="shared" si="6"/>
        <v>$/lb (2016)</v>
      </c>
    </row>
    <row r="409" spans="1:39">
      <c r="A409" s="263" t="s">
        <v>1507</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409" s="372">
        <f>IF(ISTEXT(RawMaterials[[#This Row],[Unit price in quote year]]),"Check calcs",RawMaterials[[#This Row],[Unit price in quote year]]/VLOOKUP(RawMaterials[[#This Row],[Quote Year]],ChemPPI[],14,FALSE)*VLOOKUP(BasisYear,ChemPPI[],14,FALSE))</f>
        <v>1.357215447154472</v>
      </c>
      <c r="AM409" s="373" t="str">
        <f t="shared" si="6"/>
        <v>$/lb (2016)</v>
      </c>
    </row>
    <row r="410" spans="1:39">
      <c r="A410" s="263" t="s">
        <v>1508</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10" s="372">
        <f>IF(ISTEXT(RawMaterials[[#This Row],[Unit price in quote year]]),"Check calcs",RawMaterials[[#This Row],[Unit price in quote year]]/VLOOKUP(RawMaterials[[#This Row],[Quote Year]],ChemPPI[],14,FALSE)*VLOOKUP(BasisYear,ChemPPI[],14,FALSE))</f>
        <v>2.0493953252032524</v>
      </c>
      <c r="AM410" s="373" t="str">
        <f t="shared" si="6"/>
        <v>$/lb (2016)</v>
      </c>
    </row>
    <row r="411" spans="1:39">
      <c r="A411" s="263" t="s">
        <v>1509</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1.075</v>
      </c>
      <c r="AL411" s="372">
        <f>IF(ISTEXT(RawMaterials[[#This Row],[Unit price in quote year]]),"Check calcs",RawMaterials[[#This Row],[Unit price in quote year]]/VLOOKUP(RawMaterials[[#This Row],[Quote Year]],ChemPPI[],14,FALSE)*VLOOKUP(BasisYear,ChemPPI[],14,FALSE))</f>
        <v>1.258203396019719</v>
      </c>
      <c r="AM411" s="373" t="str">
        <f t="shared" si="6"/>
        <v>$/lb (2016)</v>
      </c>
    </row>
    <row r="412" spans="1:39">
      <c r="A412" s="263" t="s">
        <v>1510</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2" s="372">
        <f>IF(ISTEXT(RawMaterials[[#This Row],[Unit price in quote year]]),"Check calcs",RawMaterials[[#This Row],[Unit price in quote year]]/VLOOKUP(RawMaterials[[#This Row],[Quote Year]],ChemPPI[],14,FALSE)*VLOOKUP(BasisYear,ChemPPI[],14,FALSE))</f>
        <v>0.84855577871097321</v>
      </c>
      <c r="AM412" s="373" t="str">
        <f t="shared" si="6"/>
        <v>$/lb (2016)</v>
      </c>
    </row>
    <row r="413" spans="1:39">
      <c r="A413" s="263" t="s">
        <v>1511</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3" s="372">
        <f>IF(ISTEXT(RawMaterials[[#This Row],[Unit price in quote year]]),"Check calcs",RawMaterials[[#This Row],[Unit price in quote year]]/VLOOKUP(RawMaterials[[#This Row],[Quote Year]],ChemPPI[],14,FALSE)*VLOOKUP(BasisYear,ChemPPI[],14,FALSE))</f>
        <v>0.84855577871097321</v>
      </c>
      <c r="AM413" s="373" t="str">
        <f t="shared" si="6"/>
        <v>$/lb (2016)</v>
      </c>
    </row>
    <row r="414" spans="1:39">
      <c r="A414" s="263" t="s">
        <v>1512</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414" s="372">
        <f>IF(ISTEXT(RawMaterials[[#This Row],[Unit price in quote year]]),"Check calcs",RawMaterials[[#This Row],[Unit price in quote year]]/VLOOKUP(RawMaterials[[#This Row],[Quote Year]],ChemPPI[],14,FALSE)*VLOOKUP(BasisYear,ChemPPI[],14,FALSE))</f>
        <v>0.90707686689793698</v>
      </c>
      <c r="AM414" s="373" t="str">
        <f t="shared" si="6"/>
        <v>$/lb (2016)</v>
      </c>
    </row>
    <row r="415" spans="1:39">
      <c r="A415" s="263" t="s">
        <v>1513</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415" s="372">
        <f>IF(ISTEXT(RawMaterials[[#This Row],[Unit price in quote year]]),"Check calcs",RawMaterials[[#This Row],[Unit price in quote year]]/VLOOKUP(RawMaterials[[#This Row],[Quote Year]],ChemPPI[],14,FALSE)*VLOOKUP(BasisYear,ChemPPI[],14,FALSE))</f>
        <v>0.91878108453532847</v>
      </c>
      <c r="AM415" s="373" t="str">
        <f t="shared" si="6"/>
        <v>$/lb (2016)</v>
      </c>
    </row>
    <row r="416" spans="1:39">
      <c r="A416" s="263" t="s">
        <v>1514</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16" s="372">
        <f>IF(ISTEXT(RawMaterials[[#This Row],[Unit price in quote year]]),"Check calcs",RawMaterials[[#This Row],[Unit price in quote year]]/VLOOKUP(RawMaterials[[#This Row],[Quote Year]],ChemPPI[],14,FALSE)*VLOOKUP(BasisYear,ChemPPI[],14,FALSE))</f>
        <v>0.84270366989227674</v>
      </c>
      <c r="AM416" s="373" t="str">
        <f t="shared" si="6"/>
        <v>$/lb (2016)</v>
      </c>
    </row>
    <row r="417" spans="1:39">
      <c r="A417" s="263" t="s">
        <v>1515</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7" s="372">
        <f>IF(ISTEXT(RawMaterials[[#This Row],[Unit price in quote year]]),"Check calcs",RawMaterials[[#This Row],[Unit price in quote year]]/VLOOKUP(RawMaterials[[#This Row],[Quote Year]],ChemPPI[],14,FALSE)*VLOOKUP(BasisYear,ChemPPI[],14,FALSE))</f>
        <v>0.94218951981011401</v>
      </c>
      <c r="AM417" s="373" t="str">
        <f t="shared" si="6"/>
        <v>$/lb (2016)</v>
      </c>
    </row>
    <row r="418" spans="1:39">
      <c r="A418" s="263" t="s">
        <v>1516</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0.86499999999999999</v>
      </c>
      <c r="AL418" s="372">
        <f>IF(ISTEXT(RawMaterials[[#This Row],[Unit price in quote year]]),"Check calcs",RawMaterials[[#This Row],[Unit price in quote year]]/VLOOKUP(RawMaterials[[#This Row],[Quote Year]],ChemPPI[],14,FALSE)*VLOOKUP(BasisYear,ChemPPI[],14,FALSE))</f>
        <v>1.0124148256344714</v>
      </c>
      <c r="AM418" s="373" t="str">
        <f t="shared" si="6"/>
        <v>$/lb (2016)</v>
      </c>
    </row>
    <row r="419" spans="1:39">
      <c r="A419" s="263" t="s">
        <v>1517</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9" s="372">
        <f>IF(ISTEXT(RawMaterials[[#This Row],[Unit price in quote year]]),"Check calcs",RawMaterials[[#This Row],[Unit price in quote year]]/VLOOKUP(RawMaterials[[#This Row],[Quote Year]],ChemPPI[],14,FALSE)*VLOOKUP(BasisYear,ChemPPI[],14,FALSE))</f>
        <v>0.94218951981011401</v>
      </c>
      <c r="AM419" s="373" t="str">
        <f t="shared" si="6"/>
        <v>$/lb (2016)</v>
      </c>
    </row>
    <row r="420" spans="1:39">
      <c r="A420" s="263" t="s">
        <v>1518</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0.88500000000000001</v>
      </c>
      <c r="AL420" s="372">
        <f>IF(ISTEXT(RawMaterials[[#This Row],[Unit price in quote year]]),"Check calcs",RawMaterials[[#This Row],[Unit price in quote year]]/VLOOKUP(RawMaterials[[#This Row],[Quote Year]],ChemPPI[],14,FALSE)*VLOOKUP(BasisYear,ChemPPI[],14,FALSE))</f>
        <v>1.0358232609092568</v>
      </c>
      <c r="AM420" s="373" t="str">
        <f t="shared" si="6"/>
        <v>$/lb (2016)</v>
      </c>
    </row>
    <row r="421" spans="1:39">
      <c r="A421" s="263" t="s">
        <v>1519</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1" s="372">
        <f>IF(ISTEXT(RawMaterials[[#This Row],[Unit price in quote year]]),"Check calcs",RawMaterials[[#This Row],[Unit price in quote year]]/VLOOKUP(RawMaterials[[#This Row],[Quote Year]],ChemPPI[],14,FALSE)*VLOOKUP(BasisYear,ChemPPI[],14,FALSE))</f>
        <v>1.0241190432718643</v>
      </c>
      <c r="AM421" s="373" t="str">
        <f t="shared" si="6"/>
        <v>$/lb (2016)</v>
      </c>
    </row>
    <row r="422" spans="1:39">
      <c r="A422" s="263" t="s">
        <v>1520</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2" s="372">
        <f>IF(ISTEXT(RawMaterials[[#This Row],[Unit price in quote year]]),"Check calcs",RawMaterials[[#This Row],[Unit price in quote year]]/VLOOKUP(RawMaterials[[#This Row],[Quote Year]],ChemPPI[],14,FALSE)*VLOOKUP(BasisYear,ChemPPI[],14,FALSE))</f>
        <v>1.0241190432718643</v>
      </c>
      <c r="AM422" s="373" t="str">
        <f t="shared" si="6"/>
        <v>$/lb (2016)</v>
      </c>
    </row>
    <row r="423" spans="1:39">
      <c r="A423" s="263" t="s">
        <v>1521</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423" s="372">
        <f>IF(ISTEXT(RawMaterials[[#This Row],[Unit price in quote year]]),"Check calcs",RawMaterials[[#This Row],[Unit price in quote year]]/VLOOKUP(RawMaterials[[#This Row],[Quote Year]],ChemPPI[],14,FALSE)*VLOOKUP(BasisYear,ChemPPI[],14,FALSE))</f>
        <v>1.0592316961840424</v>
      </c>
      <c r="AM423" s="373" t="str">
        <f t="shared" si="6"/>
        <v>$/lb (2016)</v>
      </c>
    </row>
    <row r="424" spans="1:39">
      <c r="A424" s="263" t="s">
        <v>1522</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4" s="372">
        <f>IF(ISTEXT(RawMaterials[[#This Row],[Unit price in quote year]]),"Check calcs",RawMaterials[[#This Row],[Unit price in quote year]]/VLOOKUP(RawMaterials[[#This Row],[Quote Year]],ChemPPI[],14,FALSE)*VLOOKUP(BasisYear,ChemPPI[],14,FALSE))</f>
        <v>1.0299711520905606</v>
      </c>
      <c r="AM424" s="373" t="str">
        <f t="shared" si="6"/>
        <v>$/lb (2016)</v>
      </c>
    </row>
    <row r="425" spans="1:39">
      <c r="A425" s="263" t="s">
        <v>1523</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5" s="372">
        <f>IF(ISTEXT(RawMaterials[[#This Row],[Unit price in quote year]]),"Check calcs",RawMaterials[[#This Row],[Unit price in quote year]]/VLOOKUP(RawMaterials[[#This Row],[Quote Year]],ChemPPI[],14,FALSE)*VLOOKUP(BasisYear,ChemPPI[],14,FALSE))</f>
        <v>1.0299711520905606</v>
      </c>
      <c r="AM425" s="373" t="str">
        <f t="shared" si="6"/>
        <v>$/lb (2016)</v>
      </c>
    </row>
    <row r="426" spans="1:39">
      <c r="A426" s="263" t="s">
        <v>1524</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6" s="372">
        <f>IF(ISTEXT(RawMaterials[[#This Row],[Unit price in quote year]]),"Check calcs",RawMaterials[[#This Row],[Unit price in quote year]]/VLOOKUP(RawMaterials[[#This Row],[Quote Year]],ChemPPI[],14,FALSE)*VLOOKUP(BasisYear,ChemPPI[],14,FALSE))</f>
        <v>0.95389373744750772</v>
      </c>
      <c r="AM426" s="373" t="str">
        <f t="shared" si="6"/>
        <v>$/lb (2016)</v>
      </c>
    </row>
    <row r="427" spans="1:39">
      <c r="A427" s="263" t="s">
        <v>1525</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7" s="372">
        <f>IF(ISTEXT(RawMaterials[[#This Row],[Unit price in quote year]]),"Check calcs",RawMaterials[[#This Row],[Unit price in quote year]]/VLOOKUP(RawMaterials[[#This Row],[Quote Year]],ChemPPI[],14,FALSE)*VLOOKUP(BasisYear,ChemPPI[],14,FALSE))</f>
        <v>0.95389373744750772</v>
      </c>
      <c r="AM427" s="373" t="str">
        <f t="shared" si="6"/>
        <v>$/lb (2016)</v>
      </c>
    </row>
    <row r="428" spans="1:39">
      <c r="A428" s="263" t="s">
        <v>1526</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428" s="372">
        <f>IF(ISTEXT(RawMaterials[[#This Row],[Unit price in quote year]]),"Check calcs",RawMaterials[[#This Row],[Unit price in quote year]]/VLOOKUP(RawMaterials[[#This Row],[Quote Year]],ChemPPI[],14,FALSE)*VLOOKUP(BasisYear,ChemPPI[],14,FALSE))</f>
        <v>1.0884922402775243</v>
      </c>
      <c r="AM428" s="373" t="str">
        <f t="shared" si="6"/>
        <v>$/lb (2016)</v>
      </c>
    </row>
    <row r="429" spans="1:39">
      <c r="A429" s="263" t="s">
        <v>1527</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429" s="372">
        <f>IF(ISTEXT(RawMaterials[[#This Row],[Unit price in quote year]]),"Check calcs",RawMaterials[[#This Row],[Unit price in quote year]]/VLOOKUP(RawMaterials[[#This Row],[Quote Year]],ChemPPI[],14,FALSE)*VLOOKUP(BasisYear,ChemPPI[],14,FALSE))</f>
        <v>1.1119006755523098</v>
      </c>
      <c r="AM429" s="373" t="str">
        <f t="shared" si="6"/>
        <v>$/lb (2016)</v>
      </c>
    </row>
    <row r="430" spans="1:39">
      <c r="A430" s="263" t="s">
        <v>1528</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30" s="372">
        <f>IF(ISTEXT(RawMaterials[[#This Row],[Unit price in quote year]]),"Check calcs",RawMaterials[[#This Row],[Unit price in quote year]]/VLOOKUP(RawMaterials[[#This Row],[Quote Year]],ChemPPI[],14,FALSE)*VLOOKUP(BasisYear,ChemPPI[],14,FALSE))</f>
        <v>1.0475274785466497</v>
      </c>
      <c r="AM430" s="373" t="str">
        <f t="shared" si="6"/>
        <v>$/lb (2016)</v>
      </c>
    </row>
    <row r="431" spans="1:39">
      <c r="A431" s="263" t="s">
        <v>1529</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1.0149999999999999</v>
      </c>
      <c r="AL431" s="372">
        <f>IF(ISTEXT(RawMaterials[[#This Row],[Unit price in quote year]]),"Check calcs",RawMaterials[[#This Row],[Unit price in quote year]]/VLOOKUP(RawMaterials[[#This Row],[Quote Year]],ChemPPI[],14,FALSE)*VLOOKUP(BasisYear,ChemPPI[],14,FALSE))</f>
        <v>1.1879780901953625</v>
      </c>
      <c r="AM431" s="373" t="str">
        <f t="shared" si="6"/>
        <v>$/lb (2016)</v>
      </c>
    </row>
    <row r="432" spans="1:39">
      <c r="A432" s="263" t="s">
        <v>1530</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1.0349999999999999</v>
      </c>
      <c r="AL432" s="372">
        <f>IF(ISTEXT(RawMaterials[[#This Row],[Unit price in quote year]]),"Check calcs",RawMaterials[[#This Row],[Unit price in quote year]]/VLOOKUP(RawMaterials[[#This Row],[Quote Year]],ChemPPI[],14,FALSE)*VLOOKUP(BasisYear,ChemPPI[],14,FALSE))</f>
        <v>1.2113865254701477</v>
      </c>
      <c r="AM432" s="373" t="str">
        <f t="shared" si="6"/>
        <v>$/lb (2016)</v>
      </c>
    </row>
    <row r="433" spans="1:39">
      <c r="A433" s="263" t="s">
        <v>1531</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1.0549999999999999</v>
      </c>
      <c r="AL433" s="372">
        <f>IF(ISTEXT(RawMaterials[[#This Row],[Unit price in quote year]]),"Check calcs",RawMaterials[[#This Row],[Unit price in quote year]]/VLOOKUP(RawMaterials[[#This Row],[Quote Year]],ChemPPI[],14,FALSE)*VLOOKUP(BasisYear,ChemPPI[],14,FALSE))</f>
        <v>1.2347949607449333</v>
      </c>
      <c r="AM433" s="373" t="str">
        <f t="shared" si="6"/>
        <v>$/lb (2016)</v>
      </c>
    </row>
    <row r="434" spans="1:39">
      <c r="A434" s="263" t="s">
        <v>1532</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v>
      </c>
      <c r="AL434" s="372">
        <f>IF(ISTEXT(RawMaterials[[#This Row],[Unit price in quote year]]),"Check calcs",RawMaterials[[#This Row],[Unit price in quote year]]/VLOOKUP(RawMaterials[[#This Row],[Quote Year]],ChemPPI[],14,FALSE)*VLOOKUP(BasisYear,ChemPPI[],14,FALSE))</f>
        <v>1.0767880226401316</v>
      </c>
      <c r="AM434" s="373" t="str">
        <f t="shared" si="6"/>
        <v>$/lb (2016)</v>
      </c>
    </row>
    <row r="435" spans="1:39">
      <c r="A435" s="263" t="s">
        <v>1533</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435" s="372">
        <f>IF(ISTEXT(RawMaterials[[#This Row],[Unit price in quote year]]),"Check calcs",RawMaterials[[#This Row],[Unit price in quote year]]/VLOOKUP(RawMaterials[[#This Row],[Quote Year]],ChemPPI[],14,FALSE)*VLOOKUP(BasisYear,ChemPPI[],14,FALSE))</f>
        <v>0.76077414643052654</v>
      </c>
      <c r="AM435" s="373" t="str">
        <f t="shared" si="6"/>
        <v>$/lb (2016)</v>
      </c>
    </row>
    <row r="436" spans="1:39">
      <c r="A436" s="263" t="s">
        <v>1534</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v>
      </c>
      <c r="AL436" s="372">
        <f>IF(ISTEXT(RawMaterials[[#This Row],[Unit price in quote year]]),"Check calcs",RawMaterials[[#This Row],[Unit price in quote year]]/VLOOKUP(RawMaterials[[#This Row],[Quote Year]],ChemPPI[],14,FALSE)*VLOOKUP(BasisYear,ChemPPI[],14,FALSE))</f>
        <v>0.71395727588095681</v>
      </c>
      <c r="AM436" s="373" t="str">
        <f t="shared" si="6"/>
        <v>$/lb (2016)</v>
      </c>
    </row>
    <row r="437" spans="1:39">
      <c r="A437" s="263" t="s">
        <v>1535</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v>
      </c>
      <c r="AL437" s="372">
        <f>IF(ISTEXT(RawMaterials[[#This Row],[Unit price in quote year]]),"Check calcs",RawMaterials[[#This Row],[Unit price in quote year]]/VLOOKUP(RawMaterials[[#This Row],[Quote Year]],ChemPPI[],14,FALSE)*VLOOKUP(BasisYear,ChemPPI[],14,FALSE))</f>
        <v>1.2640555048384154</v>
      </c>
      <c r="AM437" s="373" t="str">
        <f t="shared" si="6"/>
        <v>$/lb (2016)</v>
      </c>
    </row>
    <row r="438" spans="1:39">
      <c r="A438" s="263" t="s">
        <v>1536</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438" s="372">
        <f>IF(ISTEXT(RawMaterials[[#This Row],[Unit price in quote year]]),"Check calcs",RawMaterials[[#This Row],[Unit price in quote year]]/VLOOKUP(RawMaterials[[#This Row],[Quote Year]],ChemPPI[],14,FALSE)*VLOOKUP(BasisYear,ChemPPI[],14,FALSE))</f>
        <v>0.54288617886178869</v>
      </c>
      <c r="AM438" s="373" t="str">
        <f t="shared" si="6"/>
        <v>$/lb (2016)</v>
      </c>
    </row>
    <row r="439" spans="1:39">
      <c r="A439" s="263" t="s">
        <v>1537</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439" s="372">
        <f>IF(ISTEXT(RawMaterials[[#This Row],[Unit price in quote year]]),"Check calcs",RawMaterials[[#This Row],[Unit price in quote year]]/VLOOKUP(RawMaterials[[#This Row],[Quote Year]],ChemPPI[],14,FALSE)*VLOOKUP(BasisYear,ChemPPI[],14,FALSE))</f>
        <v>0.529314024390244</v>
      </c>
      <c r="AM439" s="373" t="str">
        <f t="shared" si="6"/>
        <v>$/lb (2016)</v>
      </c>
    </row>
    <row r="440" spans="1:39">
      <c r="A440" s="263" t="s">
        <v>1538</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440" s="372">
        <f>IF(ISTEXT(RawMaterials[[#This Row],[Unit price in quote year]]),"Check calcs",RawMaterials[[#This Row],[Unit price in quote year]]/VLOOKUP(RawMaterials[[#This Row],[Quote Year]],ChemPPI[],14,FALSE)*VLOOKUP(BasisYear,ChemPPI[],14,FALSE))</f>
        <v>0.2442987804878049</v>
      </c>
      <c r="AM440" s="373" t="str">
        <f t="shared" si="6"/>
        <v>$/lb (2016)</v>
      </c>
    </row>
    <row r="441" spans="1:39">
      <c r="A441" s="263" t="s">
        <v>1539</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41" s="372">
        <f>IF(ISTEXT(RawMaterials[[#This Row],[Unit price in quote year]]),"Check calcs",RawMaterials[[#This Row],[Unit price in quote year]]/VLOOKUP(RawMaterials[[#This Row],[Quote Year]],ChemPPI[],14,FALSE)*VLOOKUP(BasisYear,ChemPPI[],14,FALSE))</f>
        <v>0.69217987804878056</v>
      </c>
      <c r="AM441" s="373" t="str">
        <f t="shared" si="6"/>
        <v>$/lb (2016)</v>
      </c>
    </row>
    <row r="442" spans="1:39">
      <c r="A442" s="263" t="s">
        <v>1540</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442" s="372">
        <f>IF(ISTEXT(RawMaterials[[#This Row],[Unit price in quote year]]),"Check calcs",RawMaterials[[#This Row],[Unit price in quote year]]/VLOOKUP(RawMaterials[[#This Row],[Quote Year]],ChemPPI[],14,FALSE)*VLOOKUP(BasisYear,ChemPPI[],14,FALSE))</f>
        <v>0.58360264227642289</v>
      </c>
      <c r="AM442" s="373" t="str">
        <f t="shared" si="6"/>
        <v>$/lb (2016)</v>
      </c>
    </row>
    <row r="443" spans="1:39">
      <c r="A443" s="263" t="s">
        <v>1541</v>
      </c>
      <c r="B443" s="264"/>
      <c r="C443" s="271"/>
      <c r="D443" s="365"/>
      <c r="E443" s="264">
        <v>100</v>
      </c>
      <c r="F443" s="264"/>
      <c r="G443" s="271"/>
      <c r="H443" s="271"/>
      <c r="I443" s="268"/>
      <c r="J443" s="271"/>
      <c r="K443" s="271"/>
      <c r="L443" s="271"/>
      <c r="M443" s="271"/>
      <c r="N443" s="271"/>
      <c r="O443" s="271"/>
      <c r="P443" s="265">
        <v>115</v>
      </c>
      <c r="Q443" s="264">
        <v>1</v>
      </c>
      <c r="R443" s="264" t="s">
        <v>406</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5.7500000000000002E-2</v>
      </c>
      <c r="AL443" s="372">
        <f>IF(ISTEXT(RawMaterials[[#This Row],[Unit price in quote year]]),"Check calcs",RawMaterials[[#This Row],[Unit price in quote year]]/VLOOKUP(RawMaterials[[#This Row],[Quote Year]],ChemPPI[],14,FALSE)*VLOOKUP(BasisYear,ChemPPI[],14,FALSE))</f>
        <v>7.8039888211382136E-2</v>
      </c>
      <c r="AM443" s="373" t="str">
        <f t="shared" si="6"/>
        <v>$/lb (2016)</v>
      </c>
    </row>
    <row r="444" spans="1:39">
      <c r="A444" s="263" t="s">
        <v>1542</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4" s="372">
        <f>IF(ISTEXT(RawMaterials[[#This Row],[Unit price in quote year]]),"Check calcs",RawMaterials[[#This Row],[Unit price in quote year]]/VLOOKUP(RawMaterials[[#This Row],[Quote Year]],ChemPPI[],14,FALSE)*VLOOKUP(BasisYear,ChemPPI[],14,FALSE))</f>
        <v>0.73289634146341476</v>
      </c>
      <c r="AM444" s="373" t="str">
        <f t="shared" si="6"/>
        <v>$/lb (2016)</v>
      </c>
    </row>
    <row r="445" spans="1:39">
      <c r="A445" s="263" t="s">
        <v>1543</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5" s="372">
        <f>IF(ISTEXT(RawMaterials[[#This Row],[Unit price in quote year]]),"Check calcs",RawMaterials[[#This Row],[Unit price in quote year]]/VLOOKUP(RawMaterials[[#This Row],[Quote Year]],ChemPPI[],14,FALSE)*VLOOKUP(BasisYear,ChemPPI[],14,FALSE))</f>
        <v>0.73289634146341476</v>
      </c>
      <c r="AM445" s="373" t="str">
        <f t="shared" si="6"/>
        <v>$/lb (2016)</v>
      </c>
    </row>
    <row r="446" spans="1:39">
      <c r="A446" s="263" t="s">
        <v>1544</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446" s="372">
        <f>IF(ISTEXT(RawMaterials[[#This Row],[Unit price in quote year]]),"Check calcs",RawMaterials[[#This Row],[Unit price in quote year]]/VLOOKUP(RawMaterials[[#This Row],[Quote Year]],ChemPPI[],14,FALSE)*VLOOKUP(BasisYear,ChemPPI[],14,FALSE))</f>
        <v>0.76004065040650426</v>
      </c>
      <c r="AM446" s="373" t="str">
        <f t="shared" si="6"/>
        <v>$/lb (2016)</v>
      </c>
    </row>
    <row r="447" spans="1:39">
      <c r="A447" s="263" t="s">
        <v>1545</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v>
      </c>
      <c r="AL447" s="372">
        <f>IF(ISTEXT(RawMaterials[[#This Row],[Unit price in quote year]]),"Check calcs",RawMaterials[[#This Row],[Unit price in quote year]]/VLOOKUP(RawMaterials[[#This Row],[Quote Year]],ChemPPI[],14,FALSE)*VLOOKUP(BasisYear,ChemPPI[],14,FALSE))</f>
        <v>2.7958638211382123</v>
      </c>
      <c r="AM447" s="373" t="str">
        <f t="shared" si="6"/>
        <v>$/lb (2016)</v>
      </c>
    </row>
    <row r="448" spans="1:39">
      <c r="A448" s="263" t="s">
        <v>1546</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48" s="372">
        <f>IF(ISTEXT(RawMaterials[[#This Row],[Unit price in quote year]]),"Check calcs",RawMaterials[[#This Row],[Unit price in quote year]]/VLOOKUP(RawMaterials[[#This Row],[Quote Year]],ChemPPI[],14,FALSE)*VLOOKUP(BasisYear,ChemPPI[],14,FALSE))</f>
        <v>2.7144308943089439</v>
      </c>
      <c r="AM448" s="373" t="str">
        <f t="shared" si="6"/>
        <v>$/lb (2016)</v>
      </c>
    </row>
    <row r="449" spans="1:39">
      <c r="A449" s="263" t="s">
        <v>1547</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v>
      </c>
      <c r="AL449" s="372">
        <f>IF(ISTEXT(RawMaterials[[#This Row],[Unit price in quote year]]),"Check calcs",RawMaterials[[#This Row],[Unit price in quote year]]/VLOOKUP(RawMaterials[[#This Row],[Quote Year]],ChemPPI[],14,FALSE)*VLOOKUP(BasisYear,ChemPPI[],14,FALSE))</f>
        <v>2.4429878048780491</v>
      </c>
      <c r="AM449" s="373" t="str">
        <f t="shared" si="6"/>
        <v>$/lb (2016)</v>
      </c>
    </row>
    <row r="450" spans="1:39">
      <c r="A450" s="263" t="s">
        <v>1548</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50" s="372">
        <f>IF(ISTEXT(RawMaterials[[#This Row],[Unit price in quote year]]),"Check calcs",RawMaterials[[#This Row],[Unit price in quote year]]/VLOOKUP(RawMaterials[[#This Row],[Quote Year]],ChemPPI[],14,FALSE)*VLOOKUP(BasisYear,ChemPPI[],14,FALSE))</f>
        <v>2.6465701219512199</v>
      </c>
      <c r="AM450" s="373" t="str">
        <f t="shared" si="6"/>
        <v>$/lb (2016)</v>
      </c>
    </row>
    <row r="451" spans="1:39">
      <c r="A451" s="263" t="s">
        <v>1549</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0.84368180820000005</v>
      </c>
      <c r="AL451" s="372">
        <f>IF(ISTEXT(RawMaterials[[#This Row],[Unit price in quote year]]),"Check calcs",RawMaterials[[#This Row],[Unit price in quote year]]/VLOOKUP(RawMaterials[[#This Row],[Quote Year]],ChemPPI[],14,FALSE)*VLOOKUP(BasisYear,ChemPPI[],14,FALSE))</f>
        <v>1.1450579825722562</v>
      </c>
      <c r="AM451" s="373" t="str">
        <f t="shared" si="6"/>
        <v>$/lb (2016)</v>
      </c>
    </row>
    <row r="452" spans="1:39">
      <c r="A452" s="263" t="s">
        <v>1550</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452" s="372">
        <f>IF(ISTEXT(RawMaterials[[#This Row],[Unit price in quote year]]),"Check calcs",RawMaterials[[#This Row],[Unit price in quote year]]/VLOOKUP(RawMaterials[[#This Row],[Quote Year]],ChemPPI[],14,FALSE)*VLOOKUP(BasisYear,ChemPPI[],14,FALSE))</f>
        <v>1.6286585365853661</v>
      </c>
      <c r="AM452" s="373" t="str">
        <f t="shared" si="6"/>
        <v>$/lb (2016)</v>
      </c>
    </row>
    <row r="453" spans="1:39">
      <c r="A453" s="263" t="s">
        <v>1551</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v>
      </c>
      <c r="AL453" s="372">
        <f>IF(ISTEXT(RawMaterials[[#This Row],[Unit price in quote year]]),"Check calcs",RawMaterials[[#This Row],[Unit price in quote year]]/VLOOKUP(RawMaterials[[#This Row],[Quote Year]],ChemPPI[],14,FALSE)*VLOOKUP(BasisYear,ChemPPI[],14,FALSE))</f>
        <v>1.0722002032520328</v>
      </c>
      <c r="AM453" s="373" t="str">
        <f t="shared" si="6"/>
        <v>$/lb (2016)</v>
      </c>
    </row>
    <row r="454" spans="1:39">
      <c r="A454" s="263" t="s">
        <v>1552</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454" s="372">
        <f>IF(ISTEXT(RawMaterials[[#This Row],[Unit price in quote year]]),"Check calcs",RawMaterials[[#This Row],[Unit price in quote year]]/VLOOKUP(RawMaterials[[#This Row],[Quote Year]],ChemPPI[],14,FALSE)*VLOOKUP(BasisYear,ChemPPI[],14,FALSE))</f>
        <v>1.1197027439024392</v>
      </c>
      <c r="AM454" s="373" t="str">
        <f t="shared" si="6"/>
        <v>$/lb (2016)</v>
      </c>
    </row>
    <row r="455" spans="1:39">
      <c r="A455" s="263" t="s">
        <v>1553</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4.0999999999999996</v>
      </c>
      <c r="AL455" s="372">
        <f>IF(ISTEXT(RawMaterials[[#This Row],[Unit price in quote year]]),"Check calcs",RawMaterials[[#This Row],[Unit price in quote year]]/VLOOKUP(RawMaterials[[#This Row],[Quote Year]],ChemPPI[],14,FALSE)*VLOOKUP(BasisYear,ChemPPI[],14,FALSE))</f>
        <v>5.5645833333333332</v>
      </c>
      <c r="AM455" s="373" t="str">
        <f t="shared" si="6"/>
        <v>$/lb (2016)</v>
      </c>
    </row>
    <row r="456" spans="1:39">
      <c r="A456" s="263" t="s">
        <v>1554</v>
      </c>
      <c r="B456" s="264"/>
      <c r="C456" s="271"/>
      <c r="D456" s="365"/>
      <c r="E456" s="264">
        <v>100</v>
      </c>
      <c r="F456" s="264"/>
      <c r="G456" s="271"/>
      <c r="H456" s="271"/>
      <c r="I456" s="268"/>
      <c r="J456" s="271"/>
      <c r="K456" s="271"/>
      <c r="L456" s="271"/>
      <c r="M456" s="271"/>
      <c r="N456" s="271"/>
      <c r="O456" s="271"/>
      <c r="P456" s="265">
        <v>195</v>
      </c>
      <c r="Q456" s="264">
        <v>1</v>
      </c>
      <c r="R456" s="264" t="s">
        <v>406</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9.7500000000000003E-2</v>
      </c>
      <c r="AL456" s="372">
        <f>IF(ISTEXT(RawMaterials[[#This Row],[Unit price in quote year]]),"Check calcs",RawMaterials[[#This Row],[Unit price in quote year]]/VLOOKUP(RawMaterials[[#This Row],[Quote Year]],ChemPPI[],14,FALSE)*VLOOKUP(BasisYear,ChemPPI[],14,FALSE))</f>
        <v>0.132328506097561</v>
      </c>
      <c r="AM456" s="373" t="str">
        <f t="shared" si="6"/>
        <v>$/lb (2016)</v>
      </c>
    </row>
    <row r="457" spans="1:39">
      <c r="A457" s="263" t="s">
        <v>1555</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7" s="372">
        <f>IF(ISTEXT(RawMaterials[[#This Row],[Unit price in quote year]]),"Check calcs",RawMaterials[[#This Row],[Unit price in quote year]]/VLOOKUP(RawMaterials[[#This Row],[Quote Year]],ChemPPI[],14,FALSE)*VLOOKUP(BasisYear,ChemPPI[],14,FALSE))</f>
        <v>2.6329979674796755</v>
      </c>
      <c r="AM457" s="373" t="str">
        <f t="shared" si="6"/>
        <v>$/lb (2016)</v>
      </c>
    </row>
    <row r="458" spans="1:39">
      <c r="A458" s="263" t="s">
        <v>1556</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1.1499999999999999</v>
      </c>
      <c r="AL458" s="372">
        <f>IF(ISTEXT(RawMaterials[[#This Row],[Unit price in quote year]]),"Check calcs",RawMaterials[[#This Row],[Unit price in quote year]]/VLOOKUP(RawMaterials[[#This Row],[Quote Year]],ChemPPI[],14,FALSE)*VLOOKUP(BasisYear,ChemPPI[],14,FALSE))</f>
        <v>1.5607977642276423</v>
      </c>
      <c r="AM458" s="373" t="str">
        <f t="shared" si="6"/>
        <v>$/lb (2016)</v>
      </c>
    </row>
    <row r="459" spans="1:39">
      <c r="A459" s="263" t="s">
        <v>1557</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9" s="372">
        <f>IF(ISTEXT(RawMaterials[[#This Row],[Unit price in quote year]]),"Check calcs",RawMaterials[[#This Row],[Unit price in quote year]]/VLOOKUP(RawMaterials[[#This Row],[Quote Year]],ChemPPI[],14,FALSE)*VLOOKUP(BasisYear,ChemPPI[],14,FALSE))</f>
        <v>2.6329979674796755</v>
      </c>
      <c r="AM459" s="373" t="str">
        <f t="shared" si="6"/>
        <v>$/lb (2016)</v>
      </c>
    </row>
    <row r="460" spans="1:39">
      <c r="A460" s="263" t="s">
        <v>1558</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0.90718474000000004</v>
      </c>
      <c r="AL460" s="372">
        <f>IF(ISTEXT(RawMaterials[[#This Row],[Unit price in quote year]]),"Check calcs",RawMaterials[[#This Row],[Unit price in quote year]]/VLOOKUP(RawMaterials[[#This Row],[Quote Year]],ChemPPI[],14,FALSE)*VLOOKUP(BasisYear,ChemPPI[],14,FALSE))</f>
        <v>1.2312451425508133</v>
      </c>
      <c r="AM460" s="373" t="str">
        <f t="shared" si="6"/>
        <v>$/lb (2016)</v>
      </c>
    </row>
    <row r="461" spans="1:39">
      <c r="A461" s="263" t="s">
        <v>1559</v>
      </c>
      <c r="B461" s="264"/>
      <c r="C461" s="271"/>
      <c r="D461" s="365"/>
      <c r="E461" s="264">
        <v>100</v>
      </c>
      <c r="F461" s="264"/>
      <c r="G461" s="271"/>
      <c r="H461" s="271"/>
      <c r="I461" s="268"/>
      <c r="J461" s="271"/>
      <c r="K461" s="271"/>
      <c r="L461" s="271"/>
      <c r="M461" s="271"/>
      <c r="N461" s="271"/>
      <c r="O461" s="271"/>
      <c r="P461" s="265">
        <v>87</v>
      </c>
      <c r="Q461" s="264">
        <v>1</v>
      </c>
      <c r="R461" s="264" t="s">
        <v>406</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461" s="372">
        <f>IF(ISTEXT(RawMaterials[[#This Row],[Unit price in quote year]]),"Check calcs",RawMaterials[[#This Row],[Unit price in quote year]]/VLOOKUP(RawMaterials[[#This Row],[Quote Year]],ChemPPI[],14,FALSE)*VLOOKUP(BasisYear,ChemPPI[],14,FALSE))</f>
        <v>5.903887195121952E-2</v>
      </c>
      <c r="AM461" s="373" t="str">
        <f t="shared" si="6"/>
        <v>$/lb (2016)</v>
      </c>
    </row>
    <row r="462" spans="1:39">
      <c r="A462" s="263" t="s">
        <v>1560</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462" s="372">
        <f>IF(ISTEXT(RawMaterials[[#This Row],[Unit price in quote year]]),"Check calcs",RawMaterials[[#This Row],[Unit price in quote year]]/VLOOKUP(RawMaterials[[#This Row],[Quote Year]],ChemPPI[],14,FALSE)*VLOOKUP(BasisYear,ChemPPI[],14,FALSE))</f>
        <v>0.74646849593495956</v>
      </c>
      <c r="AM462" s="373" t="str">
        <f t="shared" si="6"/>
        <v>$/lb (2016)</v>
      </c>
    </row>
    <row r="463" spans="1:39">
      <c r="A463" s="263" t="s">
        <v>1561</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63" s="372">
        <f>IF(ISTEXT(RawMaterials[[#This Row],[Unit price in quote year]]),"Check calcs",RawMaterials[[#This Row],[Unit price in quote year]]/VLOOKUP(RawMaterials[[#This Row],[Quote Year]],ChemPPI[],14,FALSE)*VLOOKUP(BasisYear,ChemPPI[],14,FALSE))</f>
        <v>0.82111534552845533</v>
      </c>
      <c r="AM463" s="373" t="str">
        <f t="shared" si="6"/>
        <v>$/lb (2016)</v>
      </c>
    </row>
    <row r="464" spans="1:39">
      <c r="A464" s="263" t="s">
        <v>1562</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v>
      </c>
      <c r="AL464" s="372">
        <f>IF(ISTEXT(RawMaterials[[#This Row],[Unit price in quote year]]),"Check calcs",RawMaterials[[#This Row],[Unit price in quote year]]/VLOOKUP(RawMaterials[[#This Row],[Quote Year]],ChemPPI[],14,FALSE)*VLOOKUP(BasisYear,ChemPPI[],14,FALSE))</f>
        <v>1.1821259813766662</v>
      </c>
      <c r="AM464" s="373" t="str">
        <f t="shared" ref="AM464:AM527" si="7">CurrencySymbol&amp;"/"&amp;OutMassUnit&amp;" ("&amp;BasisYear&amp;")"</f>
        <v>$/lb (2016)</v>
      </c>
    </row>
    <row r="465" spans="1:39">
      <c r="A465" s="263" t="s">
        <v>1563</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465" s="372">
        <f>IF(ISTEXT(RawMaterials[[#This Row],[Unit price in quote year]]),"Check calcs",RawMaterials[[#This Row],[Unit price in quote year]]/VLOOKUP(RawMaterials[[#This Row],[Quote Year]],ChemPPI[],14,FALSE)*VLOOKUP(BasisYear,ChemPPI[],14,FALSE))</f>
        <v>0.55595033777615488</v>
      </c>
      <c r="AM465" s="373" t="str">
        <f t="shared" si="7"/>
        <v>$/lb (2016)</v>
      </c>
    </row>
    <row r="466" spans="1:39">
      <c r="A466" s="263" t="s">
        <v>1564</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66" s="372">
        <f>IF(ISTEXT(RawMaterials[[#This Row],[Unit price in quote year]]),"Check calcs",RawMaterials[[#This Row],[Unit price in quote year]]/VLOOKUP(RawMaterials[[#This Row],[Quote Year]],ChemPPI[],14,FALSE)*VLOOKUP(BasisYear,ChemPPI[],14,FALSE))</f>
        <v>0.59691509950702948</v>
      </c>
      <c r="AM466" s="373" t="str">
        <f t="shared" si="7"/>
        <v>$/lb (2016)</v>
      </c>
    </row>
    <row r="467" spans="1:39">
      <c r="A467" s="263" t="s">
        <v>1565</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0.59</v>
      </c>
      <c r="AL467" s="372">
        <f>IF(ISTEXT(RawMaterials[[#This Row],[Unit price in quote year]]),"Check calcs",RawMaterials[[#This Row],[Unit price in quote year]]/VLOOKUP(RawMaterials[[#This Row],[Quote Year]],ChemPPI[],14,FALSE)*VLOOKUP(BasisYear,ChemPPI[],14,FALSE))</f>
        <v>0.69054884060617128</v>
      </c>
      <c r="AM467" s="373" t="str">
        <f t="shared" si="7"/>
        <v>$/lb (2016)</v>
      </c>
    </row>
    <row r="468" spans="1:39">
      <c r="A468" s="263" t="s">
        <v>1566</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468" s="372">
        <f>IF(ISTEXT(RawMaterials[[#This Row],[Unit price in quote year]]),"Check calcs",RawMaterials[[#This Row],[Unit price in quote year]]/VLOOKUP(RawMaterials[[#This Row],[Quote Year]],ChemPPI[],14,FALSE)*VLOOKUP(BasisYear,ChemPPI[],14,FALSE))</f>
        <v>0.79003469052400965</v>
      </c>
      <c r="AM468" s="373" t="str">
        <f t="shared" si="7"/>
        <v>$/lb (2016)</v>
      </c>
    </row>
    <row r="469" spans="1:39">
      <c r="A469" s="263" t="s">
        <v>1567</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469" s="372">
        <f>IF(ISTEXT(RawMaterials[[#This Row],[Unit price in quote year]]),"Check calcs",RawMaterials[[#This Row],[Unit price in quote year]]/VLOOKUP(RawMaterials[[#This Row],[Quote Year]],ChemPPI[],14,FALSE)*VLOOKUP(BasisYear,ChemPPI[],14,FALSE))</f>
        <v>0.82514734343618767</v>
      </c>
      <c r="AM469" s="373" t="str">
        <f t="shared" si="7"/>
        <v>$/lb (2016)</v>
      </c>
    </row>
    <row r="470" spans="1:39">
      <c r="A470" s="263" t="s">
        <v>1568</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70" s="372">
        <f>IF(ISTEXT(RawMaterials[[#This Row],[Unit price in quote year]]),"Check calcs",RawMaterials[[#This Row],[Unit price in quote year]]/VLOOKUP(RawMaterials[[#This Row],[Quote Year]],ChemPPI[],14,FALSE)*VLOOKUP(BasisYear,ChemPPI[],14,FALSE))</f>
        <v>0.84270366989227674</v>
      </c>
      <c r="AM470" s="373" t="str">
        <f t="shared" si="7"/>
        <v>$/lb (2016)</v>
      </c>
    </row>
    <row r="471" spans="1:39">
      <c r="A471" s="263" t="s">
        <v>1569</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471" s="372">
        <f>IF(ISTEXT(RawMaterials[[#This Row],[Unit price in quote year]]),"Check calcs",RawMaterials[[#This Row],[Unit price in quote year]]/VLOOKUP(RawMaterials[[#This Row],[Quote Year]],ChemPPI[],14,FALSE)*VLOOKUP(BasisYear,ChemPPI[],14,FALSE))</f>
        <v>0.76662625524922401</v>
      </c>
      <c r="AM471" s="373" t="str">
        <f t="shared" si="7"/>
        <v>$/lb (2016)</v>
      </c>
    </row>
    <row r="472" spans="1:39">
      <c r="A472" s="263" t="s">
        <v>1570</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72" s="372">
        <f>IF(ISTEXT(RawMaterials[[#This Row],[Unit price in quote year]]),"Check calcs",RawMaterials[[#This Row],[Unit price in quote year]]/VLOOKUP(RawMaterials[[#This Row],[Quote Year]],ChemPPI[],14,FALSE)*VLOOKUP(BasisYear,ChemPPI[],14,FALSE))</f>
        <v>0.70810516706226045</v>
      </c>
      <c r="AM472" s="373" t="str">
        <f t="shared" si="7"/>
        <v>$/lb (2016)</v>
      </c>
    </row>
    <row r="473" spans="1:39">
      <c r="A473" s="263" t="s">
        <v>1571</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473" s="372">
        <f>IF(ISTEXT(RawMaterials[[#This Row],[Unit price in quote year]]),"Check calcs",RawMaterials[[#This Row],[Unit price in quote year]]/VLOOKUP(RawMaterials[[#This Row],[Quote Year]],ChemPPI[],14,FALSE)*VLOOKUP(BasisYear,ChemPPI[],14,FALSE))</f>
        <v>0.79588679934270601</v>
      </c>
      <c r="AM473" s="373" t="str">
        <f t="shared" si="7"/>
        <v>$/lb (2016)</v>
      </c>
    </row>
    <row r="474" spans="1:39">
      <c r="A474" s="263" t="s">
        <v>1572</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474" s="372">
        <f>IF(ISTEXT(RawMaterials[[#This Row],[Unit price in quote year]]),"Check calcs",RawMaterials[[#This Row],[Unit price in quote year]]/VLOOKUP(RawMaterials[[#This Row],[Quote Year]],ChemPPI[],14,FALSE)*VLOOKUP(BasisYear,ChemPPI[],14,FALSE))</f>
        <v>0.96362296747967491</v>
      </c>
      <c r="AM474" s="373" t="str">
        <f t="shared" si="7"/>
        <v>$/lb (2016)</v>
      </c>
    </row>
    <row r="475" spans="1:39">
      <c r="A475" s="263" t="s">
        <v>1573</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75" s="372">
        <f>IF(ISTEXT(RawMaterials[[#This Row],[Unit price in quote year]]),"Check calcs",RawMaterials[[#This Row],[Unit price in quote year]]/VLOOKUP(RawMaterials[[#This Row],[Quote Year]],ChemPPI[],14,FALSE)*VLOOKUP(BasisYear,ChemPPI[],14,FALSE))</f>
        <v>1.1061305894308946</v>
      </c>
      <c r="AM475" s="373" t="str">
        <f t="shared" si="7"/>
        <v>$/lb (2016)</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1105</v>
      </c>
      <c r="U476" s="382">
        <v>43339</v>
      </c>
      <c r="V476" s="269" t="s">
        <v>1716</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34854.166666666672</v>
      </c>
      <c r="AL476" s="372">
        <f>IF(ISTEXT(RawMaterials[[#This Row],[Unit price in quote year]]),"Check calcs",RawMaterials[[#This Row],[Unit price in quote year]]/VLOOKUP(RawMaterials[[#This Row],[Quote Year]],ChemPPI[],14,FALSE)*VLOOKUP(BasisYear,ChemPPI[],14,FALSE))</f>
        <v>32383.288982421971</v>
      </c>
      <c r="AM476" s="373" t="str">
        <f t="shared" si="7"/>
        <v>$/lb (2016)</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1105</v>
      </c>
      <c r="U477" s="382">
        <v>43339</v>
      </c>
      <c r="V477" s="269" t="s">
        <v>1716</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3791.6666666666674</v>
      </c>
      <c r="AL477" s="372">
        <f>IF(ISTEXT(RawMaterials[[#This Row],[Unit price in quote year]]),"Check calcs",RawMaterials[[#This Row],[Unit price in quote year]]/VLOOKUP(RawMaterials[[#This Row],[Quote Year]],ChemPPI[],14,FALSE)*VLOOKUP(BasisYear,ChemPPI[],14,FALSE))</f>
        <v>3522.868257501972</v>
      </c>
      <c r="AM477" s="373" t="str">
        <f t="shared" si="7"/>
        <v>$/lb (2016)</v>
      </c>
    </row>
    <row r="478" spans="1:39">
      <c r="A478" s="263" t="s">
        <v>1574</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478" s="372">
        <f>IF(ISTEXT(RawMaterials[[#This Row],[Unit price in quote year]]),"Check calcs",RawMaterials[[#This Row],[Unit price in quote year]]/VLOOKUP(RawMaterials[[#This Row],[Quote Year]],ChemPPI[],14,FALSE)*VLOOKUP(BasisYear,ChemPPI[],14,FALSE))</f>
        <v>1.0857723577235774</v>
      </c>
      <c r="AM478" s="373" t="str">
        <f t="shared" si="7"/>
        <v>$/lb (2016)</v>
      </c>
    </row>
    <row r="479" spans="1:39">
      <c r="A479" s="263" t="s">
        <v>1575</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79" s="372">
        <f>IF(ISTEXT(RawMaterials[[#This Row],[Unit price in quote year]]),"Check calcs",RawMaterials[[#This Row],[Unit price in quote year]]/VLOOKUP(RawMaterials[[#This Row],[Quote Year]],ChemPPI[],14,FALSE)*VLOOKUP(BasisYear,ChemPPI[],14,FALSE))</f>
        <v>0.98398119918699201</v>
      </c>
      <c r="AM479" s="373" t="str">
        <f t="shared" si="7"/>
        <v>$/lb (2016)</v>
      </c>
    </row>
    <row r="480" spans="1:39">
      <c r="A480" s="263" t="s">
        <v>1576</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480" s="372">
        <f>IF(ISTEXT(RawMaterials[[#This Row],[Unit price in quote year]]),"Check calcs",RawMaterials[[#This Row],[Unit price in quote year]]/VLOOKUP(RawMaterials[[#This Row],[Quote Year]],ChemPPI[],14,FALSE)*VLOOKUP(BasisYear,ChemPPI[],14,FALSE))</f>
        <v>1.6354446138211385</v>
      </c>
      <c r="AM480" s="373" t="str">
        <f t="shared" si="7"/>
        <v>$/lb (2016)</v>
      </c>
    </row>
    <row r="481" spans="1:39">
      <c r="A481" s="263" t="s">
        <v>1577</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v>
      </c>
      <c r="AL481" s="372">
        <f>IF(ISTEXT(RawMaterials[[#This Row],[Unit price in quote year]]),"Check calcs",RawMaterials[[#This Row],[Unit price in quote year]]/VLOOKUP(RawMaterials[[#This Row],[Quote Year]],ChemPPI[],14,FALSE)*VLOOKUP(BasisYear,ChemPPI[],14,FALSE))</f>
        <v>2.008678861788618</v>
      </c>
      <c r="AM481" s="373" t="str">
        <f t="shared" si="7"/>
        <v>$/lb (2016)</v>
      </c>
    </row>
    <row r="482" spans="1:39">
      <c r="A482" s="263" t="s">
        <v>1578</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3.92</v>
      </c>
      <c r="AL482" s="372">
        <f>IF(ISTEXT(RawMaterials[[#This Row],[Unit price in quote year]]),"Check calcs",RawMaterials[[#This Row],[Unit price in quote year]]/VLOOKUP(RawMaterials[[#This Row],[Quote Year]],ChemPPI[],14,FALSE)*VLOOKUP(BasisYear,ChemPPI[],14,FALSE))</f>
        <v>5.3202845528455294</v>
      </c>
      <c r="AM482" s="373" t="str">
        <f t="shared" si="7"/>
        <v>$/lb (2016)</v>
      </c>
    </row>
    <row r="483" spans="1:39">
      <c r="A483" s="263" t="s">
        <v>1579</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669.04874575000008</v>
      </c>
      <c r="AL483" s="372">
        <f>IF(ISTEXT(RawMaterials[[#This Row],[Unit price in quote year]]),"Check calcs",RawMaterials[[#This Row],[Unit price in quote year]]/VLOOKUP(RawMaterials[[#This Row],[Quote Year]],ChemPPI[],14,FALSE)*VLOOKUP(BasisYear,ChemPPI[],14,FALSE))</f>
        <v>908.04329263122486</v>
      </c>
      <c r="AM483" s="373" t="str">
        <f t="shared" si="7"/>
        <v>$/lb (2016)</v>
      </c>
    </row>
    <row r="484" spans="1:39">
      <c r="A484" s="263" t="s">
        <v>1580</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612.34969950000004</v>
      </c>
      <c r="AL484" s="372">
        <f>IF(ISTEXT(RawMaterials[[#This Row],[Unit price in quote year]]),"Check calcs",RawMaterials[[#This Row],[Unit price in quote year]]/VLOOKUP(RawMaterials[[#This Row],[Quote Year]],ChemPPI[],14,FALSE)*VLOOKUP(BasisYear,ChemPPI[],14,FALSE))</f>
        <v>831.09047122179891</v>
      </c>
      <c r="AM484" s="373" t="str">
        <f t="shared" si="7"/>
        <v>$/lb (2016)</v>
      </c>
    </row>
    <row r="485" spans="1:39">
      <c r="A485" s="263" t="s">
        <v>1581</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2.0249999999999999</v>
      </c>
      <c r="AL485" s="372">
        <f>IF(ISTEXT(RawMaterials[[#This Row],[Unit price in quote year]]),"Check calcs",RawMaterials[[#This Row],[Unit price in quote year]]/VLOOKUP(RawMaterials[[#This Row],[Quote Year]],ChemPPI[],14,FALSE)*VLOOKUP(BasisYear,ChemPPI[],14,FALSE))</f>
        <v>2.748361280487805</v>
      </c>
      <c r="AM485" s="373" t="str">
        <f t="shared" si="7"/>
        <v>$/lb (2016)</v>
      </c>
    </row>
    <row r="486" spans="1:39">
      <c r="A486" s="263" t="s">
        <v>1582</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v>
      </c>
      <c r="AL486" s="372">
        <f>IF(ISTEXT(RawMaterials[[#This Row],[Unit price in quote year]]),"Check calcs",RawMaterials[[#This Row],[Unit price in quote year]]/VLOOKUP(RawMaterials[[#This Row],[Quote Year]],ChemPPI[],14,FALSE)*VLOOKUP(BasisYear,ChemPPI[],14,FALSE))</f>
        <v>2.5787093495934963</v>
      </c>
      <c r="AM486" s="373" t="str">
        <f t="shared" si="7"/>
        <v>$/lb (2016)</v>
      </c>
    </row>
    <row r="487" spans="1:39">
      <c r="A487" s="263" t="s">
        <v>1583</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487" s="372">
        <f>IF(ISTEXT(RawMaterials[[#This Row],[Unit price in quote year]]),"Check calcs",RawMaterials[[#This Row],[Unit price in quote year]]/VLOOKUP(RawMaterials[[#This Row],[Quote Year]],ChemPPI[],14,FALSE)*VLOOKUP(BasisYear,ChemPPI[],14,FALSE))</f>
        <v>0.92969258130081323</v>
      </c>
      <c r="AM487" s="373" t="str">
        <f t="shared" si="7"/>
        <v>$/lb (2016)</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1105</v>
      </c>
      <c r="U488" s="382">
        <v>43339</v>
      </c>
      <c r="V488" s="269" t="s">
        <v>1716</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212.62500000000003</v>
      </c>
      <c r="AL488" s="372">
        <f>IF(ISTEXT(RawMaterials[[#This Row],[Unit price in quote year]]),"Check calcs",RawMaterials[[#This Row],[Unit price in quote year]]/VLOOKUP(RawMaterials[[#This Row],[Quote Year]],ChemPPI[],14,FALSE)*VLOOKUP(BasisYear,ChemPPI[],14,FALSE))</f>
        <v>197.5516122860721</v>
      </c>
      <c r="AM488" s="373" t="str">
        <f t="shared" si="7"/>
        <v>$/lb (2016)</v>
      </c>
    </row>
    <row r="489" spans="1:39">
      <c r="A489" s="263" t="s">
        <v>1584</v>
      </c>
      <c r="B489" s="264"/>
      <c r="C489" s="271"/>
      <c r="D489" s="365"/>
      <c r="E489" s="264">
        <v>100</v>
      </c>
      <c r="F489" s="264"/>
      <c r="G489" s="271"/>
      <c r="H489" s="271"/>
      <c r="I489" s="268"/>
      <c r="J489" s="271"/>
      <c r="K489" s="271"/>
      <c r="L489" s="271"/>
      <c r="M489" s="271"/>
      <c r="N489" s="271"/>
      <c r="O489" s="271"/>
      <c r="P489" s="265">
        <v>165</v>
      </c>
      <c r="Q489" s="264">
        <v>1</v>
      </c>
      <c r="R489" s="264" t="s">
        <v>406</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8.2500000000000004E-2</v>
      </c>
      <c r="AL489" s="372">
        <f>IF(ISTEXT(RawMaterials[[#This Row],[Unit price in quote year]]),"Check calcs",RawMaterials[[#This Row],[Unit price in quote year]]/VLOOKUP(RawMaterials[[#This Row],[Quote Year]],ChemPPI[],14,FALSE)*VLOOKUP(BasisYear,ChemPPI[],14,FALSE))</f>
        <v>9.6559795508490059E-2</v>
      </c>
      <c r="AM489" s="373" t="str">
        <f t="shared" si="7"/>
        <v>$/lb (2016)</v>
      </c>
    </row>
    <row r="490" spans="1:39">
      <c r="A490" s="263" t="s">
        <v>1585</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490" s="372">
        <f>IF(ISTEXT(RawMaterials[[#This Row],[Unit price in quote year]]),"Check calcs",RawMaterials[[#This Row],[Unit price in quote year]]/VLOOKUP(RawMaterials[[#This Row],[Quote Year]],ChemPPI[],14,FALSE)*VLOOKUP(BasisYear,ChemPPI[],14,FALSE))</f>
        <v>7.8039888211382129</v>
      </c>
      <c r="AM490" s="373" t="str">
        <f t="shared" si="7"/>
        <v>$/lb (2016)</v>
      </c>
    </row>
    <row r="491" spans="1:39">
      <c r="A491" s="263" t="s">
        <v>1586</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6.2368950875000007</v>
      </c>
      <c r="AL491" s="372">
        <f>IF(ISTEXT(RawMaterials[[#This Row],[Unit price in quote year]]),"Check calcs",RawMaterials[[#This Row],[Unit price in quote year]]/VLOOKUP(RawMaterials[[#This Row],[Quote Year]],ChemPPI[],14,FALSE)*VLOOKUP(BasisYear,ChemPPI[],14,FALSE))</f>
        <v>8.4648103550368425</v>
      </c>
      <c r="AM491" s="373" t="str">
        <f t="shared" si="7"/>
        <v>$/lb (2016)</v>
      </c>
    </row>
    <row r="492" spans="1:39">
      <c r="A492" s="263" t="s">
        <v>1587</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492" s="372">
        <f>IF(ISTEXT(RawMaterials[[#This Row],[Unit price in quote year]]),"Check calcs",RawMaterials[[#This Row],[Unit price in quote year]]/VLOOKUP(RawMaterials[[#This Row],[Quote Year]],ChemPPI[],14,FALSE)*VLOOKUP(BasisYear,ChemPPI[],14,FALSE))</f>
        <v>1.0925584349593498</v>
      </c>
      <c r="AM492" s="373" t="str">
        <f t="shared" si="7"/>
        <v>$/lb (2016)</v>
      </c>
    </row>
    <row r="493" spans="1:39">
      <c r="A493" s="263" t="s">
        <v>1588</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93" s="372">
        <f>IF(ISTEXT(RawMaterials[[#This Row],[Unit price in quote year]]),"Check calcs",RawMaterials[[#This Row],[Unit price in quote year]]/VLOOKUP(RawMaterials[[#This Row],[Quote Year]],ChemPPI[],14,FALSE)*VLOOKUP(BasisYear,ChemPPI[],14,FALSE))</f>
        <v>1.2147078252032522</v>
      </c>
      <c r="AM493" s="373" t="str">
        <f t="shared" si="7"/>
        <v>$/lb (2016)</v>
      </c>
    </row>
    <row r="494" spans="1:39">
      <c r="A494" s="263" t="s">
        <v>1589</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494" s="372">
        <f>IF(ISTEXT(RawMaterials[[#This Row],[Unit price in quote year]]),"Check calcs",RawMaterials[[#This Row],[Unit price in quote year]]/VLOOKUP(RawMaterials[[#This Row],[Quote Year]],ChemPPI[],14,FALSE)*VLOOKUP(BasisYear,ChemPPI[],14,FALSE))</f>
        <v>1.1332748983739838</v>
      </c>
      <c r="AM494" s="373" t="str">
        <f t="shared" si="7"/>
        <v>$/lb (2016)</v>
      </c>
    </row>
    <row r="495" spans="1:39">
      <c r="A495" s="263" t="s">
        <v>1590</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0.23800000000000002</v>
      </c>
      <c r="AL495" s="372">
        <f>IF(ISTEXT(RawMaterials[[#This Row],[Unit price in quote year]]),"Check calcs",RawMaterials[[#This Row],[Unit price in quote year]]/VLOOKUP(RawMaterials[[#This Row],[Quote Year]],ChemPPI[],14,FALSE)*VLOOKUP(BasisYear,ChemPPI[],14,FALSE))</f>
        <v>0.32301727642276429</v>
      </c>
      <c r="AM495" s="373" t="str">
        <f t="shared" si="7"/>
        <v>$/lb (2016)</v>
      </c>
    </row>
    <row r="496" spans="1:39">
      <c r="A496" s="263" t="s">
        <v>1591</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0.23350000000000001</v>
      </c>
      <c r="AL496" s="372">
        <f>IF(ISTEXT(RawMaterials[[#This Row],[Unit price in quote year]]),"Check calcs",RawMaterials[[#This Row],[Unit price in quote year]]/VLOOKUP(RawMaterials[[#This Row],[Quote Year]],ChemPPI[],14,FALSE)*VLOOKUP(BasisYear,ChemPPI[],14,FALSE))</f>
        <v>0.31690980691056914</v>
      </c>
      <c r="AM496" s="373" t="str">
        <f t="shared" si="7"/>
        <v>$/lb (2016)</v>
      </c>
    </row>
    <row r="497" spans="1:39">
      <c r="A497" s="263" t="s">
        <v>1592</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497" s="372">
        <f>IF(ISTEXT(RawMaterials[[#This Row],[Unit price in quote year]]),"Check calcs",RawMaterials[[#This Row],[Unit price in quote year]]/VLOOKUP(RawMaterials[[#This Row],[Quote Year]],ChemPPI[],14,FALSE)*VLOOKUP(BasisYear,ChemPPI[],14,FALSE))</f>
        <v>0.30537347560975614</v>
      </c>
      <c r="AM497" s="373" t="str">
        <f t="shared" si="7"/>
        <v>$/lb (2016)</v>
      </c>
    </row>
    <row r="498" spans="1:39">
      <c r="A498" s="263" t="s">
        <v>1593</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0.34799999999999998</v>
      </c>
      <c r="AL498" s="372">
        <f>IF(ISTEXT(RawMaterials[[#This Row],[Unit price in quote year]]),"Check calcs",RawMaterials[[#This Row],[Unit price in quote year]]/VLOOKUP(RawMaterials[[#This Row],[Quote Year]],ChemPPI[],14,FALSE)*VLOOKUP(BasisYear,ChemPPI[],14,FALSE))</f>
        <v>0.47231097560975616</v>
      </c>
      <c r="AM498" s="373" t="str">
        <f t="shared" si="7"/>
        <v>$/lb (2016)</v>
      </c>
    </row>
    <row r="499" spans="1:39">
      <c r="A499" s="263" t="s">
        <v>1594</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0.22800000000000001</v>
      </c>
      <c r="AL499" s="372">
        <f>IF(ISTEXT(RawMaterials[[#This Row],[Unit price in quote year]]),"Check calcs",RawMaterials[[#This Row],[Unit price in quote year]]/VLOOKUP(RawMaterials[[#This Row],[Quote Year]],ChemPPI[],14,FALSE)*VLOOKUP(BasisYear,ChemPPI[],14,FALSE))</f>
        <v>0.30944512195121959</v>
      </c>
      <c r="AM499" s="373" t="str">
        <f t="shared" si="7"/>
        <v>$/lb (2016)</v>
      </c>
    </row>
    <row r="500" spans="1:39">
      <c r="A500" s="263" t="s">
        <v>1595</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500" s="372">
        <f>IF(ISTEXT(RawMaterials[[#This Row],[Unit price in quote year]]),"Check calcs",RawMaterials[[#This Row],[Unit price in quote year]]/VLOOKUP(RawMaterials[[#This Row],[Quote Year]],ChemPPI[],14,FALSE)*VLOOKUP(BasisYear,ChemPPI[],14,FALSE))</f>
        <v>0.2442987804878049</v>
      </c>
      <c r="AM500" s="373" t="str">
        <f t="shared" si="7"/>
        <v>$/lb (2016)</v>
      </c>
    </row>
    <row r="501" spans="1:39">
      <c r="A501" s="263" t="s">
        <v>1596</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0.1925</v>
      </c>
      <c r="AL501" s="372">
        <f>IF(ISTEXT(RawMaterials[[#This Row],[Unit price in quote year]]),"Check calcs",RawMaterials[[#This Row],[Unit price in quote year]]/VLOOKUP(RawMaterials[[#This Row],[Quote Year]],ChemPPI[],14,FALSE)*VLOOKUP(BasisYear,ChemPPI[],14,FALSE))</f>
        <v>0.2612639735772358</v>
      </c>
      <c r="AM501" s="373" t="str">
        <f t="shared" si="7"/>
        <v>$/lb (2016)</v>
      </c>
    </row>
    <row r="502" spans="1:39">
      <c r="A502" s="263" t="s">
        <v>1597</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02" s="372">
        <f>IF(ISTEXT(RawMaterials[[#This Row],[Unit price in quote year]]),"Check calcs",RawMaterials[[#This Row],[Unit price in quote year]]/VLOOKUP(RawMaterials[[#This Row],[Quote Year]],ChemPPI[],14,FALSE)*VLOOKUP(BasisYear,ChemPPI[],14,FALSE))</f>
        <v>0.44109502032520331</v>
      </c>
      <c r="AM502" s="373" t="str">
        <f t="shared" si="7"/>
        <v>$/lb (2016)</v>
      </c>
    </row>
    <row r="503" spans="1:39">
      <c r="A503" s="263" t="s">
        <v>1598</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03" s="372">
        <f>IF(ISTEXT(RawMaterials[[#This Row],[Unit price in quote year]]),"Check calcs",RawMaterials[[#This Row],[Unit price in quote year]]/VLOOKUP(RawMaterials[[#This Row],[Quote Year]],ChemPPI[],14,FALSE)*VLOOKUP(BasisYear,ChemPPI[],14,FALSE))</f>
        <v>0.40716463414634152</v>
      </c>
      <c r="AM503" s="373" t="str">
        <f t="shared" si="7"/>
        <v>$/lb (2016)</v>
      </c>
    </row>
    <row r="504" spans="1:39">
      <c r="A504" s="263" t="s">
        <v>1599</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v>
      </c>
      <c r="AL504" s="372">
        <f>IF(ISTEXT(RawMaterials[[#This Row],[Unit price in quote year]]),"Check calcs",RawMaterials[[#This Row],[Unit price in quote year]]/VLOOKUP(RawMaterials[[#This Row],[Quote Year]],ChemPPI[],14,FALSE)*VLOOKUP(BasisYear,ChemPPI[],14,FALSE))</f>
        <v>0.32573170731707318</v>
      </c>
      <c r="AM504" s="373" t="str">
        <f t="shared" si="7"/>
        <v>$/lb (2016)</v>
      </c>
    </row>
    <row r="505" spans="1:39">
      <c r="A505" s="263" t="s">
        <v>1600</v>
      </c>
      <c r="B505" s="264"/>
      <c r="C505" s="271"/>
      <c r="D505" s="365"/>
      <c r="E505" s="264">
        <v>100</v>
      </c>
      <c r="F505" s="264"/>
      <c r="G505" s="271"/>
      <c r="H505" s="271"/>
      <c r="I505" s="268"/>
      <c r="J505" s="271"/>
      <c r="K505" s="271"/>
      <c r="L505" s="271"/>
      <c r="M505" s="271"/>
      <c r="N505" s="271"/>
      <c r="O505" s="271"/>
      <c r="P505" s="265">
        <v>482.5</v>
      </c>
      <c r="Q505" s="264">
        <v>1</v>
      </c>
      <c r="R505" s="264" t="s">
        <v>406</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0.24124999999999999</v>
      </c>
      <c r="AL505" s="372">
        <f>IF(ISTEXT(RawMaterials[[#This Row],[Unit price in quote year]]),"Check calcs",RawMaterials[[#This Row],[Unit price in quote year]]/VLOOKUP(RawMaterials[[#This Row],[Quote Year]],ChemPPI[],14,FALSE)*VLOOKUP(BasisYear,ChemPPI[],14,FALSE))</f>
        <v>0.32742822662601628</v>
      </c>
      <c r="AM505" s="373" t="str">
        <f t="shared" si="7"/>
        <v>$/lb (2016)</v>
      </c>
    </row>
    <row r="506" spans="1:39">
      <c r="A506" s="263" t="s">
        <v>1601</v>
      </c>
      <c r="B506" s="264"/>
      <c r="C506" s="271"/>
      <c r="D506" s="365"/>
      <c r="E506" s="264">
        <v>100</v>
      </c>
      <c r="F506" s="264"/>
      <c r="G506" s="271"/>
      <c r="H506" s="271"/>
      <c r="I506" s="268"/>
      <c r="J506" s="271"/>
      <c r="K506" s="271"/>
      <c r="L506" s="271"/>
      <c r="M506" s="271"/>
      <c r="N506" s="271"/>
      <c r="O506" s="271"/>
      <c r="P506" s="265">
        <v>680</v>
      </c>
      <c r="Q506" s="264">
        <v>1</v>
      </c>
      <c r="R506" s="264" t="s">
        <v>1123</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0.30844281159999998</v>
      </c>
      <c r="AL506" s="372">
        <f>IF(ISTEXT(RawMaterials[[#This Row],[Unit price in quote year]]),"Check calcs",RawMaterials[[#This Row],[Unit price in quote year]]/VLOOKUP(RawMaterials[[#This Row],[Quote Year]],ChemPPI[],14,FALSE)*VLOOKUP(BasisYear,ChemPPI[],14,FALSE))</f>
        <v>0.41862334846727645</v>
      </c>
      <c r="AM506" s="373" t="str">
        <f t="shared" si="7"/>
        <v>$/lb (2016)</v>
      </c>
    </row>
    <row r="507" spans="1:39">
      <c r="A507" s="263" t="s">
        <v>1602</v>
      </c>
      <c r="B507" s="264"/>
      <c r="C507" s="271"/>
      <c r="D507" s="365"/>
      <c r="E507" s="264">
        <v>100</v>
      </c>
      <c r="F507" s="264"/>
      <c r="G507" s="271"/>
      <c r="H507" s="271"/>
      <c r="I507" s="268"/>
      <c r="J507" s="271"/>
      <c r="K507" s="271"/>
      <c r="L507" s="271"/>
      <c r="M507" s="271"/>
      <c r="N507" s="271"/>
      <c r="O507" s="271"/>
      <c r="P507" s="265">
        <v>397.5</v>
      </c>
      <c r="Q507" s="264">
        <v>1</v>
      </c>
      <c r="R507" s="264" t="s">
        <v>406</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0.19875000000000001</v>
      </c>
      <c r="AL507" s="372">
        <f>IF(ISTEXT(RawMaterials[[#This Row],[Unit price in quote year]]),"Check calcs",RawMaterials[[#This Row],[Unit price in quote year]]/VLOOKUP(RawMaterials[[#This Row],[Quote Year]],ChemPPI[],14,FALSE)*VLOOKUP(BasisYear,ChemPPI[],14,FALSE))</f>
        <v>0.2697465701219513</v>
      </c>
      <c r="AM507" s="373" t="str">
        <f t="shared" si="7"/>
        <v>$/lb (2016)</v>
      </c>
    </row>
    <row r="508" spans="1:39">
      <c r="A508" s="263" t="s">
        <v>1603</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508" s="372">
        <f>IF(ISTEXT(RawMaterials[[#This Row],[Unit price in quote year]]),"Check calcs",RawMaterials[[#This Row],[Unit price in quote year]]/VLOOKUP(RawMaterials[[#This Row],[Quote Year]],ChemPPI[],14,FALSE)*VLOOKUP(BasisYear,ChemPPI[],14,FALSE))</f>
        <v>2.117256097560976</v>
      </c>
      <c r="AM508" s="373" t="str">
        <f t="shared" si="7"/>
        <v>$/lb (2016)</v>
      </c>
    </row>
    <row r="509" spans="1:39">
      <c r="A509" s="263" t="s">
        <v>1604</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509" s="372">
        <f>IF(ISTEXT(RawMaterials[[#This Row],[Unit price in quote year]]),"Check calcs",RawMaterials[[#This Row],[Unit price in quote year]]/VLOOKUP(RawMaterials[[#This Row],[Quote Year]],ChemPPI[],14,FALSE)*VLOOKUP(BasisYear,ChemPPI[],14,FALSE))</f>
        <v>1.1807774390243904</v>
      </c>
      <c r="AM509" s="373" t="str">
        <f t="shared" si="7"/>
        <v>$/lb (2016)</v>
      </c>
    </row>
    <row r="510" spans="1:39">
      <c r="A510" s="263" t="s">
        <v>1605</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510" s="372">
        <f>IF(ISTEXT(RawMaterials[[#This Row],[Unit price in quote year]]),"Check calcs",RawMaterials[[#This Row],[Unit price in quote year]]/VLOOKUP(RawMaterials[[#This Row],[Quote Year]],ChemPPI[],14,FALSE)*VLOOKUP(BasisYear,ChemPPI[],14,FALSE))</f>
        <v>0.76004065040650426</v>
      </c>
      <c r="AM510" s="373" t="str">
        <f t="shared" si="7"/>
        <v>$/lb (2016)</v>
      </c>
    </row>
    <row r="511" spans="1:39">
      <c r="A511" s="263" t="s">
        <v>1606</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3.665</v>
      </c>
      <c r="AL511" s="372">
        <f>IF(ISTEXT(RawMaterials[[#This Row],[Unit price in quote year]]),"Check calcs",RawMaterials[[#This Row],[Unit price in quote year]]/VLOOKUP(RawMaterials[[#This Row],[Quote Year]],ChemPPI[],14,FALSE)*VLOOKUP(BasisYear,ChemPPI[],14,FALSE))</f>
        <v>4.9741946138211386</v>
      </c>
      <c r="AM511" s="373" t="str">
        <f t="shared" si="7"/>
        <v>$/lb (2016)</v>
      </c>
    </row>
    <row r="512" spans="1:39">
      <c r="A512" s="263" t="s">
        <v>1607</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512" s="372">
        <f>IF(ISTEXT(RawMaterials[[#This Row],[Unit price in quote year]]),"Check calcs",RawMaterials[[#This Row],[Unit price in quote year]]/VLOOKUP(RawMaterials[[#This Row],[Quote Year]],ChemPPI[],14,FALSE)*VLOOKUP(BasisYear,ChemPPI[],14,FALSE))</f>
        <v>0.85504573170731724</v>
      </c>
      <c r="AM512" s="373" t="str">
        <f t="shared" si="7"/>
        <v>$/lb (2016)</v>
      </c>
    </row>
    <row r="513" spans="1:39">
      <c r="A513" s="263" t="s">
        <v>1608</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513" s="372">
        <f>IF(ISTEXT(RawMaterials[[#This Row],[Unit price in quote year]]),"Check calcs",RawMaterials[[#This Row],[Unit price in quote year]]/VLOOKUP(RawMaterials[[#This Row],[Quote Year]],ChemPPI[],14,FALSE)*VLOOKUP(BasisYear,ChemPPI[],14,FALSE))</f>
        <v>0.81432926829268304</v>
      </c>
      <c r="AM513" s="373" t="str">
        <f t="shared" si="7"/>
        <v>$/lb (2016)</v>
      </c>
    </row>
    <row r="514" spans="1:39">
      <c r="A514" s="263" t="s">
        <v>1609</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0.67999999999999905</v>
      </c>
      <c r="AL514" s="372">
        <f>IF(ISTEXT(RawMaterials[[#This Row],[Unit price in quote year]]),"Check calcs",RawMaterials[[#This Row],[Unit price in quote year]]/VLOOKUP(RawMaterials[[#This Row],[Quote Year]],ChemPPI[],14,FALSE)*VLOOKUP(BasisYear,ChemPPI[],14,FALSE))</f>
        <v>0.92290650406503949</v>
      </c>
      <c r="AM514" s="373" t="str">
        <f t="shared" si="7"/>
        <v>$/lb (2016)</v>
      </c>
    </row>
    <row r="515" spans="1:39">
      <c r="A515" s="263" t="s">
        <v>1610</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6.15</v>
      </c>
      <c r="AL515" s="372">
        <f>IF(ISTEXT(RawMaterials[[#This Row],[Unit price in quote year]]),"Check calcs",RawMaterials[[#This Row],[Unit price in quote year]]/VLOOKUP(RawMaterials[[#This Row],[Quote Year]],ChemPPI[],14,FALSE)*VLOOKUP(BasisYear,ChemPPI[],14,FALSE))</f>
        <v>8.3468750000000025</v>
      </c>
      <c r="AM515" s="373" t="str">
        <f t="shared" si="7"/>
        <v>$/lb (2016)</v>
      </c>
    </row>
    <row r="516" spans="1:39">
      <c r="A516" s="263" t="s">
        <v>1611</v>
      </c>
      <c r="B516" s="264"/>
      <c r="C516" s="271"/>
      <c r="D516" s="365"/>
      <c r="E516" s="264">
        <v>100</v>
      </c>
      <c r="F516" s="264"/>
      <c r="G516" s="271"/>
      <c r="H516" s="271"/>
      <c r="I516" s="268"/>
      <c r="J516" s="271"/>
      <c r="K516" s="271"/>
      <c r="L516" s="271"/>
      <c r="M516" s="271"/>
      <c r="N516" s="271"/>
      <c r="O516" s="271"/>
      <c r="P516" s="265">
        <v>725</v>
      </c>
      <c r="Q516" s="264">
        <v>1</v>
      </c>
      <c r="R516" s="264" t="s">
        <v>406</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0.36249999999999999</v>
      </c>
      <c r="AL516" s="372">
        <f>IF(ISTEXT(RawMaterials[[#This Row],[Unit price in quote year]]),"Check calcs",RawMaterials[[#This Row],[Unit price in quote year]]/VLOOKUP(RawMaterials[[#This Row],[Quote Year]],ChemPPI[],14,FALSE)*VLOOKUP(BasisYear,ChemPPI[],14,FALSE))</f>
        <v>0.491990599593496</v>
      </c>
      <c r="AM516" s="373" t="str">
        <f t="shared" si="7"/>
        <v>$/lb (2016)</v>
      </c>
    </row>
    <row r="517" spans="1:39">
      <c r="A517" s="263" t="s">
        <v>1612</v>
      </c>
      <c r="B517" s="264"/>
      <c r="C517" s="271"/>
      <c r="D517" s="365"/>
      <c r="E517" s="264">
        <v>100</v>
      </c>
      <c r="F517" s="264"/>
      <c r="G517" s="271"/>
      <c r="H517" s="271"/>
      <c r="I517" s="268"/>
      <c r="J517" s="271"/>
      <c r="K517" s="271"/>
      <c r="L517" s="271"/>
      <c r="M517" s="271"/>
      <c r="N517" s="271"/>
      <c r="O517" s="271"/>
      <c r="P517" s="265">
        <v>550</v>
      </c>
      <c r="Q517" s="264">
        <v>1</v>
      </c>
      <c r="R517" s="264" t="s">
        <v>406</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0.27500000000000002</v>
      </c>
      <c r="AL517" s="372">
        <f>IF(ISTEXT(RawMaterials[[#This Row],[Unit price in quote year]]),"Check calcs",RawMaterials[[#This Row],[Unit price in quote year]]/VLOOKUP(RawMaterials[[#This Row],[Quote Year]],ChemPPI[],14,FALSE)*VLOOKUP(BasisYear,ChemPPI[],14,FALSE))</f>
        <v>0.37323424796747978</v>
      </c>
      <c r="AM517" s="373" t="str">
        <f t="shared" si="7"/>
        <v>$/lb (2016)</v>
      </c>
    </row>
    <row r="518" spans="1:39">
      <c r="A518" s="263" t="s">
        <v>1613</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518" s="372">
        <f>IF(ISTEXT(RawMaterials[[#This Row],[Unit price in quote year]]),"Check calcs",RawMaterials[[#This Row],[Unit price in quote year]]/VLOOKUP(RawMaterials[[#This Row],[Quote Year]],ChemPPI[],14,FALSE)*VLOOKUP(BasisYear,ChemPPI[],14,FALSE))</f>
        <v>0.8821900406504054</v>
      </c>
      <c r="AM518" s="373" t="str">
        <f t="shared" si="7"/>
        <v>$/lb (2016)</v>
      </c>
    </row>
    <row r="519" spans="1:39">
      <c r="A519" s="263" t="s">
        <v>1614</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v>
      </c>
      <c r="AL519" s="372">
        <f>IF(ISTEXT(RawMaterials[[#This Row],[Unit price in quote year]]),"Check calcs",RawMaterials[[#This Row],[Unit price in quote year]]/VLOOKUP(RawMaterials[[#This Row],[Quote Year]],ChemPPI[],14,FALSE)*VLOOKUP(BasisYear,ChemPPI[],14,FALSE))</f>
        <v>2.5108485772357727</v>
      </c>
      <c r="AM519" s="373" t="str">
        <f t="shared" si="7"/>
        <v>$/lb (2016)</v>
      </c>
    </row>
    <row r="520" spans="1:39">
      <c r="A520" s="263" t="s">
        <v>1615</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0.79249999999999998</v>
      </c>
      <c r="AL520" s="372">
        <f>IF(ISTEXT(RawMaterials[[#This Row],[Unit price in quote year]]),"Check calcs",RawMaterials[[#This Row],[Unit price in quote year]]/VLOOKUP(RawMaterials[[#This Row],[Quote Year]],ChemPPI[],14,FALSE)*VLOOKUP(BasisYear,ChemPPI[],14,FALSE))</f>
        <v>1.075593241869919</v>
      </c>
      <c r="AM520" s="373" t="str">
        <f t="shared" si="7"/>
        <v>$/lb (2016)</v>
      </c>
    </row>
    <row r="521" spans="1:39">
      <c r="A521" s="263" t="s">
        <v>1616</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0.76249999999999996</v>
      </c>
      <c r="AL521" s="372">
        <f>IF(ISTEXT(RawMaterials[[#This Row],[Unit price in quote year]]),"Check calcs",RawMaterials[[#This Row],[Unit price in quote year]]/VLOOKUP(RawMaterials[[#This Row],[Quote Year]],ChemPPI[],14,FALSE)*VLOOKUP(BasisYear,ChemPPI[],14,FALSE))</f>
        <v>1.0348767784552848</v>
      </c>
      <c r="AM521" s="373" t="str">
        <f t="shared" si="7"/>
        <v>$/lb (2016)</v>
      </c>
    </row>
    <row r="522" spans="1:39">
      <c r="A522" s="263" t="s">
        <v>1617</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522" s="372">
        <f>IF(ISTEXT(RawMaterials[[#This Row],[Unit price in quote year]]),"Check calcs",RawMaterials[[#This Row],[Unit price in quote year]]/VLOOKUP(RawMaterials[[#This Row],[Quote Year]],ChemPPI[],14,FALSE)*VLOOKUP(BasisYear,ChemPPI[],14,FALSE))</f>
        <v>1.1061305894308946</v>
      </c>
      <c r="AM522" s="373" t="str">
        <f t="shared" si="7"/>
        <v>$/lb (2016)</v>
      </c>
    </row>
    <row r="523" spans="1:39">
      <c r="A523" s="263" t="s">
        <v>1618</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v>
      </c>
      <c r="AL523" s="372">
        <f>IF(ISTEXT(RawMaterials[[#This Row],[Unit price in quote year]]),"Check calcs",RawMaterials[[#This Row],[Unit price in quote year]]/VLOOKUP(RawMaterials[[#This Row],[Quote Year]],ChemPPI[],14,FALSE)*VLOOKUP(BasisYear,ChemPPI[],14,FALSE))</f>
        <v>1.1400609756097564</v>
      </c>
      <c r="AM523" s="373" t="str">
        <f t="shared" si="7"/>
        <v>$/lb (2016)</v>
      </c>
    </row>
    <row r="524" spans="1:39">
      <c r="A524" s="263" t="s">
        <v>1619</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524" s="372">
        <f>IF(ISTEXT(RawMaterials[[#This Row],[Unit price in quote year]]),"Check calcs",RawMaterials[[#This Row],[Unit price in quote year]]/VLOOKUP(RawMaterials[[#This Row],[Quote Year]],ChemPPI[],14,FALSE)*VLOOKUP(BasisYear,ChemPPI[],14,FALSE))</f>
        <v>1.0925584349593498</v>
      </c>
      <c r="AM524" s="373" t="str">
        <f t="shared" si="7"/>
        <v>$/lb (2016)</v>
      </c>
    </row>
    <row r="525" spans="1:39">
      <c r="A525" s="263" t="s">
        <v>1620</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525" s="372">
        <f>IF(ISTEXT(RawMaterials[[#This Row],[Unit price in quote year]]),"Check calcs",RawMaterials[[#This Row],[Unit price in quote year]]/VLOOKUP(RawMaterials[[#This Row],[Quote Year]],ChemPPI[],14,FALSE)*VLOOKUP(BasisYear,ChemPPI[],14,FALSE))</f>
        <v>0.71253810975609766</v>
      </c>
      <c r="AM525" s="373" t="str">
        <f t="shared" si="7"/>
        <v>$/lb (2016)</v>
      </c>
    </row>
    <row r="526" spans="1:39">
      <c r="A526" s="263" t="s">
        <v>1621</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0.34749999999999998</v>
      </c>
      <c r="AL526" s="372">
        <f>IF(ISTEXT(RawMaterials[[#This Row],[Unit price in quote year]]),"Check calcs",RawMaterials[[#This Row],[Unit price in quote year]]/VLOOKUP(RawMaterials[[#This Row],[Quote Year]],ChemPPI[],14,FALSE)*VLOOKUP(BasisYear,ChemPPI[],14,FALSE))</f>
        <v>0.4716323678861789</v>
      </c>
      <c r="AM526" s="373" t="str">
        <f t="shared" si="7"/>
        <v>$/lb (2016)</v>
      </c>
    </row>
    <row r="527" spans="1:39">
      <c r="A527" s="263" t="s">
        <v>1622</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0.90749999999999997</v>
      </c>
      <c r="AL527" s="372">
        <f>IF(ISTEXT(RawMaterials[[#This Row],[Unit price in quote year]]),"Check calcs",RawMaterials[[#This Row],[Unit price in quote year]]/VLOOKUP(RawMaterials[[#This Row],[Quote Year]],ChemPPI[],14,FALSE)*VLOOKUP(BasisYear,ChemPPI[],14,FALSE))</f>
        <v>1.2316730182926832</v>
      </c>
      <c r="AM527" s="373" t="str">
        <f t="shared" si="7"/>
        <v>$/lb (2016)</v>
      </c>
    </row>
    <row r="528" spans="1:39">
      <c r="A528" s="263" t="s">
        <v>1623</v>
      </c>
      <c r="B528" s="264"/>
      <c r="C528" s="271"/>
      <c r="D528" s="365"/>
      <c r="E528" s="264">
        <v>100</v>
      </c>
      <c r="F528" s="264"/>
      <c r="G528" s="271"/>
      <c r="H528" s="271"/>
      <c r="I528" s="268"/>
      <c r="J528" s="271"/>
      <c r="K528" s="271"/>
      <c r="L528" s="271"/>
      <c r="M528" s="271"/>
      <c r="N528" s="271"/>
      <c r="O528" s="271"/>
      <c r="P528" s="265">
        <v>257.5</v>
      </c>
      <c r="Q528" s="264">
        <v>1</v>
      </c>
      <c r="R528" s="264" t="s">
        <v>406</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528" s="372">
        <f>IF(ISTEXT(RawMaterials[[#This Row],[Unit price in quote year]]),"Check calcs",RawMaterials[[#This Row],[Unit price in quote year]]/VLOOKUP(RawMaterials[[#This Row],[Quote Year]],ChemPPI[],14,FALSE)*VLOOKUP(BasisYear,ChemPPI[],14,FALSE))</f>
        <v>0.17474148882113827</v>
      </c>
      <c r="AM528" s="373" t="str">
        <f t="shared" ref="AM528:AM591" si="8">CurrencySymbol&amp;"/"&amp;OutMassUnit&amp;" ("&amp;BasisYear&amp;")"</f>
        <v>$/lb (2016)</v>
      </c>
    </row>
    <row r="529" spans="1:39">
      <c r="A529" s="263" t="s">
        <v>1624</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0.12025000000000001</v>
      </c>
      <c r="AL529" s="372">
        <f>IF(ISTEXT(RawMaterials[[#This Row],[Unit price in quote year]]),"Check calcs",RawMaterials[[#This Row],[Unit price in quote year]]/VLOOKUP(RawMaterials[[#This Row],[Quote Year]],ChemPPI[],14,FALSE)*VLOOKUP(BasisYear,ChemPPI[],14,FALSE))</f>
        <v>0.16320515752032524</v>
      </c>
      <c r="AM529" s="373" t="str">
        <f t="shared" si="8"/>
        <v>$/lb (2016)</v>
      </c>
    </row>
    <row r="530" spans="1:39">
      <c r="A530" s="263" t="s">
        <v>1625</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530" s="372">
        <f>IF(ISTEXT(RawMaterials[[#This Row],[Unit price in quote year]]),"Check calcs",RawMaterials[[#This Row],[Unit price in quote year]]/VLOOKUP(RawMaterials[[#This Row],[Quote Year]],ChemPPI[],14,FALSE)*VLOOKUP(BasisYear,ChemPPI[],14,FALSE))</f>
        <v>0.5157418699186993</v>
      </c>
      <c r="AM530" s="373" t="str">
        <f t="shared" si="8"/>
        <v>$/lb (2016)</v>
      </c>
    </row>
    <row r="531" spans="1:39">
      <c r="A531" s="263" t="s">
        <v>1626</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0.35600000000000004</v>
      </c>
      <c r="AL531" s="372">
        <f>IF(ISTEXT(RawMaterials[[#This Row],[Unit price in quote year]]),"Check calcs",RawMaterials[[#This Row],[Unit price in quote year]]/VLOOKUP(RawMaterials[[#This Row],[Quote Year]],ChemPPI[],14,FALSE)*VLOOKUP(BasisYear,ChemPPI[],14,FALSE))</f>
        <v>0.48316869918699201</v>
      </c>
      <c r="AM531" s="373" t="str">
        <f t="shared" si="8"/>
        <v>$/lb (2016)</v>
      </c>
    </row>
    <row r="532" spans="1:39">
      <c r="A532" s="263" t="s">
        <v>1627</v>
      </c>
      <c r="B532" s="264"/>
      <c r="C532" s="271"/>
      <c r="D532" s="365"/>
      <c r="E532" s="264">
        <v>100</v>
      </c>
      <c r="F532" s="264"/>
      <c r="G532" s="271"/>
      <c r="H532" s="271"/>
      <c r="I532" s="268"/>
      <c r="J532" s="271"/>
      <c r="K532" s="271"/>
      <c r="L532" s="271"/>
      <c r="M532" s="271"/>
      <c r="N532" s="271"/>
      <c r="O532" s="271"/>
      <c r="P532" s="265">
        <v>122.5</v>
      </c>
      <c r="Q532" s="264">
        <v>1</v>
      </c>
      <c r="R532" s="264" t="s">
        <v>1123</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5.5565065324999996E-2</v>
      </c>
      <c r="AL532" s="372">
        <f>IF(ISTEXT(RawMaterials[[#This Row],[Unit price in quote year]]),"Check calcs",RawMaterials[[#This Row],[Unit price in quote year]]/VLOOKUP(RawMaterials[[#This Row],[Quote Year]],ChemPPI[],14,FALSE)*VLOOKUP(BasisYear,ChemPPI[],14,FALSE))</f>
        <v>7.5413764981237294E-2</v>
      </c>
      <c r="AM532" s="373" t="str">
        <f t="shared" si="8"/>
        <v>$/lb (2016)</v>
      </c>
    </row>
    <row r="533" spans="1:39">
      <c r="A533" s="263" t="s">
        <v>1628</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v>
      </c>
      <c r="AL533" s="372">
        <f>IF(ISTEXT(RawMaterials[[#This Row],[Unit price in quote year]]),"Check calcs",RawMaterials[[#This Row],[Unit price in quote year]]/VLOOKUP(RawMaterials[[#This Row],[Quote Year]],ChemPPI[],14,FALSE)*VLOOKUP(BasisYear,ChemPPI[],14,FALSE))</f>
        <v>48.859756097560989</v>
      </c>
      <c r="AM533" s="373" t="str">
        <f t="shared" si="8"/>
        <v>$/lb (2016)</v>
      </c>
    </row>
    <row r="534" spans="1:39">
      <c r="A534" s="263" t="s">
        <v>1629</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122.5</v>
      </c>
      <c r="AL534" s="372">
        <f>IF(ISTEXT(RawMaterials[[#This Row],[Unit price in quote year]]),"Check calcs",RawMaterials[[#This Row],[Unit price in quote year]]/VLOOKUP(RawMaterials[[#This Row],[Quote Year]],ChemPPI[],14,FALSE)*VLOOKUP(BasisYear,ChemPPI[],14,FALSE))</f>
        <v>166.25889227642281</v>
      </c>
      <c r="AM534" s="373" t="str">
        <f t="shared" si="8"/>
        <v>$/lb (2016)</v>
      </c>
    </row>
    <row r="535" spans="1:39">
      <c r="A535" s="263" t="s">
        <v>1630</v>
      </c>
      <c r="B535" s="264"/>
      <c r="C535" s="271"/>
      <c r="D535" s="365"/>
      <c r="E535" s="264">
        <v>100</v>
      </c>
      <c r="F535" s="264"/>
      <c r="G535" s="271"/>
      <c r="H535" s="271"/>
      <c r="I535" s="268"/>
      <c r="J535" s="271"/>
      <c r="K535" s="271"/>
      <c r="L535" s="271"/>
      <c r="M535" s="271"/>
      <c r="N535" s="271"/>
      <c r="O535" s="271"/>
      <c r="P535" s="265">
        <v>32.25</v>
      </c>
      <c r="Q535" s="264">
        <v>1</v>
      </c>
      <c r="R535" s="264" t="s">
        <v>994</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0.32250000000000001</v>
      </c>
      <c r="AL535" s="372">
        <f>IF(ISTEXT(RawMaterials[[#This Row],[Unit price in quote year]]),"Check calcs",RawMaterials[[#This Row],[Unit price in quote year]]/VLOOKUP(RawMaterials[[#This Row],[Quote Year]],ChemPPI[],14,FALSE)*VLOOKUP(BasisYear,ChemPPI[],14,FALSE))</f>
        <v>0.43770198170731717</v>
      </c>
      <c r="AM535" s="373" t="str">
        <f t="shared" si="8"/>
        <v>$/lb (2016)</v>
      </c>
    </row>
    <row r="536" spans="1:39">
      <c r="A536" s="263" t="s">
        <v>1631</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v>
      </c>
      <c r="AL536" s="372">
        <f>IF(ISTEXT(RawMaterials[[#This Row],[Unit price in quote year]]),"Check calcs",RawMaterials[[#This Row],[Unit price in quote year]]/VLOOKUP(RawMaterials[[#This Row],[Quote Year]],ChemPPI[],14,FALSE)*VLOOKUP(BasisYear,ChemPPI[],14,FALSE))</f>
        <v>36.644817073170735</v>
      </c>
      <c r="AM536" s="373" t="str">
        <f t="shared" si="8"/>
        <v>$/lb (2016)</v>
      </c>
    </row>
    <row r="537" spans="1:39">
      <c r="A537" s="263" t="s">
        <v>1632</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0.23499999999999999</v>
      </c>
      <c r="AL537" s="372">
        <f>IF(ISTEXT(RawMaterials[[#This Row],[Unit price in quote year]]),"Check calcs",RawMaterials[[#This Row],[Unit price in quote year]]/VLOOKUP(RawMaterials[[#This Row],[Quote Year]],ChemPPI[],14,FALSE)*VLOOKUP(BasisYear,ChemPPI[],14,FALSE))</f>
        <v>0.31894563008130089</v>
      </c>
      <c r="AM537" s="373" t="str">
        <f t="shared" si="8"/>
        <v>$/lb (2016)</v>
      </c>
    </row>
    <row r="538" spans="1:39">
      <c r="A538" s="263" t="s">
        <v>1633</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538" s="372">
        <f>IF(ISTEXT(RawMaterials[[#This Row],[Unit price in quote year]]),"Check calcs",RawMaterials[[#This Row],[Unit price in quote year]]/VLOOKUP(RawMaterials[[#This Row],[Quote Year]],ChemPPI[],14,FALSE)*VLOOKUP(BasisYear,ChemPPI[],14,FALSE))</f>
        <v>0.64807037601626027</v>
      </c>
      <c r="AM538" s="373" t="str">
        <f t="shared" si="8"/>
        <v>$/lb (2016)</v>
      </c>
    </row>
    <row r="539" spans="1:39">
      <c r="A539" s="263" t="s">
        <v>1634</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0.46250000000000002</v>
      </c>
      <c r="AL539" s="372">
        <f>IF(ISTEXT(RawMaterials[[#This Row],[Unit price in quote year]]),"Check calcs",RawMaterials[[#This Row],[Unit price in quote year]]/VLOOKUP(RawMaterials[[#This Row],[Quote Year]],ChemPPI[],14,FALSE)*VLOOKUP(BasisYear,ChemPPI[],14,FALSE))</f>
        <v>0.62771214430894318</v>
      </c>
      <c r="AM539" s="373" t="str">
        <f t="shared" si="8"/>
        <v>$/lb (2016)</v>
      </c>
    </row>
    <row r="540" spans="1:39">
      <c r="A540" s="263" t="s">
        <v>1635</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3.4499999999999999E-3</v>
      </c>
      <c r="AL540" s="372">
        <f>IF(ISTEXT(RawMaterials[[#This Row],[Unit price in quote year]]),"Check calcs",RawMaterials[[#This Row],[Unit price in quote year]]/VLOOKUP(RawMaterials[[#This Row],[Quote Year]],ChemPPI[],14,FALSE)*VLOOKUP(BasisYear,ChemPPI[],14,FALSE))</f>
        <v>4.6823932926829273E-3</v>
      </c>
      <c r="AM540" s="373" t="str">
        <f t="shared" si="8"/>
        <v>$/lb (2016)</v>
      </c>
    </row>
    <row r="541" spans="1:39">
      <c r="A541" s="263" t="s">
        <v>1636</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v>
      </c>
      <c r="AL541" s="372">
        <f>IF(ISTEXT(RawMaterials[[#This Row],[Unit price in quote year]]),"Check calcs",RawMaterials[[#This Row],[Unit price in quote year]]/VLOOKUP(RawMaterials[[#This Row],[Quote Year]],ChemPPI[],14,FALSE)*VLOOKUP(BasisYear,ChemPPI[],14,FALSE))</f>
        <v>74.646849593495944</v>
      </c>
      <c r="AM541" s="373" t="str">
        <f t="shared" si="8"/>
        <v>$/lb (2016)</v>
      </c>
    </row>
    <row r="542" spans="1:39">
      <c r="A542" s="263" t="s">
        <v>1637</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4.4000000000000004</v>
      </c>
      <c r="AL542" s="372">
        <f>IF(ISTEXT(RawMaterials[[#This Row],[Unit price in quote year]]),"Check calcs",RawMaterials[[#This Row],[Unit price in quote year]]/VLOOKUP(RawMaterials[[#This Row],[Quote Year]],ChemPPI[],14,FALSE)*VLOOKUP(BasisYear,ChemPPI[],14,FALSE))</f>
        <v>5.1498557604528026</v>
      </c>
      <c r="AM542" s="373" t="str">
        <f t="shared" si="8"/>
        <v>$/lb (2016)</v>
      </c>
    </row>
    <row r="543" spans="1:39">
      <c r="A543" s="263" t="s">
        <v>1638</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543" s="372">
        <f>IF(ISTEXT(RawMaterials[[#This Row],[Unit price in quote year]]),"Check calcs",RawMaterials[[#This Row],[Unit price in quote year]]/VLOOKUP(RawMaterials[[#This Row],[Quote Year]],ChemPPI[],14,FALSE)*VLOOKUP(BasisYear,ChemPPI[],14,FALSE))</f>
        <v>0.93633741099141876</v>
      </c>
      <c r="AM543" s="373" t="str">
        <f t="shared" si="8"/>
        <v>$/lb (2016)</v>
      </c>
    </row>
    <row r="544" spans="1:39">
      <c r="A544" s="263" t="s">
        <v>1639</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0.28999999999999998</v>
      </c>
      <c r="AL544" s="372">
        <f>IF(ISTEXT(RawMaterials[[#This Row],[Unit price in quote year]]),"Check calcs",RawMaterials[[#This Row],[Unit price in quote year]]/VLOOKUP(RawMaterials[[#This Row],[Quote Year]],ChemPPI[],14,FALSE)*VLOOKUP(BasisYear,ChemPPI[],14,FALSE))</f>
        <v>0.33942231148438923</v>
      </c>
      <c r="AM544" s="373" t="str">
        <f t="shared" si="8"/>
        <v>$/lb (2016)</v>
      </c>
    </row>
    <row r="545" spans="1:39">
      <c r="A545" s="263" t="s">
        <v>1640</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45" s="372">
        <f>IF(ISTEXT(RawMaterials[[#This Row],[Unit price in quote year]]),"Check calcs",RawMaterials[[#This Row],[Unit price in quote year]]/VLOOKUP(RawMaterials[[#This Row],[Quote Year]],ChemPPI[],14,FALSE)*VLOOKUP(BasisYear,ChemPPI[],14,FALSE))</f>
        <v>0.90122475807924052</v>
      </c>
      <c r="AM545" s="373" t="str">
        <f t="shared" si="8"/>
        <v>$/lb (2016)</v>
      </c>
    </row>
    <row r="546" spans="1:39">
      <c r="A546" s="263" t="s">
        <v>1641</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0.28000000000000003</v>
      </c>
      <c r="AL546" s="372">
        <f>IF(ISTEXT(RawMaterials[[#This Row],[Unit price in quote year]]),"Check calcs",RawMaterials[[#This Row],[Unit price in quote year]]/VLOOKUP(RawMaterials[[#This Row],[Quote Year]],ChemPPI[],14,FALSE)*VLOOKUP(BasisYear,ChemPPI[],14,FALSE))</f>
        <v>0.38002032520325213</v>
      </c>
      <c r="AM546" s="373" t="str">
        <f t="shared" si="8"/>
        <v>$/lb (2016)</v>
      </c>
    </row>
    <row r="547" spans="1:39">
      <c r="A547" s="263" t="s">
        <v>1642</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11.33980925</v>
      </c>
      <c r="AL547" s="372">
        <f>IF(ISTEXT(RawMaterials[[#This Row],[Unit price in quote year]]),"Check calcs",RawMaterials[[#This Row],[Unit price in quote year]]/VLOOKUP(RawMaterials[[#This Row],[Quote Year]],ChemPPI[],14,FALSE)*VLOOKUP(BasisYear,ChemPPI[],14,FALSE))</f>
        <v>15.390564281885165</v>
      </c>
      <c r="AM547" s="373" t="str">
        <f t="shared" si="8"/>
        <v>$/lb (2016)</v>
      </c>
    </row>
    <row r="548" spans="1:39">
      <c r="A548" s="263" t="s">
        <v>1643</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11.566605435000001</v>
      </c>
      <c r="AL548" s="372">
        <f>IF(ISTEXT(RawMaterials[[#This Row],[Unit price in quote year]]),"Check calcs",RawMaterials[[#This Row],[Unit price in quote year]]/VLOOKUP(RawMaterials[[#This Row],[Quote Year]],ChemPPI[],14,FALSE)*VLOOKUP(BasisYear,ChemPPI[],14,FALSE))</f>
        <v>15.69837556752287</v>
      </c>
      <c r="AM548" s="373" t="str">
        <f t="shared" si="8"/>
        <v>$/lb (2016)</v>
      </c>
    </row>
    <row r="549" spans="1:39">
      <c r="A549" s="263" t="s">
        <v>1644</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0.18080191868200002</v>
      </c>
      <c r="AL549" s="372">
        <f>IF(ISTEXT(RawMaterials[[#This Row],[Unit price in quote year]]),"Check calcs",RawMaterials[[#This Row],[Unit price in quote year]]/VLOOKUP(RawMaterials[[#This Row],[Quote Year]],ChemPPI[],14,FALSE)*VLOOKUP(BasisYear,ChemPPI[],14,FALSE))</f>
        <v>0.2453871569103771</v>
      </c>
      <c r="AM549" s="373" t="str">
        <f t="shared" si="8"/>
        <v>$/lb (2016)</v>
      </c>
    </row>
    <row r="550" spans="1:39">
      <c r="A550" s="263" t="s">
        <v>1645</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550" s="372">
        <f>IF(ISTEXT(RawMaterials[[#This Row],[Unit price in quote year]]),"Check calcs",RawMaterials[[#This Row],[Unit price in quote year]]/VLOOKUP(RawMaterials[[#This Row],[Quote Year]],ChemPPI[],14,FALSE)*VLOOKUP(BasisYear,ChemPPI[],14,FALSE))</f>
        <v>19.699922280813013</v>
      </c>
      <c r="AM550" s="373" t="str">
        <f t="shared" si="8"/>
        <v>$/lb (2016)</v>
      </c>
    </row>
    <row r="551" spans="1:39">
      <c r="A551" s="263" t="s">
        <v>1646</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v>
      </c>
      <c r="AL551" s="372">
        <f>IF(ISTEXT(RawMaterials[[#This Row],[Unit price in quote year]]),"Check calcs",RawMaterials[[#This Row],[Unit price in quote year]]/VLOOKUP(RawMaterials[[#This Row],[Quote Year]],ChemPPI[],14,FALSE)*VLOOKUP(BasisYear,ChemPPI[],14,FALSE))</f>
        <v>38.002032520325216</v>
      </c>
      <c r="AM551" s="373" t="str">
        <f t="shared" si="8"/>
        <v>$/lb (2016)</v>
      </c>
    </row>
    <row r="552" spans="1:39">
      <c r="A552" s="263" t="s">
        <v>1647</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0.40149999999999902</v>
      </c>
      <c r="AL552" s="372">
        <f>IF(ISTEXT(RawMaterials[[#This Row],[Unit price in quote year]]),"Check calcs",RawMaterials[[#This Row],[Unit price in quote year]]/VLOOKUP(RawMaterials[[#This Row],[Quote Year]],ChemPPI[],14,FALSE)*VLOOKUP(BasisYear,ChemPPI[],14,FALSE))</f>
        <v>0.54492200203251906</v>
      </c>
      <c r="AM552" s="373" t="str">
        <f t="shared" si="8"/>
        <v>$/lb (2016)</v>
      </c>
    </row>
    <row r="553" spans="1:39">
      <c r="A553" s="263" t="s">
        <v>1648</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553" s="372">
        <f>IF(ISTEXT(RawMaterials[[#This Row],[Unit price in quote year]]),"Check calcs",RawMaterials[[#This Row],[Unit price in quote year]]/VLOOKUP(RawMaterials[[#This Row],[Quote Year]],ChemPPI[],14,FALSE)*VLOOKUP(BasisYear,ChemPPI[],14,FALSE))</f>
        <v>0.40037855691056912</v>
      </c>
      <c r="AM553" s="373" t="str">
        <f t="shared" si="8"/>
        <v>$/lb (2016)</v>
      </c>
    </row>
    <row r="554" spans="1:39">
      <c r="A554" s="263" t="s">
        <v>1649</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54" s="372">
        <f>IF(ISTEXT(RawMaterials[[#This Row],[Unit price in quote year]]),"Check calcs",RawMaterials[[#This Row],[Unit price in quote year]]/VLOOKUP(RawMaterials[[#This Row],[Quote Year]],ChemPPI[],14,FALSE)*VLOOKUP(BasisYear,ChemPPI[],14,FALSE))</f>
        <v>0.4915771407704948</v>
      </c>
      <c r="AM554" s="373" t="str">
        <f t="shared" si="8"/>
        <v>$/lb (2016)</v>
      </c>
    </row>
    <row r="555" spans="1:39">
      <c r="A555" s="263" t="s">
        <v>1650</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55" s="372">
        <f>IF(ISTEXT(RawMaterials[[#This Row],[Unit price in quote year]]),"Check calcs",RawMaterials[[#This Row],[Unit price in quote year]]/VLOOKUP(RawMaterials[[#This Row],[Quote Year]],ChemPPI[],14,FALSE)*VLOOKUP(BasisYear,ChemPPI[],14,FALSE))</f>
        <v>0.84855577871097321</v>
      </c>
      <c r="AM555" s="373" t="str">
        <f t="shared" si="8"/>
        <v>$/lb (2016)</v>
      </c>
    </row>
    <row r="556" spans="1:39">
      <c r="A556" s="263" t="s">
        <v>1651</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6" s="372">
        <f>IF(ISTEXT(RawMaterials[[#This Row],[Unit price in quote year]]),"Check calcs",RawMaterials[[#This Row],[Unit price in quote year]]/VLOOKUP(RawMaterials[[#This Row],[Quote Year]],ChemPPI[],14,FALSE)*VLOOKUP(BasisYear,ChemPPI[],14,FALSE))</f>
        <v>1.187563516260163</v>
      </c>
      <c r="AM556" s="373" t="str">
        <f t="shared" si="8"/>
        <v>$/lb (2016)</v>
      </c>
    </row>
    <row r="557" spans="1:39">
      <c r="A557" s="263" t="s">
        <v>1652</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7" s="372">
        <f>IF(ISTEXT(RawMaterials[[#This Row],[Unit price in quote year]]),"Check calcs",RawMaterials[[#This Row],[Unit price in quote year]]/VLOOKUP(RawMaterials[[#This Row],[Quote Year]],ChemPPI[],14,FALSE)*VLOOKUP(BasisYear,ChemPPI[],14,FALSE))</f>
        <v>1.187563516260163</v>
      </c>
      <c r="AM557" s="373" t="str">
        <f t="shared" si="8"/>
        <v>$/lb (2016)</v>
      </c>
    </row>
    <row r="558" spans="1:39">
      <c r="A558" s="263" t="s">
        <v>1653</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558" s="372">
        <f>IF(ISTEXT(RawMaterials[[#This Row],[Unit price in quote year]]),"Check calcs",RawMaterials[[#This Row],[Unit price in quote year]]/VLOOKUP(RawMaterials[[#This Row],[Quote Year]],ChemPPI[],14,FALSE)*VLOOKUP(BasisYear,ChemPPI[],14,FALSE))</f>
        <v>0.88897611788617903</v>
      </c>
      <c r="AM558" s="373" t="str">
        <f t="shared" si="8"/>
        <v>$/lb (2016)</v>
      </c>
    </row>
    <row r="559" spans="1:39">
      <c r="A559" s="263" t="s">
        <v>1654</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9" s="372">
        <f>IF(ISTEXT(RawMaterials[[#This Row],[Unit price in quote year]]),"Check calcs",RawMaterials[[#This Row],[Unit price in quote year]]/VLOOKUP(RawMaterials[[#This Row],[Quote Year]],ChemPPI[],14,FALSE)*VLOOKUP(BasisYear,ChemPPI[],14,FALSE))</f>
        <v>1.187563516260163</v>
      </c>
      <c r="AM559" s="373" t="str">
        <f t="shared" si="8"/>
        <v>$/lb (2016)</v>
      </c>
    </row>
    <row r="560" spans="1:39">
      <c r="A560" s="263" t="s">
        <v>1655</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60" s="372">
        <f>IF(ISTEXT(RawMaterials[[#This Row],[Unit price in quote year]]),"Check calcs",RawMaterials[[#This Row],[Unit price in quote year]]/VLOOKUP(RawMaterials[[#This Row],[Quote Year]],ChemPPI[],14,FALSE)*VLOOKUP(BasisYear,ChemPPI[],14,FALSE))</f>
        <v>1.0450558943089432</v>
      </c>
      <c r="AM560" s="373" t="str">
        <f t="shared" si="8"/>
        <v>$/lb (2016)</v>
      </c>
    </row>
    <row r="561" spans="1:39">
      <c r="A561" s="263" t="s">
        <v>1656</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61" s="372">
        <f>IF(ISTEXT(RawMaterials[[#This Row],[Unit price in quote year]]),"Check calcs",RawMaterials[[#This Row],[Unit price in quote year]]/VLOOKUP(RawMaterials[[#This Row],[Quote Year]],ChemPPI[],14,FALSE)*VLOOKUP(BasisYear,ChemPPI[],14,FALSE))</f>
        <v>1.0518419715447156</v>
      </c>
      <c r="AM561" s="373" t="str">
        <f t="shared" si="8"/>
        <v>$/lb (2016)</v>
      </c>
    </row>
    <row r="562" spans="1:39">
      <c r="A562" s="263" t="s">
        <v>1657</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62" s="372">
        <f>IF(ISTEXT(RawMaterials[[#This Row],[Unit price in quote year]]),"Check calcs",RawMaterials[[#This Row],[Unit price in quote year]]/VLOOKUP(RawMaterials[[#This Row],[Quote Year]],ChemPPI[],14,FALSE)*VLOOKUP(BasisYear,ChemPPI[],14,FALSE))</f>
        <v>0.92290650406504093</v>
      </c>
      <c r="AM562" s="373" t="str">
        <f t="shared" si="8"/>
        <v>$/lb (2016)</v>
      </c>
    </row>
    <row r="563" spans="1:39">
      <c r="A563" s="263" t="s">
        <v>1658</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563" s="372">
        <f>IF(ISTEXT(RawMaterials[[#This Row],[Unit price in quote year]]),"Check calcs",RawMaterials[[#This Row],[Unit price in quote year]]/VLOOKUP(RawMaterials[[#This Row],[Quote Year]],ChemPPI[],14,FALSE)*VLOOKUP(BasisYear,ChemPPI[],14,FALSE))</f>
        <v>0.90254827235772384</v>
      </c>
      <c r="AM563" s="373" t="str">
        <f t="shared" si="8"/>
        <v>$/lb (2016)</v>
      </c>
    </row>
    <row r="564" spans="1:39">
      <c r="A564" s="263" t="s">
        <v>1659</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v>
      </c>
      <c r="AL564" s="372">
        <f>IF(ISTEXT(RawMaterials[[#This Row],[Unit price in quote year]]),"Check calcs",RawMaterials[[#This Row],[Unit price in quote year]]/VLOOKUP(RawMaterials[[#This Row],[Quote Year]],ChemPPI[],14,FALSE)*VLOOKUP(BasisYear,ChemPPI[],14,FALSE))</f>
        <v>0.15607977642276427</v>
      </c>
      <c r="AM564" s="373" t="str">
        <f t="shared" si="8"/>
        <v>$/lb (2016)</v>
      </c>
    </row>
    <row r="565" spans="1:39">
      <c r="A565" s="263" t="s">
        <v>1660</v>
      </c>
      <c r="B565" s="264"/>
      <c r="C565" s="271"/>
      <c r="D565" s="270"/>
      <c r="E565" s="264">
        <v>100</v>
      </c>
      <c r="F565" s="264"/>
      <c r="G565" s="271"/>
      <c r="H565" s="271"/>
      <c r="I565" s="268"/>
      <c r="J565" s="271"/>
      <c r="K565" s="271"/>
      <c r="L565" s="271"/>
      <c r="M565" s="271"/>
      <c r="N565" s="271"/>
      <c r="O565" s="271"/>
      <c r="P565" s="265">
        <v>408.75</v>
      </c>
      <c r="Q565" s="264">
        <v>1</v>
      </c>
      <c r="R565" s="264" t="s">
        <v>406</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0.204375</v>
      </c>
      <c r="AL565" s="372">
        <f>IF(ISTEXT(RawMaterials[[#This Row],[Unit price in quote year]]),"Check calcs",RawMaterials[[#This Row],[Unit price in quote year]]/VLOOKUP(RawMaterials[[#This Row],[Quote Year]],ChemPPI[],14,FALSE)*VLOOKUP(BasisYear,ChemPPI[],14,FALSE))</f>
        <v>0.27738090701219514</v>
      </c>
      <c r="AM565" s="373" t="str">
        <f t="shared" si="8"/>
        <v>$/lb (2016)</v>
      </c>
    </row>
    <row r="566" spans="1:39">
      <c r="A566" s="263" t="s">
        <v>1661</v>
      </c>
      <c r="B566" s="264"/>
      <c r="C566" s="271"/>
      <c r="D566" s="270"/>
      <c r="E566" s="264">
        <v>100</v>
      </c>
      <c r="F566" s="264"/>
      <c r="G566" s="271"/>
      <c r="H566" s="271"/>
      <c r="I566" s="268"/>
      <c r="J566" s="271"/>
      <c r="K566" s="271"/>
      <c r="L566" s="271"/>
      <c r="M566" s="271"/>
      <c r="N566" s="271"/>
      <c r="O566" s="271"/>
      <c r="P566" s="265">
        <v>0.43</v>
      </c>
      <c r="Q566" s="264">
        <v>1</v>
      </c>
      <c r="R566" s="264" t="s">
        <v>1123</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1.9504471909999999E-4</v>
      </c>
      <c r="AL566" s="372">
        <f>IF(ISTEXT(RawMaterials[[#This Row],[Unit price in quote year]]),"Check calcs",RawMaterials[[#This Row],[Unit price in quote year]]/VLOOKUP(RawMaterials[[#This Row],[Quote Year]],ChemPPI[],14,FALSE)*VLOOKUP(BasisYear,ChemPPI[],14,FALSE))</f>
        <v>2.2828458413705314E-4</v>
      </c>
      <c r="AM566" s="373" t="str">
        <f t="shared" si="8"/>
        <v>$/lb (2016)</v>
      </c>
    </row>
    <row r="567" spans="1:39">
      <c r="A567" s="263" t="s">
        <v>1662</v>
      </c>
      <c r="B567" s="264"/>
      <c r="C567" s="271"/>
      <c r="D567" s="365"/>
      <c r="E567" s="264">
        <v>100</v>
      </c>
      <c r="F567" s="264"/>
      <c r="G567" s="271"/>
      <c r="H567" s="271"/>
      <c r="I567" s="268"/>
      <c r="J567" s="271"/>
      <c r="K567" s="271"/>
      <c r="L567" s="271"/>
      <c r="M567" s="271"/>
      <c r="N567" s="271"/>
      <c r="O567" s="271"/>
      <c r="P567" s="265">
        <v>344.96499999999997</v>
      </c>
      <c r="Q567" s="264">
        <v>1</v>
      </c>
      <c r="R567" s="264" t="s">
        <v>1123</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0.15647349191704998</v>
      </c>
      <c r="AL567" s="372">
        <f>IF(ISTEXT(RawMaterials[[#This Row],[Unit price in quote year]]),"Check calcs",RawMaterials[[#This Row],[Unit price in quote year]]/VLOOKUP(RawMaterials[[#This Row],[Quote Year]],ChemPPI[],14,FALSE)*VLOOKUP(BasisYear,ChemPPI[],14,FALSE))</f>
        <v>0.18313998038799659</v>
      </c>
      <c r="AM567" s="373" t="str">
        <f t="shared" si="8"/>
        <v>$/lb (2016)</v>
      </c>
    </row>
    <row r="568" spans="1:39">
      <c r="A568" s="263" t="s">
        <v>1663</v>
      </c>
      <c r="B568" s="264"/>
      <c r="C568" s="271"/>
      <c r="D568" s="365"/>
      <c r="E568" s="264">
        <v>100</v>
      </c>
      <c r="F568" s="264"/>
      <c r="G568" s="271"/>
      <c r="H568" s="271"/>
      <c r="I568" s="268"/>
      <c r="J568" s="271"/>
      <c r="K568" s="271"/>
      <c r="L568" s="271"/>
      <c r="M568" s="271"/>
      <c r="N568" s="271"/>
      <c r="O568" s="271"/>
      <c r="P568" s="265">
        <v>94</v>
      </c>
      <c r="Q568" s="264">
        <v>1</v>
      </c>
      <c r="R568" s="264" t="s">
        <v>406</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68" s="372">
        <f>IF(ISTEXT(RawMaterials[[#This Row],[Unit price in quote year]]),"Check calcs",RawMaterials[[#This Row],[Unit price in quote year]]/VLOOKUP(RawMaterials[[#This Row],[Quote Year]],ChemPPI[],14,FALSE)*VLOOKUP(BasisYear,ChemPPI[],14,FALSE))</f>
        <v>6.3789126016260175E-2</v>
      </c>
      <c r="AM568" s="373" t="str">
        <f t="shared" si="8"/>
        <v>$/lb (2016)</v>
      </c>
    </row>
    <row r="569" spans="1:39">
      <c r="A569" s="263" t="s">
        <v>1664</v>
      </c>
      <c r="B569" s="264"/>
      <c r="C569" s="271"/>
      <c r="D569" s="365"/>
      <c r="E569" s="264">
        <v>100</v>
      </c>
      <c r="F569" s="264"/>
      <c r="G569" s="271"/>
      <c r="H569" s="271"/>
      <c r="I569" s="268"/>
      <c r="J569" s="271"/>
      <c r="K569" s="271"/>
      <c r="L569" s="271"/>
      <c r="M569" s="271"/>
      <c r="N569" s="271"/>
      <c r="O569" s="271"/>
      <c r="P569" s="265">
        <v>56</v>
      </c>
      <c r="Q569" s="264">
        <v>1</v>
      </c>
      <c r="R569" s="264" t="s">
        <v>406</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2.8000000000000001E-2</v>
      </c>
      <c r="AL569" s="372">
        <f>IF(ISTEXT(RawMaterials[[#This Row],[Unit price in quote year]]),"Check calcs",RawMaterials[[#This Row],[Unit price in quote year]]/VLOOKUP(RawMaterials[[#This Row],[Quote Year]],ChemPPI[],14,FALSE)*VLOOKUP(BasisYear,ChemPPI[],14,FALSE))</f>
        <v>3.8002032520325212E-2</v>
      </c>
      <c r="AM569" s="373" t="str">
        <f t="shared" si="8"/>
        <v>$/lb (2016)</v>
      </c>
    </row>
    <row r="570" spans="1:39">
      <c r="A570" s="263" t="s">
        <v>1665</v>
      </c>
      <c r="B570" s="264"/>
      <c r="C570" s="271"/>
      <c r="D570" s="365"/>
      <c r="E570" s="264">
        <v>100</v>
      </c>
      <c r="F570" s="264"/>
      <c r="G570" s="271"/>
      <c r="H570" s="271"/>
      <c r="I570" s="268"/>
      <c r="J570" s="271"/>
      <c r="K570" s="271"/>
      <c r="L570" s="271"/>
      <c r="M570" s="271"/>
      <c r="N570" s="271"/>
      <c r="O570" s="271"/>
      <c r="P570" s="265">
        <v>67</v>
      </c>
      <c r="Q570" s="264">
        <v>1</v>
      </c>
      <c r="R570" s="264" t="s">
        <v>406</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3.3500000000000002E-2</v>
      </c>
      <c r="AL570" s="372">
        <f>IF(ISTEXT(RawMaterials[[#This Row],[Unit price in quote year]]),"Check calcs",RawMaterials[[#This Row],[Unit price in quote year]]/VLOOKUP(RawMaterials[[#This Row],[Quote Year]],ChemPPI[],14,FALSE)*VLOOKUP(BasisYear,ChemPPI[],14,FALSE))</f>
        <v>4.5466717479674811E-2</v>
      </c>
      <c r="AM570" s="373" t="str">
        <f t="shared" si="8"/>
        <v>$/lb (2016)</v>
      </c>
    </row>
    <row r="571" spans="1:39">
      <c r="A571" s="263" t="s">
        <v>1666</v>
      </c>
      <c r="B571" s="264"/>
      <c r="C571" s="271"/>
      <c r="D571" s="365"/>
      <c r="E571" s="264">
        <v>100</v>
      </c>
      <c r="F571" s="264"/>
      <c r="G571" s="271"/>
      <c r="H571" s="271"/>
      <c r="I571" s="268"/>
      <c r="J571" s="271"/>
      <c r="K571" s="271"/>
      <c r="L571" s="271"/>
      <c r="M571" s="271"/>
      <c r="N571" s="271"/>
      <c r="O571" s="271"/>
      <c r="P571" s="265">
        <v>27.5</v>
      </c>
      <c r="Q571" s="264">
        <v>1</v>
      </c>
      <c r="R571" s="264" t="s">
        <v>406</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1.375E-2</v>
      </c>
      <c r="AL571" s="372">
        <f>IF(ISTEXT(RawMaterials[[#This Row],[Unit price in quote year]]),"Check calcs",RawMaterials[[#This Row],[Unit price in quote year]]/VLOOKUP(RawMaterials[[#This Row],[Quote Year]],ChemPPI[],14,FALSE)*VLOOKUP(BasisYear,ChemPPI[],14,FALSE))</f>
        <v>1.8661712398373987E-2</v>
      </c>
      <c r="AM571" s="373" t="str">
        <f t="shared" si="8"/>
        <v>$/lb (2016)</v>
      </c>
    </row>
    <row r="572" spans="1:39">
      <c r="A572" s="263" t="s">
        <v>1667</v>
      </c>
      <c r="B572" s="264"/>
      <c r="C572" s="271"/>
      <c r="D572" s="365"/>
      <c r="E572" s="264">
        <v>100</v>
      </c>
      <c r="F572" s="264"/>
      <c r="G572" s="271"/>
      <c r="H572" s="271"/>
      <c r="I572" s="268"/>
      <c r="J572" s="271"/>
      <c r="K572" s="271"/>
      <c r="L572" s="271"/>
      <c r="M572" s="271"/>
      <c r="N572" s="271"/>
      <c r="O572" s="271"/>
      <c r="P572" s="265">
        <v>1450</v>
      </c>
      <c r="Q572" s="264">
        <v>1</v>
      </c>
      <c r="R572" s="264" t="s">
        <v>406</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72" s="372">
        <f>IF(ISTEXT(RawMaterials[[#This Row],[Unit price in quote year]]),"Check calcs",RawMaterials[[#This Row],[Unit price in quote year]]/VLOOKUP(RawMaterials[[#This Row],[Quote Year]],ChemPPI[],14,FALSE)*VLOOKUP(BasisYear,ChemPPI[],14,FALSE))</f>
        <v>0.98398119918699201</v>
      </c>
      <c r="AM572" s="373" t="str">
        <f t="shared" si="8"/>
        <v>$/lb (2016)</v>
      </c>
    </row>
    <row r="573" spans="1:39">
      <c r="A573" s="263" t="s">
        <v>1668</v>
      </c>
      <c r="B573" s="264"/>
      <c r="C573" s="271"/>
      <c r="D573" s="365"/>
      <c r="E573" s="264">
        <v>100</v>
      </c>
      <c r="F573" s="264"/>
      <c r="G573" s="271"/>
      <c r="H573" s="271"/>
      <c r="I573" s="268"/>
      <c r="J573" s="271"/>
      <c r="K573" s="271"/>
      <c r="L573" s="271"/>
      <c r="M573" s="271"/>
      <c r="N573" s="271"/>
      <c r="O573" s="271"/>
      <c r="P573" s="265">
        <v>87</v>
      </c>
      <c r="Q573" s="264">
        <v>1</v>
      </c>
      <c r="R573" s="264" t="s">
        <v>406</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573" s="372">
        <f>IF(ISTEXT(RawMaterials[[#This Row],[Unit price in quote year]]),"Check calcs",RawMaterials[[#This Row],[Unit price in quote year]]/VLOOKUP(RawMaterials[[#This Row],[Quote Year]],ChemPPI[],14,FALSE)*VLOOKUP(BasisYear,ChemPPI[],14,FALSE))</f>
        <v>5.903887195121952E-2</v>
      </c>
      <c r="AM573" s="373" t="str">
        <f t="shared" si="8"/>
        <v>$/lb (2016)</v>
      </c>
    </row>
    <row r="574" spans="1:39">
      <c r="A574" s="263" t="s">
        <v>1669</v>
      </c>
      <c r="B574" s="264"/>
      <c r="C574" s="271"/>
      <c r="D574" s="365"/>
      <c r="E574" s="264">
        <v>100</v>
      </c>
      <c r="F574" s="264"/>
      <c r="G574" s="271"/>
      <c r="H574" s="271"/>
      <c r="I574" s="268"/>
      <c r="J574" s="271"/>
      <c r="K574" s="271"/>
      <c r="L574" s="271"/>
      <c r="M574" s="271"/>
      <c r="N574" s="271"/>
      <c r="O574" s="271"/>
      <c r="P574" s="265">
        <v>94</v>
      </c>
      <c r="Q574" s="264">
        <v>1</v>
      </c>
      <c r="R574" s="264" t="s">
        <v>406</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74" s="372">
        <f>IF(ISTEXT(RawMaterials[[#This Row],[Unit price in quote year]]),"Check calcs",RawMaterials[[#This Row],[Unit price in quote year]]/VLOOKUP(RawMaterials[[#This Row],[Quote Year]],ChemPPI[],14,FALSE)*VLOOKUP(BasisYear,ChemPPI[],14,FALSE))</f>
        <v>6.3789126016260175E-2</v>
      </c>
      <c r="AM574" s="373" t="str">
        <f t="shared" si="8"/>
        <v>$/lb (2016)</v>
      </c>
    </row>
    <row r="575" spans="1:39">
      <c r="A575" s="263" t="s">
        <v>1670</v>
      </c>
      <c r="B575" s="264"/>
      <c r="C575" s="271"/>
      <c r="D575" s="365"/>
      <c r="E575" s="264">
        <v>100</v>
      </c>
      <c r="F575" s="264"/>
      <c r="G575" s="271"/>
      <c r="H575" s="271"/>
      <c r="I575" s="268"/>
      <c r="J575" s="271"/>
      <c r="K575" s="271"/>
      <c r="L575" s="271"/>
      <c r="M575" s="271"/>
      <c r="N575" s="271"/>
      <c r="O575" s="271"/>
      <c r="P575" s="265">
        <v>71</v>
      </c>
      <c r="Q575" s="264">
        <v>1</v>
      </c>
      <c r="R575" s="264" t="s">
        <v>406</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3.5499999999999997E-2</v>
      </c>
      <c r="AL575" s="372">
        <f>IF(ISTEXT(RawMaterials[[#This Row],[Unit price in quote year]]),"Check calcs",RawMaterials[[#This Row],[Unit price in quote year]]/VLOOKUP(RawMaterials[[#This Row],[Quote Year]],ChemPPI[],14,FALSE)*VLOOKUP(BasisYear,ChemPPI[],14,FALSE))</f>
        <v>4.8181148373983747E-2</v>
      </c>
      <c r="AM575" s="373" t="str">
        <f t="shared" si="8"/>
        <v>$/lb (2016)</v>
      </c>
    </row>
    <row r="576" spans="1:39">
      <c r="A576" s="263" t="s">
        <v>1671</v>
      </c>
      <c r="B576" s="264"/>
      <c r="C576" s="271"/>
      <c r="D576" s="365"/>
      <c r="E576" s="264">
        <v>100</v>
      </c>
      <c r="F576" s="264"/>
      <c r="G576" s="271"/>
      <c r="H576" s="271"/>
      <c r="I576" s="268"/>
      <c r="J576" s="271"/>
      <c r="K576" s="271"/>
      <c r="L576" s="271"/>
      <c r="M576" s="271"/>
      <c r="N576" s="271"/>
      <c r="O576" s="271"/>
      <c r="P576" s="265">
        <v>73.099999999999994</v>
      </c>
      <c r="Q576" s="264">
        <v>1</v>
      </c>
      <c r="R576" s="264" t="s">
        <v>406</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3.6549999999999999E-2</v>
      </c>
      <c r="AL576" s="372">
        <f>IF(ISTEXT(RawMaterials[[#This Row],[Unit price in quote year]]),"Check calcs",RawMaterials[[#This Row],[Unit price in quote year]]/VLOOKUP(RawMaterials[[#This Row],[Quote Year]],ChemPPI[],14,FALSE)*VLOOKUP(BasisYear,ChemPPI[],14,FALSE))</f>
        <v>4.9606224593495944E-2</v>
      </c>
      <c r="AM576" s="373" t="str">
        <f t="shared" si="8"/>
        <v>$/lb (2016)</v>
      </c>
    </row>
    <row r="577" spans="1:39">
      <c r="A577" s="263" t="s">
        <v>1672</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v>
      </c>
      <c r="AL577" s="372">
        <f>IF(ISTEXT(RawMaterials[[#This Row],[Unit price in quote year]]),"Check calcs",RawMaterials[[#This Row],[Unit price in quote year]]/VLOOKUP(RawMaterials[[#This Row],[Quote Year]],ChemPPI[],14,FALSE)*VLOOKUP(BasisYear,ChemPPI[],14,FALSE))</f>
        <v>115.36331300813011</v>
      </c>
      <c r="AM577" s="373" t="str">
        <f t="shared" si="8"/>
        <v>$/lb (2016)</v>
      </c>
    </row>
    <row r="578" spans="1:39">
      <c r="A578" s="263" t="s">
        <v>1673</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78" s="372">
        <f>IF(ISTEXT(RawMaterials[[#This Row],[Unit price in quote year]]),"Check calcs",RawMaterials[[#This Row],[Unit price in quote year]]/VLOOKUP(RawMaterials[[#This Row],[Quote Year]],ChemPPI[],14,FALSE)*VLOOKUP(BasisYear,ChemPPI[],14,FALSE))</f>
        <v>0.40716463414634152</v>
      </c>
      <c r="AM578" s="373" t="str">
        <f t="shared" si="8"/>
        <v>$/lb (2016)</v>
      </c>
    </row>
    <row r="579" spans="1:39">
      <c r="A579" s="263" t="s">
        <v>1674</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579" s="372">
        <f>IF(ISTEXT(RawMaterials[[#This Row],[Unit price in quote year]]),"Check calcs",RawMaterials[[#This Row],[Unit price in quote year]]/VLOOKUP(RawMaterials[[#This Row],[Quote Year]],ChemPPI[],14,FALSE)*VLOOKUP(BasisYear,ChemPPI[],14,FALSE))</f>
        <v>0.4885975609756098</v>
      </c>
      <c r="AM579" s="373" t="str">
        <f t="shared" si="8"/>
        <v>$/lb (2016)</v>
      </c>
    </row>
    <row r="580" spans="1:39">
      <c r="A580" s="263" t="s">
        <v>1675</v>
      </c>
      <c r="B580" s="264"/>
      <c r="C580" s="271"/>
      <c r="D580" s="365"/>
      <c r="E580" s="264">
        <v>100</v>
      </c>
      <c r="F580" s="264"/>
      <c r="G580" s="271"/>
      <c r="H580" s="271"/>
      <c r="I580" s="268"/>
      <c r="J580" s="271"/>
      <c r="K580" s="271"/>
      <c r="L580" s="271"/>
      <c r="M580" s="271"/>
      <c r="N580" s="271"/>
      <c r="O580" s="271"/>
      <c r="P580" s="265">
        <v>105</v>
      </c>
      <c r="Q580" s="264">
        <v>1</v>
      </c>
      <c r="R580" s="264" t="s">
        <v>406</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5.2499999999999998E-2</v>
      </c>
      <c r="AL580" s="372">
        <f>IF(ISTEXT(RawMaterials[[#This Row],[Unit price in quote year]]),"Check calcs",RawMaterials[[#This Row],[Unit price in quote year]]/VLOOKUP(RawMaterials[[#This Row],[Quote Year]],ChemPPI[],14,FALSE)*VLOOKUP(BasisYear,ChemPPI[],14,FALSE))</f>
        <v>7.1253810975609774E-2</v>
      </c>
      <c r="AM580" s="373" t="str">
        <f t="shared" si="8"/>
        <v>$/lb (2016)</v>
      </c>
    </row>
    <row r="581" spans="1:39">
      <c r="A581" s="263" t="s">
        <v>1676</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81" s="372">
        <f>IF(ISTEXT(RawMaterials[[#This Row],[Unit price in quote year]]),"Check calcs",RawMaterials[[#This Row],[Unit price in quote year]]/VLOOKUP(RawMaterials[[#This Row],[Quote Year]],ChemPPI[],14,FALSE)*VLOOKUP(BasisYear,ChemPPI[],14,FALSE))</f>
        <v>0.44109502032520331</v>
      </c>
      <c r="AM581" s="373" t="str">
        <f t="shared" si="8"/>
        <v>$/lb (2016)</v>
      </c>
    </row>
    <row r="582" spans="1:39">
      <c r="A582" s="263" t="s">
        <v>1677</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582" s="372">
        <f>IF(ISTEXT(RawMaterials[[#This Row],[Unit price in quote year]]),"Check calcs",RawMaterials[[#This Row],[Unit price in quote year]]/VLOOKUP(RawMaterials[[#This Row],[Quote Year]],ChemPPI[],14,FALSE)*VLOOKUP(BasisYear,ChemPPI[],14,FALSE))</f>
        <v>0.35287601626016268</v>
      </c>
      <c r="AM582" s="373" t="str">
        <f t="shared" si="8"/>
        <v>$/lb (2016)</v>
      </c>
    </row>
    <row r="583" spans="1:39">
      <c r="A583" s="263" t="s">
        <v>1678</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2.375</v>
      </c>
      <c r="AL583" s="372">
        <f>IF(ISTEXT(RawMaterials[[#This Row],[Unit price in quote year]]),"Check calcs",RawMaterials[[#This Row],[Unit price in quote year]]/VLOOKUP(RawMaterials[[#This Row],[Quote Year]],ChemPPI[],14,FALSE)*VLOOKUP(BasisYear,ChemPPI[],14,FALSE))</f>
        <v>3.2233866869918706</v>
      </c>
      <c r="AM583" s="373" t="str">
        <f t="shared" si="8"/>
        <v>$/lb (2016)</v>
      </c>
    </row>
    <row r="584" spans="1:39">
      <c r="A584" s="263" t="s">
        <v>1679</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84" s="372">
        <f>IF(ISTEXT(RawMaterials[[#This Row],[Unit price in quote year]]),"Check calcs",RawMaterials[[#This Row],[Unit price in quote year]]/VLOOKUP(RawMaterials[[#This Row],[Quote Year]],ChemPPI[],14,FALSE)*VLOOKUP(BasisYear,ChemPPI[],14,FALSE))</f>
        <v>0.57003048780487819</v>
      </c>
      <c r="AM584" s="373" t="str">
        <f t="shared" si="8"/>
        <v>$/lb (2016)</v>
      </c>
    </row>
    <row r="585" spans="1:39">
      <c r="A585" s="263" t="s">
        <v>1680</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585" s="372">
        <f>IF(ISTEXT(RawMaterials[[#This Row],[Unit price in quote year]]),"Check calcs",RawMaterials[[#This Row],[Unit price in quote year]]/VLOOKUP(RawMaterials[[#This Row],[Quote Year]],ChemPPI[],14,FALSE)*VLOOKUP(BasisYear,ChemPPI[],14,FALSE))</f>
        <v>0.92969258130081323</v>
      </c>
      <c r="AM585" s="373" t="str">
        <f t="shared" si="8"/>
        <v>$/lb (2016)</v>
      </c>
    </row>
    <row r="586" spans="1:39">
      <c r="A586" s="263" t="s">
        <v>1681</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586" s="372">
        <f>IF(ISTEXT(RawMaterials[[#This Row],[Unit price in quote year]]),"Check calcs",RawMaterials[[#This Row],[Unit price in quote year]]/VLOOKUP(RawMaterials[[#This Row],[Quote Year]],ChemPPI[],14,FALSE)*VLOOKUP(BasisYear,ChemPPI[],14,FALSE))</f>
        <v>2.3072662601626019</v>
      </c>
      <c r="AM586" s="373" t="str">
        <f t="shared" si="8"/>
        <v>$/lb (2016)</v>
      </c>
    </row>
    <row r="587" spans="1:39">
      <c r="A587" s="263" t="s">
        <v>1682</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7" s="372">
        <f>IF(ISTEXT(RawMaterials[[#This Row],[Unit price in quote year]]),"Check calcs",RawMaterials[[#This Row],[Unit price in quote year]]/VLOOKUP(RawMaterials[[#This Row],[Quote Year]],ChemPPI[],14,FALSE)*VLOOKUP(BasisYear,ChemPPI[],14,FALSE))</f>
        <v>2.1036839430894312</v>
      </c>
      <c r="AM587" s="373" t="str">
        <f t="shared" si="8"/>
        <v>$/lb (2016)</v>
      </c>
    </row>
    <row r="588" spans="1:39">
      <c r="A588" s="263" t="s">
        <v>1683</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8" s="372">
        <f>IF(ISTEXT(RawMaterials[[#This Row],[Unit price in quote year]]),"Check calcs",RawMaterials[[#This Row],[Unit price in quote year]]/VLOOKUP(RawMaterials[[#This Row],[Quote Year]],ChemPPI[],14,FALSE)*VLOOKUP(BasisYear,ChemPPI[],14,FALSE))</f>
        <v>2.1036839430894312</v>
      </c>
      <c r="AM588" s="373" t="str">
        <f t="shared" si="8"/>
        <v>$/lb (2016)</v>
      </c>
    </row>
    <row r="589" spans="1:39">
      <c r="A589" s="263" t="s">
        <v>1684</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89" s="372">
        <f>IF(ISTEXT(RawMaterials[[#This Row],[Unit price in quote year]]),"Check calcs",RawMaterials[[#This Row],[Unit price in quote year]]/VLOOKUP(RawMaterials[[#This Row],[Quote Year]],ChemPPI[],14,FALSE)*VLOOKUP(BasisYear,ChemPPI[],14,FALSE))</f>
        <v>1.3232850609756099</v>
      </c>
      <c r="AM589" s="373" t="str">
        <f t="shared" si="8"/>
        <v>$/lb (2016)</v>
      </c>
    </row>
    <row r="590" spans="1:39">
      <c r="A590" s="263" t="s">
        <v>1685</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0" s="372">
        <f>IF(ISTEXT(RawMaterials[[#This Row],[Unit price in quote year]]),"Check calcs",RawMaterials[[#This Row],[Unit price in quote year]]/VLOOKUP(RawMaterials[[#This Row],[Quote Year]],ChemPPI[],14,FALSE)*VLOOKUP(BasisYear,ChemPPI[],14,FALSE))</f>
        <v>1.3232850609756099</v>
      </c>
      <c r="AM590" s="373" t="str">
        <f t="shared" si="8"/>
        <v>$/lb (2016)</v>
      </c>
    </row>
    <row r="591" spans="1:39">
      <c r="A591" s="263" t="s">
        <v>1686</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1" s="372">
        <f>IF(ISTEXT(RawMaterials[[#This Row],[Unit price in quote year]]),"Check calcs",RawMaterials[[#This Row],[Unit price in quote year]]/VLOOKUP(RawMaterials[[#This Row],[Quote Year]],ChemPPI[],14,FALSE)*VLOOKUP(BasisYear,ChemPPI[],14,FALSE))</f>
        <v>1.3232850609756099</v>
      </c>
      <c r="AM591" s="373" t="str">
        <f t="shared" si="8"/>
        <v>$/lb (2016)</v>
      </c>
    </row>
    <row r="592" spans="1:39">
      <c r="A592" s="263" t="s">
        <v>1687</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v>
      </c>
      <c r="AL592" s="372">
        <f>IF(ISTEXT(RawMaterials[[#This Row],[Unit price in quote year]]),"Check calcs",RawMaterials[[#This Row],[Unit price in quote year]]/VLOOKUP(RawMaterials[[#This Row],[Quote Year]],ChemPPI[],14,FALSE)*VLOOKUP(BasisYear,ChemPPI[],14,FALSE))</f>
        <v>1.4250762195121953</v>
      </c>
      <c r="AM592" s="373" t="str">
        <f t="shared" ref="AM592:AM621" si="9">CurrencySymbol&amp;"/"&amp;OutMassUnit&amp;" ("&amp;BasisYear&amp;")"</f>
        <v>$/lb (2016)</v>
      </c>
    </row>
    <row r="593" spans="1:39">
      <c r="A593" s="263" t="s">
        <v>1688</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0.46299715283921861</v>
      </c>
      <c r="AL593" s="372">
        <f>IF(ISTEXT(RawMaterials[[#This Row],[Unit price in quote year]]),"Check calcs",RawMaterials[[#This Row],[Unit price in quote year]]/VLOOKUP(RawMaterials[[#This Row],[Quote Year]],ChemPPI[],14,FALSE)*VLOOKUP(BasisYear,ChemPPI[],14,FALSE))</f>
        <v>0.54190194423234017</v>
      </c>
      <c r="AM593" s="373" t="str">
        <f t="shared" si="9"/>
        <v>$/lb (2016)</v>
      </c>
    </row>
    <row r="594" spans="1:39">
      <c r="A594" s="263" t="s">
        <v>1689</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0.46852547705222419</v>
      </c>
      <c r="AL594" s="372">
        <f>IF(ISTEXT(RawMaterials[[#This Row],[Unit price in quote year]]),"Check calcs",RawMaterials[[#This Row],[Unit price in quote year]]/VLOOKUP(RawMaterials[[#This Row],[Quote Year]],ChemPPI[],14,FALSE)*VLOOKUP(BasisYear,ChemPPI[],14,FALSE))</f>
        <v>0.54837241520824864</v>
      </c>
      <c r="AM594" s="373" t="str">
        <f t="shared" si="9"/>
        <v>$/lb (2016)</v>
      </c>
    </row>
    <row r="595" spans="1:39">
      <c r="A595" s="263" t="s">
        <v>1690</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595" s="372">
        <f>IF(ISTEXT(RawMaterials[[#This Row],[Unit price in quote year]]),"Check calcs",RawMaterials[[#This Row],[Unit price in quote year]]/VLOOKUP(RawMaterials[[#This Row],[Quote Year]],ChemPPI[],14,FALSE)*VLOOKUP(BasisYear,ChemPPI[],14,FALSE))</f>
        <v>0.63202775241920772</v>
      </c>
      <c r="AM595" s="373" t="str">
        <f t="shared" si="9"/>
        <v>$/lb (2016)</v>
      </c>
    </row>
    <row r="596" spans="1:39">
      <c r="A596" s="263" t="s">
        <v>1691</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596" s="372">
        <f>IF(ISTEXT(RawMaterials[[#This Row],[Unit price in quote year]]),"Check calcs",RawMaterials[[#This Row],[Unit price in quote year]]/VLOOKUP(RawMaterials[[#This Row],[Quote Year]],ChemPPI[],14,FALSE)*VLOOKUP(BasisYear,ChemPPI[],14,FALSE))</f>
        <v>0.62617564360051126</v>
      </c>
      <c r="AM596" s="373" t="str">
        <f t="shared" si="9"/>
        <v>$/lb (2016)</v>
      </c>
    </row>
    <row r="597" spans="1:39">
      <c r="A597" s="263" t="s">
        <v>1692</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597" s="372">
        <f>IF(ISTEXT(RawMaterials[[#This Row],[Unit price in quote year]]),"Check calcs",RawMaterials[[#This Row],[Unit price in quote year]]/VLOOKUP(RawMaterials[[#This Row],[Quote Year]],ChemPPI[],14,FALSE)*VLOOKUP(BasisYear,ChemPPI[],14,FALSE))</f>
        <v>0.95005081300813021</v>
      </c>
      <c r="AM597" s="373" t="str">
        <f t="shared" si="9"/>
        <v>$/lb (2016)</v>
      </c>
    </row>
    <row r="598" spans="1:39">
      <c r="A598" s="263" t="s">
        <v>1693</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598" s="372">
        <f>IF(ISTEXT(RawMaterials[[#This Row],[Unit price in quote year]]),"Check calcs",RawMaterials[[#This Row],[Unit price in quote year]]/VLOOKUP(RawMaterials[[#This Row],[Quote Year]],ChemPPI[],14,FALSE)*VLOOKUP(BasisYear,ChemPPI[],14,FALSE))</f>
        <v>1.6286585365853661</v>
      </c>
      <c r="AM598" s="373" t="str">
        <f t="shared" si="9"/>
        <v>$/lb (2016)</v>
      </c>
    </row>
    <row r="599" spans="1:39">
      <c r="A599" s="263" t="s">
        <v>1694</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599" s="372">
        <f>IF(ISTEXT(RawMaterials[[#This Row],[Unit price in quote year]]),"Check calcs",RawMaterials[[#This Row],[Unit price in quote year]]/VLOOKUP(RawMaterials[[#This Row],[Quote Year]],ChemPPI[],14,FALSE)*VLOOKUP(BasisYear,ChemPPI[],14,FALSE))</f>
        <v>1.1165198147616902</v>
      </c>
      <c r="AM599" s="373" t="str">
        <f t="shared" si="9"/>
        <v>$/lb (2016)</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1716</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10.9043605748</v>
      </c>
      <c r="AL600" s="372">
        <f>IF(ISTEXT(RawMaterials[[#This Row],[Unit price in quote year]]),"Check calcs",RawMaterials[[#This Row],[Unit price in quote year]]/VLOOKUP(RawMaterials[[#This Row],[Quote Year]],ChemPPI[],14,FALSE)*VLOOKUP(BasisYear,ChemPPI[],14,FALSE))</f>
        <v>10.9043605748</v>
      </c>
      <c r="AM600" s="373" t="str">
        <f t="shared" si="9"/>
        <v>$/lb (2016)</v>
      </c>
    </row>
    <row r="601" spans="1:39">
      <c r="A601" s="263" t="s">
        <v>1695</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7.2187748509967218</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0.11774851239232617</v>
      </c>
      <c r="AL601" s="372">
        <f>IF(ISTEXT(RawMaterials[[#This Row],[Unit price in quote year]]),"Check calcs",RawMaterials[[#This Row],[Unit price in quote year]]/VLOOKUP(RawMaterials[[#This Row],[Quote Year]],ChemPPI[],14,FALSE)*VLOOKUP(BasisYear,ChemPPI[],14,FALSE))</f>
        <v>0.15981009989832481</v>
      </c>
      <c r="AM601" s="373" t="str">
        <f t="shared" si="9"/>
        <v>$/lb (2016)</v>
      </c>
    </row>
    <row r="602" spans="1:39">
      <c r="A602" s="263" t="s">
        <v>1696</v>
      </c>
      <c r="B602" s="264"/>
      <c r="C602" s="271"/>
      <c r="D602" s="365"/>
      <c r="E602" s="264">
        <v>100</v>
      </c>
      <c r="F602" s="264"/>
      <c r="G602" s="271"/>
      <c r="H602" s="271"/>
      <c r="I602" s="268"/>
      <c r="J602" s="271"/>
      <c r="K602" s="271"/>
      <c r="L602" s="271"/>
      <c r="M602" s="271"/>
      <c r="N602" s="271"/>
      <c r="O602" s="271"/>
      <c r="P602" s="265">
        <v>590</v>
      </c>
      <c r="Q602" s="264">
        <v>1</v>
      </c>
      <c r="R602" s="264" t="s">
        <v>406</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602" s="372">
        <f>IF(ISTEXT(RawMaterials[[#This Row],[Unit price in quote year]]),"Check calcs",RawMaterials[[#This Row],[Unit price in quote year]]/VLOOKUP(RawMaterials[[#This Row],[Quote Year]],ChemPPI[],14,FALSE)*VLOOKUP(BasisYear,ChemPPI[],14,FALSE))</f>
        <v>0.34527442030308564</v>
      </c>
      <c r="AM602" s="373" t="str">
        <f t="shared" si="9"/>
        <v>$/lb (2016)</v>
      </c>
    </row>
    <row r="603" spans="1:39">
      <c r="A603" s="263" t="s">
        <v>1697</v>
      </c>
      <c r="B603" s="264"/>
      <c r="C603" s="271"/>
      <c r="D603" s="365"/>
      <c r="E603" s="264">
        <v>100</v>
      </c>
      <c r="F603" s="264"/>
      <c r="G603" s="271"/>
      <c r="H603" s="271"/>
      <c r="I603" s="268"/>
      <c r="J603" s="271"/>
      <c r="K603" s="271"/>
      <c r="L603" s="271"/>
      <c r="M603" s="271"/>
      <c r="N603" s="271"/>
      <c r="O603" s="271"/>
      <c r="P603" s="265">
        <v>570.5</v>
      </c>
      <c r="Q603" s="264">
        <v>1</v>
      </c>
      <c r="R603" s="264" t="s">
        <v>406</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0.28525</v>
      </c>
      <c r="AL603" s="372">
        <f>IF(ISTEXT(RawMaterials[[#This Row],[Unit price in quote year]]),"Check calcs",RawMaterials[[#This Row],[Unit price in quote year]]/VLOOKUP(RawMaterials[[#This Row],[Quote Year]],ChemPPI[],14,FALSE)*VLOOKUP(BasisYear,ChemPPI[],14,FALSE))</f>
        <v>0.33386280810662772</v>
      </c>
      <c r="AM603" s="373" t="str">
        <f t="shared" si="9"/>
        <v>$/lb (2016)</v>
      </c>
    </row>
    <row r="604" spans="1:39">
      <c r="A604" s="263" t="s">
        <v>1698</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6.0100989025000002</v>
      </c>
      <c r="AL604" s="372">
        <f>IF(ISTEXT(RawMaterials[[#This Row],[Unit price in quote year]]),"Check calcs",RawMaterials[[#This Row],[Unit price in quote year]]/VLOOKUP(RawMaterials[[#This Row],[Quote Year]],ChemPPI[],14,FALSE)*VLOOKUP(BasisYear,ChemPPI[],14,FALSE))</f>
        <v>8.1569990693991379</v>
      </c>
      <c r="AM604" s="373" t="str">
        <f t="shared" si="9"/>
        <v>$/lb (2016)</v>
      </c>
    </row>
    <row r="605" spans="1:39">
      <c r="A605" s="263" t="s">
        <v>1699</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8.3000000000000007</v>
      </c>
      <c r="AL605" s="372">
        <f>IF(ISTEXT(RawMaterials[[#This Row],[Unit price in quote year]]),"Check calcs",RawMaterials[[#This Row],[Unit price in quote year]]/VLOOKUP(RawMaterials[[#This Row],[Quote Year]],ChemPPI[],14,FALSE)*VLOOKUP(BasisYear,ChemPPI[],14,FALSE))</f>
        <v>11.264888211382116</v>
      </c>
      <c r="AM605" s="373" t="str">
        <f t="shared" si="9"/>
        <v>$/lb (2016)</v>
      </c>
    </row>
    <row r="606" spans="1:39">
      <c r="A606" s="263" t="s">
        <v>1700</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6" s="372">
        <f>IF(ISTEXT(RawMaterials[[#This Row],[Unit price in quote year]]),"Check calcs",RawMaterials[[#This Row],[Unit price in quote year]]/VLOOKUP(RawMaterials[[#This Row],[Quote Year]],ChemPPI[],14,FALSE)*VLOOKUP(BasisYear,ChemPPI[],14,FALSE))</f>
        <v>36.937354276524403</v>
      </c>
      <c r="AM606" s="373" t="str">
        <f t="shared" si="9"/>
        <v>$/lb (2016)</v>
      </c>
    </row>
    <row r="607" spans="1:39">
      <c r="A607" s="263" t="s">
        <v>1701</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7" s="372">
        <f>IF(ISTEXT(RawMaterials[[#This Row],[Unit price in quote year]]),"Check calcs",RawMaterials[[#This Row],[Unit price in quote year]]/VLOOKUP(RawMaterials[[#This Row],[Quote Year]],ChemPPI[],14,FALSE)*VLOOKUP(BasisYear,ChemPPI[],14,FALSE))</f>
        <v>36.937354276524403</v>
      </c>
      <c r="AM607" s="373" t="str">
        <f t="shared" si="9"/>
        <v>$/lb (2016)</v>
      </c>
    </row>
    <row r="608" spans="1:39">
      <c r="A608" s="263" t="s">
        <v>1702</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608" s="371">
        <f>IF(ISTEXT(RawMaterials[[#This Row],[Unit price in quote year]]),"Check calcs",RawMaterials[[#This Row],[Unit price in quote year]]/VLOOKUP(RawMaterials[[#This Row],[Quote Year]],ChemPPI[],14,FALSE)*VLOOKUP(BasisYear,ChemPPI[],14,FALSE))</f>
        <v>0.79003469052400965</v>
      </c>
      <c r="AM608" s="368" t="str">
        <f t="shared" si="9"/>
        <v>$/lb (2016)</v>
      </c>
    </row>
    <row r="609" spans="1:39">
      <c r="A609" s="270" t="s">
        <v>1703</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609" s="372">
        <f>IF(ISTEXT(RawMaterials[[#This Row],[Unit price in quote year]]),"Check calcs",RawMaterials[[#This Row],[Unit price in quote year]]/VLOOKUP(RawMaterials[[#This Row],[Quote Year]],ChemPPI[],14,FALSE)*VLOOKUP(BasisYear,ChemPPI[],14,FALSE))</f>
        <v>0.67299251415008221</v>
      </c>
      <c r="AM609" s="373" t="str">
        <f t="shared" si="9"/>
        <v>$/lb (2016)</v>
      </c>
    </row>
    <row r="610" spans="1:39">
      <c r="A610" s="270" t="s">
        <v>1704</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610" s="372">
        <f>IF(ISTEXT(RawMaterials[[#This Row],[Unit price in quote year]]),"Check calcs",RawMaterials[[#This Row],[Unit price in quote year]]/VLOOKUP(RawMaterials[[#This Row],[Quote Year]],ChemPPI[],14,FALSE)*VLOOKUP(BasisYear,ChemPPI[],14,FALSE))</f>
        <v>0.39794339967135178</v>
      </c>
      <c r="AM610" s="373" t="str">
        <f t="shared" si="9"/>
        <v>$/lb (2016)</v>
      </c>
    </row>
    <row r="611" spans="1:39">
      <c r="A611" s="270" t="s">
        <v>1705</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7.7612261403779783</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3.3499861400422715</v>
      </c>
      <c r="AL611" s="372">
        <f>IF(ISTEXT(RawMaterials[[#This Row],[Unit price in quote year]]),"Check calcs",RawMaterials[[#This Row],[Unit price in quote year]]/VLOOKUP(RawMaterials[[#This Row],[Quote Year]],ChemPPI[],14,FALSE)*VLOOKUP(BasisYear,ChemPPI[],14,FALSE))</f>
        <v>4.5466529370187549</v>
      </c>
      <c r="AM611" s="373" t="str">
        <f t="shared" si="9"/>
        <v>$/lb (2016)</v>
      </c>
    </row>
    <row r="612" spans="1:39">
      <c r="A612" s="270" t="s">
        <v>1706</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2" s="372">
        <f>IF(ISTEXT(RawMaterials[[#This Row],[Unit price in quote year]]),"Check calcs",RawMaterials[[#This Row],[Unit price in quote year]]/VLOOKUP(RawMaterials[[#This Row],[Quote Year]],ChemPPI[],14,FALSE)*VLOOKUP(BasisYear,ChemPPI[],14,FALSE))</f>
        <v>6.7860772357723587</v>
      </c>
      <c r="AM612" s="373" t="str">
        <f t="shared" si="9"/>
        <v>$/lb (2016)</v>
      </c>
    </row>
    <row r="613" spans="1:39">
      <c r="A613" s="270" t="s">
        <v>1707</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3" s="372">
        <f>IF(ISTEXT(RawMaterials[[#This Row],[Unit price in quote year]]),"Check calcs",RawMaterials[[#This Row],[Unit price in quote year]]/VLOOKUP(RawMaterials[[#This Row],[Quote Year]],ChemPPI[],14,FALSE)*VLOOKUP(BasisYear,ChemPPI[],14,FALSE))</f>
        <v>6.7860772357723587</v>
      </c>
      <c r="AM613" s="373" t="str">
        <f t="shared" si="9"/>
        <v>$/lb (2016)</v>
      </c>
    </row>
    <row r="614" spans="1:39">
      <c r="A614" s="270" t="s">
        <v>1708</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0.48679486097489255</v>
      </c>
      <c r="AL614" s="372">
        <f>IF(ISTEXT(RawMaterials[[#This Row],[Unit price in quote year]]),"Check calcs",RawMaterials[[#This Row],[Unit price in quote year]]/VLOOKUP(RawMaterials[[#This Row],[Quote Year]],ChemPPI[],14,FALSE)*VLOOKUP(BasisYear,ChemPPI[],14,FALSE))</f>
        <v>0.56975529976144812</v>
      </c>
      <c r="AM614" s="373" t="str">
        <f t="shared" si="9"/>
        <v>$/lb (2016)</v>
      </c>
    </row>
    <row r="615" spans="1:39">
      <c r="A615" s="270" t="s">
        <v>1709</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0.4784735813001067</v>
      </c>
      <c r="AL615" s="372">
        <f>IF(ISTEXT(RawMaterials[[#This Row],[Unit price in quote year]]),"Check calcs",RawMaterials[[#This Row],[Unit price in quote year]]/VLOOKUP(RawMaterials[[#This Row],[Quote Year]],ChemPPI[],14,FALSE)*VLOOKUP(BasisYear,ChemPPI[],14,FALSE))</f>
        <v>0.56001589292791742</v>
      </c>
      <c r="AM615" s="373" t="str">
        <f t="shared" si="9"/>
        <v>$/lb (2016)</v>
      </c>
    </row>
    <row r="616" spans="1:39">
      <c r="A616" s="270" t="s">
        <v>1710</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616" s="372">
        <f>IF(ISTEXT(RawMaterials[[#This Row],[Unit price in quote year]]),"Check calcs",RawMaterials[[#This Row],[Unit price in quote year]]/VLOOKUP(RawMaterials[[#This Row],[Quote Year]],ChemPPI[],14,FALSE)*VLOOKUP(BasisYear,ChemPPI[],14,FALSE))</f>
        <v>2.3072662601626019</v>
      </c>
      <c r="AM616" s="373" t="str">
        <f t="shared" si="9"/>
        <v>$/lb (2016)</v>
      </c>
    </row>
    <row r="617" spans="1:39">
      <c r="A617" s="270" t="s">
        <v>1711</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29.35</v>
      </c>
      <c r="AL617" s="372">
        <f>IF(ISTEXT(RawMaterials[[#This Row],[Unit price in quote year]]),"Check calcs",RawMaterials[[#This Row],[Unit price in quote year]]/VLOOKUP(RawMaterials[[#This Row],[Quote Year]],ChemPPI[],14,FALSE)*VLOOKUP(BasisYear,ChemPPI[],14,FALSE))</f>
        <v>39.834273373983748</v>
      </c>
      <c r="AM617" s="373" t="str">
        <f t="shared" si="9"/>
        <v>$/lb (2016)</v>
      </c>
    </row>
    <row r="618" spans="1:39">
      <c r="A618" s="270" t="s">
        <v>1712</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0.38500000000000001</v>
      </c>
      <c r="AL618" s="372">
        <f>IF(ISTEXT(RawMaterials[[#This Row],[Unit price in quote year]]),"Check calcs",RawMaterials[[#This Row],[Unit price in quote year]]/VLOOKUP(RawMaterials[[#This Row],[Quote Year]],ChemPPI[],14,FALSE)*VLOOKUP(BasisYear,ChemPPI[],14,FALSE))</f>
        <v>0.52252794715447159</v>
      </c>
      <c r="AM618" s="373" t="str">
        <f t="shared" si="9"/>
        <v>$/lb (2016)</v>
      </c>
    </row>
    <row r="619" spans="1:39">
      <c r="A619" s="270" t="s">
        <v>1713</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2.27</v>
      </c>
      <c r="AL619" s="372">
        <f>IF(ISTEXT(RawMaterials[[#This Row],[Unit price in quote year]]),"Check calcs",RawMaterials[[#This Row],[Unit price in quote year]]/VLOOKUP(RawMaterials[[#This Row],[Quote Year]],ChemPPI[],14,FALSE)*VLOOKUP(BasisYear,ChemPPI[],14,FALSE))</f>
        <v>3.080879065040651</v>
      </c>
      <c r="AM619" s="373" t="str">
        <f t="shared" si="9"/>
        <v>$/lb (2016)</v>
      </c>
    </row>
    <row r="620" spans="1:39">
      <c r="A620" s="270" t="s">
        <v>1714</v>
      </c>
      <c r="B620" s="272"/>
      <c r="C620" s="273"/>
      <c r="D620" s="272"/>
      <c r="E620" s="272">
        <v>100</v>
      </c>
      <c r="F620" s="272"/>
      <c r="G620" s="273"/>
      <c r="H620" s="273"/>
      <c r="I620" s="384"/>
      <c r="J620" s="273"/>
      <c r="K620" s="273"/>
      <c r="L620" s="273"/>
      <c r="M620" s="273"/>
      <c r="N620" s="273"/>
      <c r="O620" s="273"/>
      <c r="P620" s="364">
        <v>501</v>
      </c>
      <c r="Q620" s="264">
        <v>1</v>
      </c>
      <c r="R620" s="272" t="s">
        <v>406</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0.2505</v>
      </c>
      <c r="AL620" s="372">
        <f>IF(ISTEXT(RawMaterials[[#This Row],[Unit price in quote year]]),"Check calcs",RawMaterials[[#This Row],[Unit price in quote year]]/VLOOKUP(RawMaterials[[#This Row],[Quote Year]],ChemPPI[],14,FALSE)*VLOOKUP(BasisYear,ChemPPI[],14,FALSE))</f>
        <v>0.33998246951219518</v>
      </c>
      <c r="AM620" s="373" t="str">
        <f t="shared" si="9"/>
        <v>$/lb (2016)</v>
      </c>
    </row>
    <row r="621" spans="1:39">
      <c r="A621" s="270" t="s">
        <v>1715</v>
      </c>
      <c r="B621" s="272"/>
      <c r="C621" s="273"/>
      <c r="D621" s="272"/>
      <c r="E621" s="272">
        <v>100</v>
      </c>
      <c r="F621" s="272"/>
      <c r="G621" s="273"/>
      <c r="H621" s="273"/>
      <c r="I621" s="384"/>
      <c r="J621" s="273"/>
      <c r="K621" s="273"/>
      <c r="L621" s="273"/>
      <c r="M621" s="273"/>
      <c r="N621" s="273"/>
      <c r="O621" s="273"/>
      <c r="P621" s="364">
        <v>680.75</v>
      </c>
      <c r="Q621" s="264">
        <v>1</v>
      </c>
      <c r="R621" s="272" t="s">
        <v>406</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0.34037499999999998</v>
      </c>
      <c r="AL621" s="372">
        <f>IF(ISTEXT(RawMaterials[[#This Row],[Unit price in quote year]]),"Check calcs",RawMaterials[[#This Row],[Unit price in quote year]]/VLOOKUP(RawMaterials[[#This Row],[Quote Year]],ChemPPI[],14,FALSE)*VLOOKUP(BasisYear,ChemPPI[],14,FALSE))</f>
        <v>0.46196220782520331</v>
      </c>
      <c r="AM621" s="373" t="str">
        <f t="shared" si="9"/>
        <v>$/lb (2016)</v>
      </c>
    </row>
    <row r="622" spans="1:39">
      <c r="A622" s="405" t="s">
        <v>1844</v>
      </c>
      <c r="B622" s="406"/>
      <c r="C622" s="407"/>
      <c r="D622" s="406"/>
      <c r="E622" s="406">
        <v>100</v>
      </c>
      <c r="F622" s="406"/>
      <c r="G622" s="407"/>
      <c r="H622" s="407"/>
      <c r="I622" s="408"/>
      <c r="J622" s="407"/>
      <c r="K622" s="407"/>
      <c r="L622" s="407"/>
      <c r="M622" s="407"/>
      <c r="N622" s="407"/>
      <c r="O622" s="407"/>
      <c r="P622" s="409">
        <v>0.25</v>
      </c>
      <c r="Q622" s="406">
        <v>1</v>
      </c>
      <c r="R622" s="264" t="s">
        <v>20</v>
      </c>
      <c r="S622" s="406">
        <v>2016</v>
      </c>
      <c r="T622" s="266" t="s">
        <v>1851</v>
      </c>
      <c r="U622" s="410"/>
      <c r="V622" s="411"/>
      <c r="W622" s="407">
        <f>COUNT(RawMaterials[[#This Row],[Lab Quantity 1]:[Lab Quantity 4]])</f>
        <v>0</v>
      </c>
      <c r="X622"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2"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2"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2"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2" s="412" t="e">
        <f>RawMaterials[[#This Row],[Lab Price 1]]/RawMaterials[[#This Row],[Lab Q Model Units 1]]</f>
        <v>#N/A</v>
      </c>
      <c r="AC622" s="412" t="e">
        <f>RawMaterials[[#This Row],[Lab Price 2]]/RawMaterials[[#This Row],[Lab Q Model Units 2]]</f>
        <v>#N/A</v>
      </c>
      <c r="AD622" s="412" t="e">
        <f>RawMaterials[[#This Row],[Lab Price 3]]/RawMaterials[[#This Row],[Lab Q Model Units 3]]</f>
        <v>#N/A</v>
      </c>
      <c r="AE622" s="412" t="e">
        <f>RawMaterials[[#This Row],[Lab Price 4]]/RawMaterials[[#This Row],[Lab Q Model Units 4]]</f>
        <v>#N/A</v>
      </c>
      <c r="AF622" s="412" t="str">
        <f ca="1">IF(RawMaterials[[#This Row],[Lab Quote Count]]&gt;1,SLOPE(LOG(INDIRECT("RawMaterials[@[Lab Unit P 1]:[Lab Unit P "&amp;RawMaterials[[#This Row],[Lab Quote Count]]&amp;"]]")),LOG(INDIRECT("RawMaterials[@[Lab Q Model Units 1]:[Lab Q Model Units "&amp;RawMaterials[[#This Row],[Lab Quote Count]]&amp;"]]"))),"")</f>
        <v/>
      </c>
      <c r="AG622" s="412" t="str">
        <f ca="1">IF(RawMaterials[[#This Row],[Lab Quote Count]]&gt;1,INTERCEPT(LOG(INDIRECT("RawMaterials[@[Lab Unit P 1]:[Lab Unit P "&amp;RawMaterials[[#This Row],[Lab Quote Count]]&amp;"]]")),LOG(INDIRECT("RawMaterials[@[Lab Q Model Units 1]:[Lab Q Model Units "&amp;RawMaterials[[#This Row],[Lab Quote Count]]&amp;"]]"))),"")</f>
        <v/>
      </c>
      <c r="AH622" s="413" t="str">
        <f>IF(RawMaterials[[#This Row],[Material Type]]="Metal Precursor","D13",IF(RawMaterials[[#This Row],[Material Type]]="Ligand","D13","D12"))</f>
        <v>D12</v>
      </c>
      <c r="AI622" s="414" t="str">
        <f ca="1">IF(RawMaterials[[#This Row],[Lab Quote Count]]&gt;1,10^RawMaterials[[#This Row],[Lab Log-Log Intercept]]*INDIRECT(RawMaterials[[#This Row],[Basis Cell]])^RawMaterials[[#This Row],[Lab Log-Log Slope]],"&gt;&gt;&gt; Enter 2 or more lab quotes &lt;&lt;&lt;")</f>
        <v>&gt;&gt;&gt; Enter 2 or more lab quotes &lt;&lt;&lt;</v>
      </c>
      <c r="AJ622"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2"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622" s="415">
        <f>IF(ISTEXT(RawMaterials[[#This Row],[Unit price in quote year]]),"Check calcs",RawMaterials[[#This Row],[Unit price in quote year]]/VLOOKUP(RawMaterials[[#This Row],[Quote Year]],ChemPPI[],14,FALSE)*VLOOKUP(BasisYear,ChemPPI[],14,FALSE))</f>
        <v>0.25</v>
      </c>
      <c r="AM622" s="413" t="str">
        <f t="shared" ref="AM622:AM629" si="10">CurrencySymbol&amp;"/"&amp;OutMassUnit&amp;" ("&amp;BasisYear&amp;")"</f>
        <v>$/lb (2016)</v>
      </c>
    </row>
    <row r="623" spans="1:39">
      <c r="A623" s="405" t="s">
        <v>1845</v>
      </c>
      <c r="B623" s="406"/>
      <c r="C623" s="407"/>
      <c r="D623" s="406"/>
      <c r="E623" s="406">
        <v>100</v>
      </c>
      <c r="F623" s="406"/>
      <c r="G623" s="407"/>
      <c r="H623" s="407"/>
      <c r="I623" s="408"/>
      <c r="J623" s="407"/>
      <c r="K623" s="407"/>
      <c r="L623" s="407"/>
      <c r="M623" s="407"/>
      <c r="N623" s="407"/>
      <c r="O623" s="407"/>
      <c r="P623" s="409">
        <v>0.3</v>
      </c>
      <c r="Q623" s="406">
        <v>1</v>
      </c>
      <c r="R623" s="264" t="s">
        <v>20</v>
      </c>
      <c r="S623" s="406">
        <v>2016</v>
      </c>
      <c r="T623" s="266" t="s">
        <v>1851</v>
      </c>
      <c r="U623" s="410"/>
      <c r="V623" s="411"/>
      <c r="W623" s="407">
        <f>COUNT(RawMaterials[[#This Row],[Lab Quantity 1]:[Lab Quantity 4]])</f>
        <v>0</v>
      </c>
      <c r="X623"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3"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3"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3"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3" s="412" t="e">
        <f>RawMaterials[[#This Row],[Lab Price 1]]/RawMaterials[[#This Row],[Lab Q Model Units 1]]</f>
        <v>#N/A</v>
      </c>
      <c r="AC623" s="412" t="e">
        <f>RawMaterials[[#This Row],[Lab Price 2]]/RawMaterials[[#This Row],[Lab Q Model Units 2]]</f>
        <v>#N/A</v>
      </c>
      <c r="AD623" s="412" t="e">
        <f>RawMaterials[[#This Row],[Lab Price 3]]/RawMaterials[[#This Row],[Lab Q Model Units 3]]</f>
        <v>#N/A</v>
      </c>
      <c r="AE623" s="412" t="e">
        <f>RawMaterials[[#This Row],[Lab Price 4]]/RawMaterials[[#This Row],[Lab Q Model Units 4]]</f>
        <v>#N/A</v>
      </c>
      <c r="AF623" s="412" t="str">
        <f ca="1">IF(RawMaterials[[#This Row],[Lab Quote Count]]&gt;1,SLOPE(LOG(INDIRECT("RawMaterials[@[Lab Unit P 1]:[Lab Unit P "&amp;RawMaterials[[#This Row],[Lab Quote Count]]&amp;"]]")),LOG(INDIRECT("RawMaterials[@[Lab Q Model Units 1]:[Lab Q Model Units "&amp;RawMaterials[[#This Row],[Lab Quote Count]]&amp;"]]"))),"")</f>
        <v/>
      </c>
      <c r="AG623" s="412" t="str">
        <f ca="1">IF(RawMaterials[[#This Row],[Lab Quote Count]]&gt;1,INTERCEPT(LOG(INDIRECT("RawMaterials[@[Lab Unit P 1]:[Lab Unit P "&amp;RawMaterials[[#This Row],[Lab Quote Count]]&amp;"]]")),LOG(INDIRECT("RawMaterials[@[Lab Q Model Units 1]:[Lab Q Model Units "&amp;RawMaterials[[#This Row],[Lab Quote Count]]&amp;"]]"))),"")</f>
        <v/>
      </c>
      <c r="AH623" s="413" t="str">
        <f>IF(RawMaterials[[#This Row],[Material Type]]="Metal Precursor","D13",IF(RawMaterials[[#This Row],[Material Type]]="Ligand","D13","D12"))</f>
        <v>D12</v>
      </c>
      <c r="AI623" s="414" t="str">
        <f ca="1">IF(RawMaterials[[#This Row],[Lab Quote Count]]&gt;1,10^RawMaterials[[#This Row],[Lab Log-Log Intercept]]*INDIRECT(RawMaterials[[#This Row],[Basis Cell]])^RawMaterials[[#This Row],[Lab Log-Log Slope]],"&gt;&gt;&gt; Enter 2 or more lab quotes &lt;&lt;&lt;")</f>
        <v>&gt;&gt;&gt; Enter 2 or more lab quotes &lt;&lt;&lt;</v>
      </c>
      <c r="AJ623"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3"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623" s="415">
        <f>IF(ISTEXT(RawMaterials[[#This Row],[Unit price in quote year]]),"Check calcs",RawMaterials[[#This Row],[Unit price in quote year]]/VLOOKUP(RawMaterials[[#This Row],[Quote Year]],ChemPPI[],14,FALSE)*VLOOKUP(BasisYear,ChemPPI[],14,FALSE))</f>
        <v>0.3</v>
      </c>
      <c r="AM623" s="413" t="str">
        <f t="shared" si="10"/>
        <v>$/lb (2016)</v>
      </c>
    </row>
    <row r="624" spans="1:39">
      <c r="A624" s="405" t="s">
        <v>1846</v>
      </c>
      <c r="B624" s="406"/>
      <c r="C624" s="407"/>
      <c r="D624" s="406"/>
      <c r="E624" s="406">
        <v>50</v>
      </c>
      <c r="F624" s="406"/>
      <c r="G624" s="407"/>
      <c r="H624" s="407"/>
      <c r="I624" s="408"/>
      <c r="J624" s="407"/>
      <c r="K624" s="407"/>
      <c r="L624" s="407"/>
      <c r="M624" s="407"/>
      <c r="N624" s="407"/>
      <c r="O624" s="407"/>
      <c r="P624" s="409">
        <v>0.2</v>
      </c>
      <c r="Q624" s="406">
        <v>1</v>
      </c>
      <c r="R624" s="264" t="s">
        <v>20</v>
      </c>
      <c r="S624" s="406">
        <v>2016</v>
      </c>
      <c r="T624" s="266" t="s">
        <v>1851</v>
      </c>
      <c r="U624" s="410"/>
      <c r="V624" s="411"/>
      <c r="W624" s="407">
        <f>COUNT(RawMaterials[[#This Row],[Lab Quantity 1]:[Lab Quantity 4]])</f>
        <v>0</v>
      </c>
      <c r="X624"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4"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4"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4"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4" s="412" t="e">
        <f>RawMaterials[[#This Row],[Lab Price 1]]/RawMaterials[[#This Row],[Lab Q Model Units 1]]</f>
        <v>#N/A</v>
      </c>
      <c r="AC624" s="412" t="e">
        <f>RawMaterials[[#This Row],[Lab Price 2]]/RawMaterials[[#This Row],[Lab Q Model Units 2]]</f>
        <v>#N/A</v>
      </c>
      <c r="AD624" s="412" t="e">
        <f>RawMaterials[[#This Row],[Lab Price 3]]/RawMaterials[[#This Row],[Lab Q Model Units 3]]</f>
        <v>#N/A</v>
      </c>
      <c r="AE624" s="412" t="e">
        <f>RawMaterials[[#This Row],[Lab Price 4]]/RawMaterials[[#This Row],[Lab Q Model Units 4]]</f>
        <v>#N/A</v>
      </c>
      <c r="AF624" s="412" t="str">
        <f ca="1">IF(RawMaterials[[#This Row],[Lab Quote Count]]&gt;1,SLOPE(LOG(INDIRECT("RawMaterials[@[Lab Unit P 1]:[Lab Unit P "&amp;RawMaterials[[#This Row],[Lab Quote Count]]&amp;"]]")),LOG(INDIRECT("RawMaterials[@[Lab Q Model Units 1]:[Lab Q Model Units "&amp;RawMaterials[[#This Row],[Lab Quote Count]]&amp;"]]"))),"")</f>
        <v/>
      </c>
      <c r="AG624" s="412" t="str">
        <f ca="1">IF(RawMaterials[[#This Row],[Lab Quote Count]]&gt;1,INTERCEPT(LOG(INDIRECT("RawMaterials[@[Lab Unit P 1]:[Lab Unit P "&amp;RawMaterials[[#This Row],[Lab Quote Count]]&amp;"]]")),LOG(INDIRECT("RawMaterials[@[Lab Q Model Units 1]:[Lab Q Model Units "&amp;RawMaterials[[#This Row],[Lab Quote Count]]&amp;"]]"))),"")</f>
        <v/>
      </c>
      <c r="AH624" s="413" t="str">
        <f>IF(RawMaterials[[#This Row],[Material Type]]="Metal Precursor","D13",IF(RawMaterials[[#This Row],[Material Type]]="Ligand","D13","D12"))</f>
        <v>D12</v>
      </c>
      <c r="AI624" s="414" t="str">
        <f ca="1">IF(RawMaterials[[#This Row],[Lab Quote Count]]&gt;1,10^RawMaterials[[#This Row],[Lab Log-Log Intercept]]*INDIRECT(RawMaterials[[#This Row],[Basis Cell]])^RawMaterials[[#This Row],[Lab Log-Log Slope]],"&gt;&gt;&gt; Enter 2 or more lab quotes &lt;&lt;&lt;")</f>
        <v>&gt;&gt;&gt; Enter 2 or more lab quotes &lt;&lt;&lt;</v>
      </c>
      <c r="AJ624"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4"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624" s="415">
        <f>IF(ISTEXT(RawMaterials[[#This Row],[Unit price in quote year]]),"Check calcs",RawMaterials[[#This Row],[Unit price in quote year]]/VLOOKUP(RawMaterials[[#This Row],[Quote Year]],ChemPPI[],14,FALSE)*VLOOKUP(BasisYear,ChemPPI[],14,FALSE))</f>
        <v>0.2</v>
      </c>
      <c r="AM624" s="413" t="str">
        <f t="shared" si="10"/>
        <v>$/lb (2016)</v>
      </c>
    </row>
    <row r="625" spans="1:39">
      <c r="A625" s="405" t="s">
        <v>1847</v>
      </c>
      <c r="B625" s="406"/>
      <c r="C625" s="407"/>
      <c r="D625" s="406"/>
      <c r="E625" s="406">
        <v>100</v>
      </c>
      <c r="F625" s="406"/>
      <c r="G625" s="407"/>
      <c r="H625" s="407"/>
      <c r="I625" s="408"/>
      <c r="J625" s="407"/>
      <c r="K625" s="407"/>
      <c r="L625" s="407"/>
      <c r="M625" s="407"/>
      <c r="N625" s="407"/>
      <c r="O625" s="407"/>
      <c r="P625" s="409">
        <v>0.05</v>
      </c>
      <c r="Q625" s="406">
        <v>1</v>
      </c>
      <c r="R625" s="264" t="s">
        <v>20</v>
      </c>
      <c r="S625" s="406">
        <v>2016</v>
      </c>
      <c r="T625" s="266" t="s">
        <v>1851</v>
      </c>
      <c r="U625" s="410"/>
      <c r="V625" s="411"/>
      <c r="W625" s="407">
        <f>COUNT(RawMaterials[[#This Row],[Lab Quantity 1]:[Lab Quantity 4]])</f>
        <v>0</v>
      </c>
      <c r="X625"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5"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5"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5"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5" s="412" t="e">
        <f>RawMaterials[[#This Row],[Lab Price 1]]/RawMaterials[[#This Row],[Lab Q Model Units 1]]</f>
        <v>#N/A</v>
      </c>
      <c r="AC625" s="412" t="e">
        <f>RawMaterials[[#This Row],[Lab Price 2]]/RawMaterials[[#This Row],[Lab Q Model Units 2]]</f>
        <v>#N/A</v>
      </c>
      <c r="AD625" s="412" t="e">
        <f>RawMaterials[[#This Row],[Lab Price 3]]/RawMaterials[[#This Row],[Lab Q Model Units 3]]</f>
        <v>#N/A</v>
      </c>
      <c r="AE625" s="412" t="e">
        <f>RawMaterials[[#This Row],[Lab Price 4]]/RawMaterials[[#This Row],[Lab Q Model Units 4]]</f>
        <v>#N/A</v>
      </c>
      <c r="AF625" s="412" t="str">
        <f ca="1">IF(RawMaterials[[#This Row],[Lab Quote Count]]&gt;1,SLOPE(LOG(INDIRECT("RawMaterials[@[Lab Unit P 1]:[Lab Unit P "&amp;RawMaterials[[#This Row],[Lab Quote Count]]&amp;"]]")),LOG(INDIRECT("RawMaterials[@[Lab Q Model Units 1]:[Lab Q Model Units "&amp;RawMaterials[[#This Row],[Lab Quote Count]]&amp;"]]"))),"")</f>
        <v/>
      </c>
      <c r="AG625" s="412" t="str">
        <f ca="1">IF(RawMaterials[[#This Row],[Lab Quote Count]]&gt;1,INTERCEPT(LOG(INDIRECT("RawMaterials[@[Lab Unit P 1]:[Lab Unit P "&amp;RawMaterials[[#This Row],[Lab Quote Count]]&amp;"]]")),LOG(INDIRECT("RawMaterials[@[Lab Q Model Units 1]:[Lab Q Model Units "&amp;RawMaterials[[#This Row],[Lab Quote Count]]&amp;"]]"))),"")</f>
        <v/>
      </c>
      <c r="AH625" s="413" t="str">
        <f>IF(RawMaterials[[#This Row],[Material Type]]="Metal Precursor","D13",IF(RawMaterials[[#This Row],[Material Type]]="Ligand","D13","D12"))</f>
        <v>D12</v>
      </c>
      <c r="AI625" s="414" t="str">
        <f ca="1">IF(RawMaterials[[#This Row],[Lab Quote Count]]&gt;1,10^RawMaterials[[#This Row],[Lab Log-Log Intercept]]*INDIRECT(RawMaterials[[#This Row],[Basis Cell]])^RawMaterials[[#This Row],[Lab Log-Log Slope]],"&gt;&gt;&gt; Enter 2 or more lab quotes &lt;&lt;&lt;")</f>
        <v>&gt;&gt;&gt; Enter 2 or more lab quotes &lt;&lt;&lt;</v>
      </c>
      <c r="AJ625"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5"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5" s="415">
        <f>IF(ISTEXT(RawMaterials[[#This Row],[Unit price in quote year]]),"Check calcs",RawMaterials[[#This Row],[Unit price in quote year]]/VLOOKUP(RawMaterials[[#This Row],[Quote Year]],ChemPPI[],14,FALSE)*VLOOKUP(BasisYear,ChemPPI[],14,FALSE))</f>
        <v>0.05</v>
      </c>
      <c r="AM625" s="413" t="str">
        <f t="shared" si="10"/>
        <v>$/lb (2016)</v>
      </c>
    </row>
    <row r="626" spans="1:39">
      <c r="A626" s="405" t="s">
        <v>388</v>
      </c>
      <c r="B626" s="406"/>
      <c r="C626" s="407"/>
      <c r="D626" s="406"/>
      <c r="E626" s="406">
        <v>100</v>
      </c>
      <c r="F626" s="406"/>
      <c r="G626" s="407"/>
      <c r="H626" s="407"/>
      <c r="I626" s="408"/>
      <c r="J626" s="407"/>
      <c r="K626" s="407"/>
      <c r="L626" s="407"/>
      <c r="M626" s="407"/>
      <c r="N626" s="407"/>
      <c r="O626" s="407"/>
      <c r="P626" s="409">
        <v>0.05</v>
      </c>
      <c r="Q626" s="406">
        <v>1</v>
      </c>
      <c r="R626" s="264" t="s">
        <v>20</v>
      </c>
      <c r="S626" s="406">
        <v>2016</v>
      </c>
      <c r="T626" s="266" t="s">
        <v>1851</v>
      </c>
      <c r="U626" s="410"/>
      <c r="V626" s="411"/>
      <c r="W626" s="407">
        <f>COUNT(RawMaterials[[#This Row],[Lab Quantity 1]:[Lab Quantity 4]])</f>
        <v>0</v>
      </c>
      <c r="X626"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6"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6"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6"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6" s="412" t="e">
        <f>RawMaterials[[#This Row],[Lab Price 1]]/RawMaterials[[#This Row],[Lab Q Model Units 1]]</f>
        <v>#N/A</v>
      </c>
      <c r="AC626" s="412" t="e">
        <f>RawMaterials[[#This Row],[Lab Price 2]]/RawMaterials[[#This Row],[Lab Q Model Units 2]]</f>
        <v>#N/A</v>
      </c>
      <c r="AD626" s="412" t="e">
        <f>RawMaterials[[#This Row],[Lab Price 3]]/RawMaterials[[#This Row],[Lab Q Model Units 3]]</f>
        <v>#N/A</v>
      </c>
      <c r="AE626" s="412" t="e">
        <f>RawMaterials[[#This Row],[Lab Price 4]]/RawMaterials[[#This Row],[Lab Q Model Units 4]]</f>
        <v>#N/A</v>
      </c>
      <c r="AF626" s="412" t="str">
        <f ca="1">IF(RawMaterials[[#This Row],[Lab Quote Count]]&gt;1,SLOPE(LOG(INDIRECT("RawMaterials[@[Lab Unit P 1]:[Lab Unit P "&amp;RawMaterials[[#This Row],[Lab Quote Count]]&amp;"]]")),LOG(INDIRECT("RawMaterials[@[Lab Q Model Units 1]:[Lab Q Model Units "&amp;RawMaterials[[#This Row],[Lab Quote Count]]&amp;"]]"))),"")</f>
        <v/>
      </c>
      <c r="AG626" s="412" t="str">
        <f ca="1">IF(RawMaterials[[#This Row],[Lab Quote Count]]&gt;1,INTERCEPT(LOG(INDIRECT("RawMaterials[@[Lab Unit P 1]:[Lab Unit P "&amp;RawMaterials[[#This Row],[Lab Quote Count]]&amp;"]]")),LOG(INDIRECT("RawMaterials[@[Lab Q Model Units 1]:[Lab Q Model Units "&amp;RawMaterials[[#This Row],[Lab Quote Count]]&amp;"]]"))),"")</f>
        <v/>
      </c>
      <c r="AH626" s="413" t="str">
        <f>IF(RawMaterials[[#This Row],[Material Type]]="Metal Precursor","D13",IF(RawMaterials[[#This Row],[Material Type]]="Ligand","D13","D12"))</f>
        <v>D12</v>
      </c>
      <c r="AI626" s="414" t="str">
        <f ca="1">IF(RawMaterials[[#This Row],[Lab Quote Count]]&gt;1,10^RawMaterials[[#This Row],[Lab Log-Log Intercept]]*INDIRECT(RawMaterials[[#This Row],[Basis Cell]])^RawMaterials[[#This Row],[Lab Log-Log Slope]],"&gt;&gt;&gt; Enter 2 or more lab quotes &lt;&lt;&lt;")</f>
        <v>&gt;&gt;&gt; Enter 2 or more lab quotes &lt;&lt;&lt;</v>
      </c>
      <c r="AJ626"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6"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6" s="415">
        <f>IF(ISTEXT(RawMaterials[[#This Row],[Unit price in quote year]]),"Check calcs",RawMaterials[[#This Row],[Unit price in quote year]]/VLOOKUP(RawMaterials[[#This Row],[Quote Year]],ChemPPI[],14,FALSE)*VLOOKUP(BasisYear,ChemPPI[],14,FALSE))</f>
        <v>0.05</v>
      </c>
      <c r="AM626" s="413" t="str">
        <f t="shared" si="10"/>
        <v>$/lb (2016)</v>
      </c>
    </row>
    <row r="627" spans="1:39">
      <c r="A627" s="405" t="s">
        <v>1848</v>
      </c>
      <c r="B627" s="406"/>
      <c r="C627" s="407"/>
      <c r="D627" s="406"/>
      <c r="E627" s="406">
        <v>100</v>
      </c>
      <c r="F627" s="406"/>
      <c r="G627" s="407"/>
      <c r="H627" s="407"/>
      <c r="I627" s="408"/>
      <c r="J627" s="407"/>
      <c r="K627" s="407"/>
      <c r="L627" s="407"/>
      <c r="M627" s="407"/>
      <c r="N627" s="407"/>
      <c r="O627" s="407"/>
      <c r="P627" s="409">
        <v>1.5</v>
      </c>
      <c r="Q627" s="406">
        <v>1</v>
      </c>
      <c r="R627" s="264" t="s">
        <v>20</v>
      </c>
      <c r="S627" s="406">
        <v>2016</v>
      </c>
      <c r="T627" s="266" t="s">
        <v>1851</v>
      </c>
      <c r="U627" s="410"/>
      <c r="V627" s="411"/>
      <c r="W627" s="407">
        <f>COUNT(RawMaterials[[#This Row],[Lab Quantity 1]:[Lab Quantity 4]])</f>
        <v>0</v>
      </c>
      <c r="X627"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7"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7"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7"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7" s="412" t="e">
        <f>RawMaterials[[#This Row],[Lab Price 1]]/RawMaterials[[#This Row],[Lab Q Model Units 1]]</f>
        <v>#N/A</v>
      </c>
      <c r="AC627" s="412" t="e">
        <f>RawMaterials[[#This Row],[Lab Price 2]]/RawMaterials[[#This Row],[Lab Q Model Units 2]]</f>
        <v>#N/A</v>
      </c>
      <c r="AD627" s="412" t="e">
        <f>RawMaterials[[#This Row],[Lab Price 3]]/RawMaterials[[#This Row],[Lab Q Model Units 3]]</f>
        <v>#N/A</v>
      </c>
      <c r="AE627" s="412" t="e">
        <f>RawMaterials[[#This Row],[Lab Price 4]]/RawMaterials[[#This Row],[Lab Q Model Units 4]]</f>
        <v>#N/A</v>
      </c>
      <c r="AF627" s="412" t="str">
        <f ca="1">IF(RawMaterials[[#This Row],[Lab Quote Count]]&gt;1,SLOPE(LOG(INDIRECT("RawMaterials[@[Lab Unit P 1]:[Lab Unit P "&amp;RawMaterials[[#This Row],[Lab Quote Count]]&amp;"]]")),LOG(INDIRECT("RawMaterials[@[Lab Q Model Units 1]:[Lab Q Model Units "&amp;RawMaterials[[#This Row],[Lab Quote Count]]&amp;"]]"))),"")</f>
        <v/>
      </c>
      <c r="AG627" s="412" t="str">
        <f ca="1">IF(RawMaterials[[#This Row],[Lab Quote Count]]&gt;1,INTERCEPT(LOG(INDIRECT("RawMaterials[@[Lab Unit P 1]:[Lab Unit P "&amp;RawMaterials[[#This Row],[Lab Quote Count]]&amp;"]]")),LOG(INDIRECT("RawMaterials[@[Lab Q Model Units 1]:[Lab Q Model Units "&amp;RawMaterials[[#This Row],[Lab Quote Count]]&amp;"]]"))),"")</f>
        <v/>
      </c>
      <c r="AH627" s="413" t="str">
        <f>IF(RawMaterials[[#This Row],[Material Type]]="Metal Precursor","D13",IF(RawMaterials[[#This Row],[Material Type]]="Ligand","D13","D12"))</f>
        <v>D12</v>
      </c>
      <c r="AI627" s="414" t="str">
        <f ca="1">IF(RawMaterials[[#This Row],[Lab Quote Count]]&gt;1,10^RawMaterials[[#This Row],[Lab Log-Log Intercept]]*INDIRECT(RawMaterials[[#This Row],[Basis Cell]])^RawMaterials[[#This Row],[Lab Log-Log Slope]],"&gt;&gt;&gt; Enter 2 or more lab quotes &lt;&lt;&lt;")</f>
        <v>&gt;&gt;&gt; Enter 2 or more lab quotes &lt;&lt;&lt;</v>
      </c>
      <c r="AJ627"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7"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627" s="415">
        <f>IF(ISTEXT(RawMaterials[[#This Row],[Unit price in quote year]]),"Check calcs",RawMaterials[[#This Row],[Unit price in quote year]]/VLOOKUP(RawMaterials[[#This Row],[Quote Year]],ChemPPI[],14,FALSE)*VLOOKUP(BasisYear,ChemPPI[],14,FALSE))</f>
        <v>1.5</v>
      </c>
      <c r="AM627" s="413" t="str">
        <f t="shared" si="10"/>
        <v>$/lb (2016)</v>
      </c>
    </row>
    <row r="628" spans="1:39">
      <c r="A628" s="405" t="s">
        <v>1849</v>
      </c>
      <c r="B628" s="406"/>
      <c r="C628" s="407"/>
      <c r="D628" s="406"/>
      <c r="E628" s="406">
        <v>31</v>
      </c>
      <c r="F628" s="406"/>
      <c r="G628" s="407"/>
      <c r="H628" s="407"/>
      <c r="I628" s="408"/>
      <c r="J628" s="407"/>
      <c r="K628" s="407"/>
      <c r="L628" s="407"/>
      <c r="M628" s="407"/>
      <c r="N628" s="407"/>
      <c r="O628" s="407"/>
      <c r="P628" s="409">
        <v>7.0000000000000007E-2</v>
      </c>
      <c r="Q628" s="406">
        <v>1</v>
      </c>
      <c r="R628" s="264" t="s">
        <v>20</v>
      </c>
      <c r="S628" s="406">
        <v>2016</v>
      </c>
      <c r="T628" s="266" t="s">
        <v>1851</v>
      </c>
      <c r="U628" s="410"/>
      <c r="V628" s="411"/>
      <c r="W628" s="407">
        <f>COUNT(RawMaterials[[#This Row],[Lab Quantity 1]:[Lab Quantity 4]])</f>
        <v>0</v>
      </c>
      <c r="X628"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8"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8"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8"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8" s="412" t="e">
        <f>RawMaterials[[#This Row],[Lab Price 1]]/RawMaterials[[#This Row],[Lab Q Model Units 1]]</f>
        <v>#N/A</v>
      </c>
      <c r="AC628" s="412" t="e">
        <f>RawMaterials[[#This Row],[Lab Price 2]]/RawMaterials[[#This Row],[Lab Q Model Units 2]]</f>
        <v>#N/A</v>
      </c>
      <c r="AD628" s="412" t="e">
        <f>RawMaterials[[#This Row],[Lab Price 3]]/RawMaterials[[#This Row],[Lab Q Model Units 3]]</f>
        <v>#N/A</v>
      </c>
      <c r="AE628" s="412" t="e">
        <f>RawMaterials[[#This Row],[Lab Price 4]]/RawMaterials[[#This Row],[Lab Q Model Units 4]]</f>
        <v>#N/A</v>
      </c>
      <c r="AF628" s="412" t="str">
        <f ca="1">IF(RawMaterials[[#This Row],[Lab Quote Count]]&gt;1,SLOPE(LOG(INDIRECT("RawMaterials[@[Lab Unit P 1]:[Lab Unit P "&amp;RawMaterials[[#This Row],[Lab Quote Count]]&amp;"]]")),LOG(INDIRECT("RawMaterials[@[Lab Q Model Units 1]:[Lab Q Model Units "&amp;RawMaterials[[#This Row],[Lab Quote Count]]&amp;"]]"))),"")</f>
        <v/>
      </c>
      <c r="AG628" s="412" t="str">
        <f ca="1">IF(RawMaterials[[#This Row],[Lab Quote Count]]&gt;1,INTERCEPT(LOG(INDIRECT("RawMaterials[@[Lab Unit P 1]:[Lab Unit P "&amp;RawMaterials[[#This Row],[Lab Quote Count]]&amp;"]]")),LOG(INDIRECT("RawMaterials[@[Lab Q Model Units 1]:[Lab Q Model Units "&amp;RawMaterials[[#This Row],[Lab Quote Count]]&amp;"]]"))),"")</f>
        <v/>
      </c>
      <c r="AH628" s="413" t="str">
        <f>IF(RawMaterials[[#This Row],[Material Type]]="Metal Precursor","D13",IF(RawMaterials[[#This Row],[Material Type]]="Ligand","D13","D12"))</f>
        <v>D12</v>
      </c>
      <c r="AI628" s="414" t="str">
        <f ca="1">IF(RawMaterials[[#This Row],[Lab Quote Count]]&gt;1,10^RawMaterials[[#This Row],[Lab Log-Log Intercept]]*INDIRECT(RawMaterials[[#This Row],[Basis Cell]])^RawMaterials[[#This Row],[Lab Log-Log Slope]],"&gt;&gt;&gt; Enter 2 or more lab quotes &lt;&lt;&lt;")</f>
        <v>&gt;&gt;&gt; Enter 2 or more lab quotes &lt;&lt;&lt;</v>
      </c>
      <c r="AJ628"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8"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7.0000000000000007E-2</v>
      </c>
      <c r="AL628" s="415">
        <f>IF(ISTEXT(RawMaterials[[#This Row],[Unit price in quote year]]),"Check calcs",RawMaterials[[#This Row],[Unit price in quote year]]/VLOOKUP(RawMaterials[[#This Row],[Quote Year]],ChemPPI[],14,FALSE)*VLOOKUP(BasisYear,ChemPPI[],14,FALSE))</f>
        <v>7.0000000000000007E-2</v>
      </c>
      <c r="AM628" s="413" t="str">
        <f t="shared" si="10"/>
        <v>$/lb (2016)</v>
      </c>
    </row>
    <row r="629" spans="1:39">
      <c r="A629" s="405" t="s">
        <v>1850</v>
      </c>
      <c r="B629" s="406"/>
      <c r="C629" s="407"/>
      <c r="D629" s="406"/>
      <c r="E629" s="406">
        <v>28</v>
      </c>
      <c r="F629" s="406"/>
      <c r="G629" s="407"/>
      <c r="H629" s="407"/>
      <c r="I629" s="408"/>
      <c r="J629" s="407"/>
      <c r="K629" s="407"/>
      <c r="L629" s="407"/>
      <c r="M629" s="407"/>
      <c r="N629" s="407"/>
      <c r="O629" s="407"/>
      <c r="P629" s="409">
        <v>0.1</v>
      </c>
      <c r="Q629" s="406">
        <v>1</v>
      </c>
      <c r="R629" s="264" t="s">
        <v>20</v>
      </c>
      <c r="S629" s="406">
        <v>2016</v>
      </c>
      <c r="T629" s="266" t="s">
        <v>1851</v>
      </c>
      <c r="U629" s="410"/>
      <c r="V629" s="411"/>
      <c r="W629" s="407">
        <f>COUNT(RawMaterials[[#This Row],[Lab Quantity 1]:[Lab Quantity 4]])</f>
        <v>0</v>
      </c>
      <c r="X629"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9"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9"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9"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9" s="412" t="e">
        <f>RawMaterials[[#This Row],[Lab Price 1]]/RawMaterials[[#This Row],[Lab Q Model Units 1]]</f>
        <v>#N/A</v>
      </c>
      <c r="AC629" s="412" t="e">
        <f>RawMaterials[[#This Row],[Lab Price 2]]/RawMaterials[[#This Row],[Lab Q Model Units 2]]</f>
        <v>#N/A</v>
      </c>
      <c r="AD629" s="412" t="e">
        <f>RawMaterials[[#This Row],[Lab Price 3]]/RawMaterials[[#This Row],[Lab Q Model Units 3]]</f>
        <v>#N/A</v>
      </c>
      <c r="AE629" s="412" t="e">
        <f>RawMaterials[[#This Row],[Lab Price 4]]/RawMaterials[[#This Row],[Lab Q Model Units 4]]</f>
        <v>#N/A</v>
      </c>
      <c r="AF629" s="412" t="str">
        <f ca="1">IF(RawMaterials[[#This Row],[Lab Quote Count]]&gt;1,SLOPE(LOG(INDIRECT("RawMaterials[@[Lab Unit P 1]:[Lab Unit P "&amp;RawMaterials[[#This Row],[Lab Quote Count]]&amp;"]]")),LOG(INDIRECT("RawMaterials[@[Lab Q Model Units 1]:[Lab Q Model Units "&amp;RawMaterials[[#This Row],[Lab Quote Count]]&amp;"]]"))),"")</f>
        <v/>
      </c>
      <c r="AG629" s="412" t="str">
        <f ca="1">IF(RawMaterials[[#This Row],[Lab Quote Count]]&gt;1,INTERCEPT(LOG(INDIRECT("RawMaterials[@[Lab Unit P 1]:[Lab Unit P "&amp;RawMaterials[[#This Row],[Lab Quote Count]]&amp;"]]")),LOG(INDIRECT("RawMaterials[@[Lab Q Model Units 1]:[Lab Q Model Units "&amp;RawMaterials[[#This Row],[Lab Quote Count]]&amp;"]]"))),"")</f>
        <v/>
      </c>
      <c r="AH629" s="413" t="str">
        <f>IF(RawMaterials[[#This Row],[Material Type]]="Metal Precursor","D13",IF(RawMaterials[[#This Row],[Material Type]]="Ligand","D13","D12"))</f>
        <v>D12</v>
      </c>
      <c r="AI629" s="414" t="str">
        <f ca="1">IF(RawMaterials[[#This Row],[Lab Quote Count]]&gt;1,10^RawMaterials[[#This Row],[Lab Log-Log Intercept]]*INDIRECT(RawMaterials[[#This Row],[Basis Cell]])^RawMaterials[[#This Row],[Lab Log-Log Slope]],"&gt;&gt;&gt; Enter 2 or more lab quotes &lt;&lt;&lt;")</f>
        <v>&gt;&gt;&gt; Enter 2 or more lab quotes &lt;&lt;&lt;</v>
      </c>
      <c r="AJ629"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9"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629" s="415">
        <f>IF(ISTEXT(RawMaterials[[#This Row],[Unit price in quote year]]),"Check calcs",RawMaterials[[#This Row],[Unit price in quote year]]/VLOOKUP(RawMaterials[[#This Row],[Quote Year]],ChemPPI[],14,FALSE)*VLOOKUP(BasisYear,ChemPPI[],14,FALSE))</f>
        <v>0.1</v>
      </c>
      <c r="AM629" s="413" t="str">
        <f t="shared" si="10"/>
        <v>$/lb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9 R16:R629" xr:uid="{229B424A-9EAD-9140-ABA0-B581106C136A}">
      <formula1>Units</formula1>
    </dataValidation>
    <dataValidation type="list" allowBlank="1" showInputMessage="1" showErrorMessage="1" sqref="F16:F629"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defaultColWidth="11" defaultRowHeight="15.75"/>
  <cols>
    <col min="1" max="1" width="32.625" customWidth="1"/>
    <col min="2" max="2" width="17.875" customWidth="1"/>
    <col min="3" max="3" width="21" customWidth="1"/>
    <col min="4" max="4" width="19.625" customWidth="1"/>
    <col min="5" max="5" width="45" bestFit="1" customWidth="1"/>
  </cols>
  <sheetData>
    <row r="2" spans="1:5" s="242" customFormat="1">
      <c r="A2" s="183" t="s">
        <v>938</v>
      </c>
    </row>
    <row r="3" spans="1:5" s="243" customFormat="1">
      <c r="A3" s="183"/>
    </row>
    <row r="4" spans="1:5">
      <c r="A4" t="s">
        <v>937</v>
      </c>
      <c r="B4" t="s">
        <v>934</v>
      </c>
      <c r="C4" t="s">
        <v>935</v>
      </c>
      <c r="D4" t="s">
        <v>936</v>
      </c>
      <c r="E4" t="s">
        <v>207</v>
      </c>
    </row>
    <row r="5" spans="1:5">
      <c r="A5" t="s">
        <v>941</v>
      </c>
      <c r="B5">
        <v>100</v>
      </c>
      <c r="C5">
        <v>150</v>
      </c>
      <c r="E5" t="s">
        <v>1077</v>
      </c>
    </row>
    <row r="6" spans="1:5">
      <c r="A6" t="s">
        <v>924</v>
      </c>
      <c r="B6">
        <v>100</v>
      </c>
      <c r="C6">
        <v>200</v>
      </c>
      <c r="D6">
        <v>300</v>
      </c>
      <c r="E6" t="s">
        <v>58</v>
      </c>
    </row>
    <row r="7" spans="1:5">
      <c r="A7" t="s">
        <v>930</v>
      </c>
      <c r="B7">
        <v>50</v>
      </c>
      <c r="E7" t="s">
        <v>1078</v>
      </c>
    </row>
    <row r="8" spans="1:5">
      <c r="A8" t="s">
        <v>1076</v>
      </c>
      <c r="B8">
        <v>75</v>
      </c>
      <c r="C8">
        <v>100</v>
      </c>
      <c r="D8">
        <v>200</v>
      </c>
      <c r="E8" t="s">
        <v>58</v>
      </c>
    </row>
    <row r="9" spans="1:5">
      <c r="A9" t="s">
        <v>1075</v>
      </c>
      <c r="B9">
        <v>100</v>
      </c>
      <c r="C9">
        <v>150</v>
      </c>
      <c r="D9">
        <v>300</v>
      </c>
      <c r="E9" t="s">
        <v>949</v>
      </c>
    </row>
    <row r="10" spans="1:5">
      <c r="A10" t="s">
        <v>933</v>
      </c>
      <c r="C10">
        <v>300</v>
      </c>
      <c r="D10">
        <v>550</v>
      </c>
      <c r="E10" t="s">
        <v>952</v>
      </c>
    </row>
    <row r="11" spans="1:5">
      <c r="A11" t="s">
        <v>944</v>
      </c>
      <c r="B11">
        <v>100</v>
      </c>
      <c r="C11">
        <v>200</v>
      </c>
      <c r="D11">
        <v>425</v>
      </c>
      <c r="E11" t="s">
        <v>945</v>
      </c>
    </row>
    <row r="12" spans="1:5">
      <c r="A12" t="s">
        <v>927</v>
      </c>
      <c r="B12">
        <v>125</v>
      </c>
      <c r="C12">
        <v>175</v>
      </c>
      <c r="D12">
        <v>400</v>
      </c>
      <c r="E12" t="s">
        <v>58</v>
      </c>
    </row>
    <row r="13" spans="1:5">
      <c r="A13" t="s">
        <v>928</v>
      </c>
      <c r="B13">
        <v>75</v>
      </c>
      <c r="E13" t="s">
        <v>951</v>
      </c>
    </row>
    <row r="14" spans="1:5">
      <c r="A14" t="s">
        <v>926</v>
      </c>
      <c r="C14">
        <v>100</v>
      </c>
      <c r="D14">
        <v>300</v>
      </c>
      <c r="E14" t="s">
        <v>950</v>
      </c>
    </row>
    <row r="15" spans="1:5">
      <c r="A15" t="s">
        <v>925</v>
      </c>
      <c r="B15">
        <v>50</v>
      </c>
      <c r="C15">
        <v>75</v>
      </c>
      <c r="D15">
        <v>150</v>
      </c>
      <c r="E15" t="s">
        <v>58</v>
      </c>
    </row>
    <row r="16" spans="1:5">
      <c r="A16" t="s">
        <v>923</v>
      </c>
      <c r="B16">
        <v>75</v>
      </c>
      <c r="C16">
        <v>100</v>
      </c>
      <c r="D16">
        <v>200</v>
      </c>
      <c r="E16" t="s">
        <v>58</v>
      </c>
    </row>
    <row r="17" spans="1:5">
      <c r="A17" t="s">
        <v>948</v>
      </c>
      <c r="B17">
        <v>75</v>
      </c>
      <c r="E17" t="s">
        <v>959</v>
      </c>
    </row>
    <row r="18" spans="1:5">
      <c r="A18" t="s">
        <v>947</v>
      </c>
      <c r="C18">
        <v>225</v>
      </c>
      <c r="D18">
        <v>400</v>
      </c>
      <c r="E18" s="243" t="s">
        <v>960</v>
      </c>
    </row>
    <row r="19" spans="1:5">
      <c r="A19" t="s">
        <v>946</v>
      </c>
      <c r="C19">
        <v>175</v>
      </c>
      <c r="D19">
        <v>325</v>
      </c>
      <c r="E19" s="244" t="s">
        <v>960</v>
      </c>
    </row>
    <row r="20" spans="1:5">
      <c r="A20" t="s">
        <v>929</v>
      </c>
      <c r="B20">
        <v>50</v>
      </c>
      <c r="C20">
        <v>100</v>
      </c>
      <c r="D20">
        <v>200</v>
      </c>
      <c r="E20" t="s">
        <v>58</v>
      </c>
    </row>
    <row r="21" spans="1:5">
      <c r="A21" t="s">
        <v>940</v>
      </c>
      <c r="B21">
        <v>50</v>
      </c>
      <c r="C21">
        <v>100</v>
      </c>
      <c r="D21">
        <v>200</v>
      </c>
      <c r="E21" t="s">
        <v>58</v>
      </c>
    </row>
    <row r="22" spans="1:5">
      <c r="A22" t="s">
        <v>943</v>
      </c>
      <c r="B22">
        <v>75</v>
      </c>
      <c r="C22">
        <v>100</v>
      </c>
      <c r="D22">
        <v>200</v>
      </c>
      <c r="E22" t="s">
        <v>942</v>
      </c>
    </row>
    <row r="23" spans="1:5">
      <c r="A23" t="s">
        <v>931</v>
      </c>
      <c r="B23">
        <v>30</v>
      </c>
      <c r="C23">
        <v>60</v>
      </c>
      <c r="D23">
        <v>200</v>
      </c>
      <c r="E23" t="s">
        <v>58</v>
      </c>
    </row>
    <row r="24" spans="1:5">
      <c r="A24" t="s">
        <v>932</v>
      </c>
      <c r="B24">
        <v>100</v>
      </c>
      <c r="C24">
        <v>175</v>
      </c>
      <c r="D24">
        <v>600</v>
      </c>
      <c r="E24" t="s">
        <v>58</v>
      </c>
    </row>
    <row r="25" spans="1:5">
      <c r="A25" t="s">
        <v>939</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9"/>
  <sheetViews>
    <sheetView workbookViewId="0">
      <pane ySplit="1" topLeftCell="A2" activePane="bottomLeft" state="frozenSplit"/>
      <selection pane="bottomLeft"/>
    </sheetView>
  </sheetViews>
  <sheetFormatPr defaultColWidth="11" defaultRowHeight="15.75"/>
  <cols>
    <col min="1" max="1" width="33.5" bestFit="1" customWidth="1"/>
    <col min="2" max="2" width="49.5" bestFit="1" customWidth="1"/>
    <col min="3" max="3" width="41.375" customWidth="1"/>
    <col min="4" max="4" width="11.125" customWidth="1"/>
    <col min="5" max="5" width="11.625" customWidth="1"/>
    <col min="6" max="8" width="11" customWidth="1"/>
    <col min="9" max="10" width="11" style="207" customWidth="1"/>
    <col min="11" max="11" width="12.625" style="26" customWidth="1"/>
    <col min="12" max="12" width="11.625" style="26" customWidth="1"/>
    <col min="13" max="14" width="11" style="26" customWidth="1"/>
    <col min="15" max="15" width="11" customWidth="1"/>
    <col min="16" max="16" width="18.625" customWidth="1"/>
    <col min="17" max="17" width="11" style="29" customWidth="1"/>
    <col min="18" max="25" width="11" style="30" customWidth="1"/>
    <col min="26" max="26" width="11" style="208" customWidth="1"/>
    <col min="27" max="35" width="11" style="30" customWidth="1"/>
    <col min="36" max="36" width="11" style="208" customWidth="1"/>
    <col min="37" max="37" width="19.625" style="29" bestFit="1" customWidth="1"/>
    <col min="38" max="38" width="23.5" style="30" customWidth="1"/>
    <col min="39" max="39" width="11.5" style="30" customWidth="1"/>
    <col min="40" max="42" width="11" customWidth="1"/>
    <col min="44" max="44" width="11" style="217"/>
  </cols>
  <sheetData>
    <row r="1" spans="1:44" s="182" customFormat="1">
      <c r="A1" s="182" t="s">
        <v>778</v>
      </c>
      <c r="B1" s="182" t="s">
        <v>290</v>
      </c>
      <c r="C1" s="182" t="s">
        <v>219</v>
      </c>
      <c r="D1" s="182" t="s">
        <v>220</v>
      </c>
      <c r="E1" s="182" t="s">
        <v>221</v>
      </c>
      <c r="F1" s="182" t="s">
        <v>222</v>
      </c>
      <c r="G1" s="182" t="s">
        <v>223</v>
      </c>
      <c r="H1" s="182" t="s">
        <v>444</v>
      </c>
      <c r="I1" s="182" t="s">
        <v>606</v>
      </c>
      <c r="J1" s="182" t="s">
        <v>607</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711</v>
      </c>
      <c r="AA1" s="182" t="s">
        <v>330</v>
      </c>
      <c r="AB1" s="182" t="s">
        <v>331</v>
      </c>
      <c r="AC1" s="182" t="s">
        <v>332</v>
      </c>
      <c r="AD1" s="182" t="s">
        <v>333</v>
      </c>
      <c r="AE1" s="182" t="s">
        <v>334</v>
      </c>
      <c r="AF1" s="182" t="s">
        <v>335</v>
      </c>
      <c r="AG1" s="182" t="s">
        <v>336</v>
      </c>
      <c r="AH1" s="182" t="s">
        <v>348</v>
      </c>
      <c r="AI1" s="182" t="s">
        <v>349</v>
      </c>
      <c r="AJ1" s="182" t="s">
        <v>712</v>
      </c>
      <c r="AK1" s="182" t="s">
        <v>818</v>
      </c>
      <c r="AL1" s="182" t="s">
        <v>357</v>
      </c>
      <c r="AM1" s="182" t="s">
        <v>311</v>
      </c>
      <c r="AN1" s="182" t="s">
        <v>207</v>
      </c>
    </row>
    <row r="3" spans="1:44">
      <c r="B3" t="s">
        <v>445</v>
      </c>
      <c r="G3" s="9"/>
    </row>
    <row r="4" spans="1:44">
      <c r="A4" s="200" t="s">
        <v>445</v>
      </c>
      <c r="B4" t="s">
        <v>751</v>
      </c>
      <c r="C4" t="s">
        <v>446</v>
      </c>
      <c r="D4" s="200">
        <v>1</v>
      </c>
      <c r="E4" s="200">
        <v>8</v>
      </c>
      <c r="F4">
        <v>0</v>
      </c>
      <c r="G4">
        <v>2610</v>
      </c>
      <c r="H4">
        <v>0.34</v>
      </c>
      <c r="K4" s="200" t="s">
        <v>297</v>
      </c>
      <c r="L4" s="200" t="s">
        <v>442</v>
      </c>
      <c r="M4" s="31">
        <v>567</v>
      </c>
      <c r="N4" s="31"/>
      <c r="O4" s="31">
        <v>2013</v>
      </c>
      <c r="Q4" s="208" t="s">
        <v>337</v>
      </c>
      <c r="R4" s="208" t="s">
        <v>180</v>
      </c>
      <c r="S4" s="208" t="s">
        <v>353</v>
      </c>
      <c r="T4" s="208" t="s">
        <v>179</v>
      </c>
      <c r="U4" s="208" t="s">
        <v>344</v>
      </c>
      <c r="V4" s="208" t="s">
        <v>713</v>
      </c>
      <c r="W4" s="208" t="s">
        <v>356</v>
      </c>
      <c r="X4" s="208"/>
      <c r="Y4" s="208"/>
      <c r="AA4" s="208">
        <v>1</v>
      </c>
      <c r="AB4" s="208">
        <v>1.2</v>
      </c>
      <c r="AC4" s="208">
        <v>2</v>
      </c>
      <c r="AD4" s="208">
        <v>2.5</v>
      </c>
      <c r="AE4" s="208">
        <v>2.7</v>
      </c>
      <c r="AF4" s="208">
        <v>3</v>
      </c>
      <c r="AG4" s="208">
        <v>6</v>
      </c>
      <c r="AK4" s="29" t="s">
        <v>162</v>
      </c>
      <c r="AL4" s="30">
        <v>1.22</v>
      </c>
      <c r="AM4" s="30">
        <v>0</v>
      </c>
      <c r="AN4" t="s">
        <v>447</v>
      </c>
    </row>
    <row r="5" spans="1:44">
      <c r="A5" s="200" t="s">
        <v>445</v>
      </c>
      <c r="B5" t="s">
        <v>752</v>
      </c>
      <c r="C5" s="200" t="s">
        <v>446</v>
      </c>
      <c r="D5" s="200">
        <v>1</v>
      </c>
      <c r="E5" s="200">
        <v>8</v>
      </c>
      <c r="F5">
        <v>0</v>
      </c>
      <c r="G5">
        <v>3740</v>
      </c>
      <c r="H5">
        <v>0.17</v>
      </c>
      <c r="K5" s="200" t="s">
        <v>297</v>
      </c>
      <c r="L5" s="200" t="s">
        <v>442</v>
      </c>
      <c r="M5" s="31">
        <v>567</v>
      </c>
      <c r="N5" s="31"/>
      <c r="O5" s="31">
        <v>2013</v>
      </c>
      <c r="Q5" s="208" t="s">
        <v>337</v>
      </c>
      <c r="R5" s="208" t="s">
        <v>180</v>
      </c>
      <c r="S5" s="208" t="s">
        <v>353</v>
      </c>
      <c r="T5" s="208" t="s">
        <v>179</v>
      </c>
      <c r="U5" s="208" t="s">
        <v>344</v>
      </c>
      <c r="V5" s="208" t="s">
        <v>713</v>
      </c>
      <c r="W5" s="208" t="s">
        <v>356</v>
      </c>
      <c r="X5" s="208"/>
      <c r="Y5" s="208"/>
      <c r="AA5" s="208">
        <v>1</v>
      </c>
      <c r="AB5" s="208">
        <v>1.2</v>
      </c>
      <c r="AC5" s="208">
        <v>2</v>
      </c>
      <c r="AD5" s="208">
        <v>2.5</v>
      </c>
      <c r="AE5" s="208">
        <v>2.7</v>
      </c>
      <c r="AF5" s="208">
        <v>3</v>
      </c>
      <c r="AG5" s="208">
        <v>6</v>
      </c>
      <c r="AK5" s="29" t="s">
        <v>162</v>
      </c>
      <c r="AL5" s="30">
        <v>1.22</v>
      </c>
      <c r="AM5" s="30">
        <v>0</v>
      </c>
      <c r="AN5" s="200" t="s">
        <v>448</v>
      </c>
    </row>
    <row r="6" spans="1:44">
      <c r="A6" s="200" t="s">
        <v>445</v>
      </c>
      <c r="B6" t="s">
        <v>753</v>
      </c>
      <c r="C6" s="200" t="s">
        <v>446</v>
      </c>
      <c r="D6" s="200">
        <v>2</v>
      </c>
      <c r="E6" s="200">
        <v>60</v>
      </c>
      <c r="F6">
        <v>0</v>
      </c>
      <c r="G6">
        <v>3730</v>
      </c>
      <c r="H6">
        <v>0.54</v>
      </c>
      <c r="K6" s="200" t="s">
        <v>297</v>
      </c>
      <c r="L6" s="200" t="s">
        <v>442</v>
      </c>
      <c r="M6" s="31">
        <v>567</v>
      </c>
      <c r="N6" s="31"/>
      <c r="O6" s="31">
        <v>2013</v>
      </c>
      <c r="Q6" s="208" t="s">
        <v>337</v>
      </c>
      <c r="R6" s="208" t="s">
        <v>180</v>
      </c>
      <c r="S6" s="208" t="s">
        <v>353</v>
      </c>
      <c r="T6" s="208" t="s">
        <v>179</v>
      </c>
      <c r="U6" s="208" t="s">
        <v>344</v>
      </c>
      <c r="V6" s="208" t="s">
        <v>713</v>
      </c>
      <c r="W6" s="208" t="s">
        <v>356</v>
      </c>
      <c r="X6" s="208"/>
      <c r="Y6" s="208"/>
      <c r="AA6" s="208">
        <v>1</v>
      </c>
      <c r="AB6" s="208">
        <v>1.2</v>
      </c>
      <c r="AC6" s="208">
        <v>2</v>
      </c>
      <c r="AD6" s="208">
        <v>2.5</v>
      </c>
      <c r="AE6" s="208">
        <v>2.7</v>
      </c>
      <c r="AF6" s="208">
        <v>3</v>
      </c>
      <c r="AG6" s="208">
        <v>6</v>
      </c>
      <c r="AK6" s="29" t="s">
        <v>162</v>
      </c>
      <c r="AL6" s="30">
        <v>1.32</v>
      </c>
      <c r="AM6" s="30">
        <v>0</v>
      </c>
      <c r="AN6" t="s">
        <v>449</v>
      </c>
    </row>
    <row r="7" spans="1:44">
      <c r="A7" s="200" t="s">
        <v>445</v>
      </c>
      <c r="B7" t="s">
        <v>754</v>
      </c>
      <c r="C7" s="200" t="s">
        <v>446</v>
      </c>
      <c r="D7" s="200">
        <v>2</v>
      </c>
      <c r="E7" s="200">
        <v>60</v>
      </c>
      <c r="F7">
        <v>0</v>
      </c>
      <c r="G7">
        <v>4105</v>
      </c>
      <c r="H7">
        <v>0.56999999999999995</v>
      </c>
      <c r="K7" s="200" t="s">
        <v>297</v>
      </c>
      <c r="L7" s="200" t="s">
        <v>442</v>
      </c>
      <c r="M7" s="31">
        <v>567</v>
      </c>
      <c r="N7" s="31"/>
      <c r="O7" s="31">
        <v>2013</v>
      </c>
      <c r="Q7" s="208" t="s">
        <v>337</v>
      </c>
      <c r="R7" s="208" t="s">
        <v>180</v>
      </c>
      <c r="S7" s="208" t="s">
        <v>353</v>
      </c>
      <c r="T7" s="208" t="s">
        <v>179</v>
      </c>
      <c r="U7" s="208" t="s">
        <v>344</v>
      </c>
      <c r="V7" s="208" t="s">
        <v>713</v>
      </c>
      <c r="W7" s="208" t="s">
        <v>356</v>
      </c>
      <c r="X7" s="208"/>
      <c r="Y7" s="208"/>
      <c r="AA7" s="208">
        <v>1</v>
      </c>
      <c r="AB7" s="208">
        <v>1.2</v>
      </c>
      <c r="AC7" s="208">
        <v>2</v>
      </c>
      <c r="AD7" s="208">
        <v>2.5</v>
      </c>
      <c r="AE7" s="208">
        <v>2.7</v>
      </c>
      <c r="AF7" s="208">
        <v>3</v>
      </c>
      <c r="AG7" s="208">
        <v>6</v>
      </c>
      <c r="AK7" s="29" t="s">
        <v>162</v>
      </c>
      <c r="AL7" s="30">
        <v>1.32</v>
      </c>
      <c r="AM7" s="30">
        <v>0</v>
      </c>
      <c r="AN7" s="200" t="s">
        <v>450</v>
      </c>
    </row>
    <row r="9" spans="1:44">
      <c r="B9" t="s">
        <v>773</v>
      </c>
    </row>
    <row r="10" spans="1:44">
      <c r="A10" s="295" t="s">
        <v>773</v>
      </c>
      <c r="B10" t="s">
        <v>451</v>
      </c>
      <c r="C10" t="s">
        <v>454</v>
      </c>
      <c r="D10">
        <v>30</v>
      </c>
      <c r="E10">
        <v>8000</v>
      </c>
      <c r="F10">
        <v>0</v>
      </c>
      <c r="G10">
        <v>1185</v>
      </c>
      <c r="H10">
        <v>0.52</v>
      </c>
      <c r="K10" s="200" t="s">
        <v>297</v>
      </c>
      <c r="L10" s="200" t="s">
        <v>442</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455</v>
      </c>
    </row>
    <row r="11" spans="1:44">
      <c r="A11" s="295" t="s">
        <v>773</v>
      </c>
      <c r="B11" t="s">
        <v>452</v>
      </c>
      <c r="C11" t="s">
        <v>454</v>
      </c>
      <c r="D11">
        <v>30</v>
      </c>
      <c r="E11">
        <v>2000</v>
      </c>
      <c r="F11">
        <v>0</v>
      </c>
      <c r="G11">
        <v>2245</v>
      </c>
      <c r="H11">
        <v>0.57999999999999996</v>
      </c>
      <c r="K11" s="200" t="s">
        <v>297</v>
      </c>
      <c r="L11" s="200" t="s">
        <v>442</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455</v>
      </c>
    </row>
    <row r="12" spans="1:44">
      <c r="A12" s="295" t="s">
        <v>773</v>
      </c>
      <c r="B12" t="s">
        <v>453</v>
      </c>
      <c r="C12" s="200" t="s">
        <v>454</v>
      </c>
      <c r="D12">
        <v>30</v>
      </c>
      <c r="E12">
        <v>4000</v>
      </c>
      <c r="F12">
        <v>0</v>
      </c>
      <c r="G12">
        <v>2085</v>
      </c>
      <c r="H12">
        <v>0.54</v>
      </c>
      <c r="K12" s="200" t="s">
        <v>297</v>
      </c>
      <c r="L12" s="200" t="s">
        <v>442</v>
      </c>
      <c r="M12" s="31">
        <v>567</v>
      </c>
      <c r="N12" s="31"/>
      <c r="O12" s="31">
        <v>2013</v>
      </c>
      <c r="Q12" s="208" t="s">
        <v>755</v>
      </c>
      <c r="R12" s="208"/>
      <c r="S12" s="208"/>
      <c r="T12" s="208"/>
      <c r="U12" s="208"/>
      <c r="V12" s="208"/>
      <c r="W12" s="208"/>
      <c r="X12" s="208"/>
      <c r="Y12" s="208"/>
      <c r="AA12" s="208">
        <v>1</v>
      </c>
      <c r="AB12" s="208"/>
      <c r="AC12" s="208"/>
      <c r="AD12" s="208"/>
      <c r="AE12" s="208"/>
      <c r="AF12" s="208"/>
      <c r="AG12" s="208"/>
      <c r="AK12" s="29" t="s">
        <v>162</v>
      </c>
      <c r="AL12" s="215">
        <v>1.7</v>
      </c>
      <c r="AM12" s="30">
        <v>0.3</v>
      </c>
      <c r="AN12" s="200" t="s">
        <v>455</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794</v>
      </c>
      <c r="C15" s="203" t="s">
        <v>488</v>
      </c>
      <c r="D15" s="205">
        <v>500000</v>
      </c>
      <c r="E15" s="205">
        <v>70000000</v>
      </c>
      <c r="F15">
        <v>0</v>
      </c>
      <c r="G15">
        <v>0.41599999999999998</v>
      </c>
      <c r="H15">
        <v>0.77</v>
      </c>
      <c r="K15" s="203" t="s">
        <v>297</v>
      </c>
      <c r="L15" s="203" t="s">
        <v>442</v>
      </c>
      <c r="M15" s="31">
        <v>567</v>
      </c>
      <c r="N15" s="31"/>
      <c r="O15" s="31">
        <v>2013</v>
      </c>
      <c r="P15" s="203"/>
      <c r="Q15" s="208" t="s">
        <v>337</v>
      </c>
      <c r="R15" s="208" t="s">
        <v>180</v>
      </c>
      <c r="S15" s="208" t="s">
        <v>353</v>
      </c>
      <c r="T15" s="208" t="s">
        <v>179</v>
      </c>
      <c r="U15" s="208" t="s">
        <v>344</v>
      </c>
      <c r="V15" s="208" t="s">
        <v>713</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490</v>
      </c>
    </row>
    <row r="16" spans="1:44" s="29" customFormat="1">
      <c r="A16" s="29" t="s">
        <v>315</v>
      </c>
      <c r="B16" s="29" t="s">
        <v>795</v>
      </c>
      <c r="C16" s="29" t="s">
        <v>229</v>
      </c>
      <c r="D16" s="29">
        <v>5000</v>
      </c>
      <c r="E16" s="29">
        <v>200000</v>
      </c>
      <c r="F16" s="29">
        <v>124000</v>
      </c>
      <c r="G16" s="29">
        <v>10</v>
      </c>
      <c r="H16" s="29">
        <v>1</v>
      </c>
      <c r="I16" s="207"/>
      <c r="J16" s="207"/>
      <c r="K16" s="29" t="s">
        <v>297</v>
      </c>
      <c r="L16" s="29" t="s">
        <v>443</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796</v>
      </c>
      <c r="C17" s="29" t="s">
        <v>229</v>
      </c>
      <c r="D17" s="29">
        <v>20000</v>
      </c>
      <c r="E17" s="29">
        <v>800000</v>
      </c>
      <c r="F17" s="29">
        <v>130000</v>
      </c>
      <c r="G17" s="29">
        <v>53</v>
      </c>
      <c r="H17" s="29">
        <v>0.9</v>
      </c>
      <c r="I17" s="207"/>
      <c r="J17" s="207"/>
      <c r="K17" s="29" t="s">
        <v>297</v>
      </c>
      <c r="L17" s="200" t="s">
        <v>443</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443</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443</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443</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443</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443</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443</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443</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443</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731</v>
      </c>
      <c r="AB29" s="208"/>
      <c r="AC29" s="208"/>
      <c r="AD29" s="208"/>
      <c r="AE29" s="208"/>
      <c r="AF29" s="208"/>
      <c r="AG29" s="208"/>
    </row>
    <row r="30" spans="1:44">
      <c r="A30" s="295" t="s">
        <v>731</v>
      </c>
      <c r="B30" t="s">
        <v>456</v>
      </c>
      <c r="C30" t="s">
        <v>457</v>
      </c>
      <c r="D30">
        <v>15</v>
      </c>
      <c r="E30">
        <v>200</v>
      </c>
      <c r="F30">
        <v>0</v>
      </c>
      <c r="G30">
        <v>16440</v>
      </c>
      <c r="H30">
        <v>0.67</v>
      </c>
      <c r="K30" s="200" t="s">
        <v>297</v>
      </c>
      <c r="L30" s="200" t="s">
        <v>442</v>
      </c>
      <c r="M30" s="31">
        <v>567</v>
      </c>
      <c r="N30" s="31"/>
      <c r="O30" s="31">
        <v>2013</v>
      </c>
      <c r="P30" s="208" t="s">
        <v>353</v>
      </c>
      <c r="Q30" s="208" t="s">
        <v>337</v>
      </c>
      <c r="R30" s="208" t="s">
        <v>180</v>
      </c>
      <c r="S30" s="208" t="s">
        <v>353</v>
      </c>
      <c r="T30" s="208" t="s">
        <v>179</v>
      </c>
      <c r="U30" s="208" t="s">
        <v>344</v>
      </c>
      <c r="V30" s="208" t="s">
        <v>713</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731</v>
      </c>
      <c r="B31" t="s">
        <v>458</v>
      </c>
      <c r="C31" t="s">
        <v>461</v>
      </c>
      <c r="D31">
        <v>10</v>
      </c>
      <c r="E31">
        <v>1000</v>
      </c>
      <c r="F31">
        <v>0</v>
      </c>
      <c r="G31">
        <v>39575</v>
      </c>
      <c r="H31">
        <v>0.56000000000000005</v>
      </c>
      <c r="K31" s="203" t="s">
        <v>297</v>
      </c>
      <c r="L31" s="203" t="s">
        <v>442</v>
      </c>
      <c r="M31" s="31">
        <v>567</v>
      </c>
      <c r="N31" s="31"/>
      <c r="O31" s="31">
        <v>2013</v>
      </c>
      <c r="P31" s="208" t="s">
        <v>337</v>
      </c>
      <c r="Q31" s="208" t="s">
        <v>337</v>
      </c>
      <c r="R31" s="208" t="s">
        <v>180</v>
      </c>
      <c r="S31" s="208" t="s">
        <v>353</v>
      </c>
      <c r="T31" s="208" t="s">
        <v>179</v>
      </c>
      <c r="U31" s="208" t="s">
        <v>344</v>
      </c>
      <c r="V31" s="208" t="s">
        <v>713</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731</v>
      </c>
      <c r="B32" t="s">
        <v>459</v>
      </c>
      <c r="C32" s="200" t="s">
        <v>461</v>
      </c>
      <c r="D32">
        <v>10</v>
      </c>
      <c r="E32">
        <v>250</v>
      </c>
      <c r="F32">
        <v>0</v>
      </c>
      <c r="G32">
        <v>31980</v>
      </c>
      <c r="H32">
        <v>0.63</v>
      </c>
      <c r="K32" s="203" t="s">
        <v>297</v>
      </c>
      <c r="L32" s="203" t="s">
        <v>442</v>
      </c>
      <c r="M32" s="31">
        <v>567</v>
      </c>
      <c r="N32" s="31"/>
      <c r="O32" s="31">
        <v>2013</v>
      </c>
      <c r="P32" s="208" t="s">
        <v>337</v>
      </c>
      <c r="Q32" s="208" t="s">
        <v>337</v>
      </c>
      <c r="R32" s="208" t="s">
        <v>180</v>
      </c>
      <c r="S32" s="208" t="s">
        <v>353</v>
      </c>
      <c r="T32" s="208" t="s">
        <v>179</v>
      </c>
      <c r="U32" s="208" t="s">
        <v>344</v>
      </c>
      <c r="V32" s="208" t="s">
        <v>713</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731</v>
      </c>
      <c r="B33" t="s">
        <v>460</v>
      </c>
      <c r="C33" t="s">
        <v>462</v>
      </c>
      <c r="D33">
        <v>50</v>
      </c>
      <c r="E33">
        <v>1000</v>
      </c>
      <c r="F33">
        <v>0</v>
      </c>
      <c r="G33">
        <v>46380</v>
      </c>
      <c r="H33">
        <v>0.41</v>
      </c>
      <c r="K33" s="203" t="s">
        <v>297</v>
      </c>
      <c r="L33" s="203" t="s">
        <v>442</v>
      </c>
      <c r="M33" s="31">
        <v>567</v>
      </c>
      <c r="N33" s="31"/>
      <c r="O33" s="31">
        <v>2013</v>
      </c>
      <c r="P33" s="208" t="s">
        <v>353</v>
      </c>
      <c r="Q33" s="208" t="s">
        <v>337</v>
      </c>
      <c r="R33" s="208" t="s">
        <v>180</v>
      </c>
      <c r="S33" s="208" t="s">
        <v>353</v>
      </c>
      <c r="T33" s="208" t="s">
        <v>179</v>
      </c>
      <c r="U33" s="208" t="s">
        <v>344</v>
      </c>
      <c r="V33" s="208" t="s">
        <v>713</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730</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730</v>
      </c>
      <c r="B36" s="29" t="s">
        <v>249</v>
      </c>
      <c r="C36" s="29" t="s">
        <v>239</v>
      </c>
      <c r="D36" s="29">
        <v>7</v>
      </c>
      <c r="E36" s="29">
        <v>280</v>
      </c>
      <c r="F36" s="29">
        <v>10000</v>
      </c>
      <c r="G36" s="29">
        <v>13200</v>
      </c>
      <c r="H36" s="29">
        <v>0.8</v>
      </c>
      <c r="I36" s="207"/>
      <c r="J36" s="207"/>
      <c r="K36" s="29" t="s">
        <v>297</v>
      </c>
      <c r="L36" s="200" t="s">
        <v>443</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774</v>
      </c>
      <c r="P38" s="208"/>
    </row>
    <row r="39" spans="1:44">
      <c r="A39" t="s">
        <v>504</v>
      </c>
      <c r="B39" t="s">
        <v>463</v>
      </c>
      <c r="C39" t="s">
        <v>467</v>
      </c>
      <c r="D39">
        <v>250</v>
      </c>
      <c r="E39">
        <v>10000</v>
      </c>
      <c r="F39">
        <v>0</v>
      </c>
      <c r="G39">
        <v>10660</v>
      </c>
      <c r="H39">
        <v>0.41</v>
      </c>
      <c r="K39" s="203" t="s">
        <v>297</v>
      </c>
      <c r="L39" s="203" t="s">
        <v>442</v>
      </c>
      <c r="M39" s="31">
        <v>567</v>
      </c>
      <c r="N39" s="31"/>
      <c r="O39" s="31">
        <v>2013</v>
      </c>
      <c r="P39" s="208" t="s">
        <v>337</v>
      </c>
      <c r="Q39" s="208" t="s">
        <v>337</v>
      </c>
      <c r="R39" s="208" t="s">
        <v>180</v>
      </c>
      <c r="S39" s="208" t="s">
        <v>353</v>
      </c>
      <c r="T39" s="208" t="s">
        <v>179</v>
      </c>
      <c r="U39" s="208" t="s">
        <v>344</v>
      </c>
      <c r="V39" s="208" t="s">
        <v>713</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504</v>
      </c>
      <c r="B40" t="s">
        <v>464</v>
      </c>
      <c r="C40" s="203" t="s">
        <v>467</v>
      </c>
      <c r="D40">
        <v>250</v>
      </c>
      <c r="E40">
        <v>10000</v>
      </c>
      <c r="F40">
        <v>0</v>
      </c>
      <c r="G40">
        <v>28350</v>
      </c>
      <c r="H40">
        <v>0.40500000000000003</v>
      </c>
      <c r="K40" s="203" t="s">
        <v>297</v>
      </c>
      <c r="L40" s="203" t="s">
        <v>442</v>
      </c>
      <c r="M40" s="31">
        <v>567</v>
      </c>
      <c r="N40" s="31"/>
      <c r="O40" s="31">
        <v>2013</v>
      </c>
      <c r="P40" s="208" t="s">
        <v>337</v>
      </c>
      <c r="Q40" s="208" t="s">
        <v>337</v>
      </c>
      <c r="R40" s="208" t="s">
        <v>180</v>
      </c>
      <c r="S40" s="208" t="s">
        <v>353</v>
      </c>
      <c r="T40" s="208" t="s">
        <v>179</v>
      </c>
      <c r="U40" s="208" t="s">
        <v>344</v>
      </c>
      <c r="V40" s="208" t="s">
        <v>713</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504</v>
      </c>
      <c r="B41" t="s">
        <v>465</v>
      </c>
      <c r="C41" s="203" t="s">
        <v>467</v>
      </c>
      <c r="D41">
        <v>100</v>
      </c>
      <c r="E41">
        <v>10000</v>
      </c>
      <c r="F41">
        <v>0</v>
      </c>
      <c r="G41">
        <v>2835</v>
      </c>
      <c r="H41">
        <v>0.76</v>
      </c>
      <c r="K41" s="203" t="s">
        <v>297</v>
      </c>
      <c r="L41" s="203" t="s">
        <v>442</v>
      </c>
      <c r="M41" s="31">
        <v>567</v>
      </c>
      <c r="N41" s="31"/>
      <c r="O41" s="31">
        <v>2013</v>
      </c>
      <c r="P41" s="208" t="s">
        <v>337</v>
      </c>
      <c r="Q41" s="208" t="s">
        <v>337</v>
      </c>
      <c r="R41" s="208" t="s">
        <v>180</v>
      </c>
      <c r="S41" s="208" t="s">
        <v>353</v>
      </c>
      <c r="T41" s="208" t="s">
        <v>179</v>
      </c>
      <c r="U41" s="208" t="s">
        <v>344</v>
      </c>
      <c r="V41" s="208" t="s">
        <v>713</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504</v>
      </c>
      <c r="B42" t="s">
        <v>466</v>
      </c>
      <c r="C42" s="203" t="s">
        <v>467</v>
      </c>
      <c r="D42">
        <v>100</v>
      </c>
      <c r="E42">
        <v>4000</v>
      </c>
      <c r="F42">
        <v>0</v>
      </c>
      <c r="G42">
        <v>1588</v>
      </c>
      <c r="H42">
        <v>0.75</v>
      </c>
      <c r="K42" s="203" t="s">
        <v>297</v>
      </c>
      <c r="L42" s="203" t="s">
        <v>442</v>
      </c>
      <c r="M42" s="31">
        <v>567</v>
      </c>
      <c r="N42" s="31"/>
      <c r="O42" s="31">
        <v>2013</v>
      </c>
      <c r="P42" s="208" t="s">
        <v>337</v>
      </c>
      <c r="Q42" s="208" t="s">
        <v>337</v>
      </c>
      <c r="R42" s="208" t="s">
        <v>180</v>
      </c>
      <c r="S42" s="208" t="s">
        <v>353</v>
      </c>
      <c r="T42" s="208" t="s">
        <v>179</v>
      </c>
      <c r="U42" s="208" t="s">
        <v>344</v>
      </c>
      <c r="V42" s="208" t="s">
        <v>713</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756</v>
      </c>
      <c r="C45" t="s">
        <v>469</v>
      </c>
      <c r="D45">
        <v>20</v>
      </c>
      <c r="E45">
        <v>200</v>
      </c>
      <c r="F45">
        <v>0</v>
      </c>
      <c r="G45">
        <v>4400</v>
      </c>
      <c r="H45">
        <v>0.35</v>
      </c>
      <c r="K45" s="203" t="s">
        <v>297</v>
      </c>
      <c r="L45" s="203" t="s">
        <v>442</v>
      </c>
      <c r="M45" s="31">
        <v>567</v>
      </c>
      <c r="N45" s="31"/>
      <c r="O45" s="31">
        <v>2013</v>
      </c>
      <c r="P45" s="208" t="s">
        <v>353</v>
      </c>
      <c r="Q45" s="208" t="s">
        <v>337</v>
      </c>
      <c r="R45" s="208" t="s">
        <v>180</v>
      </c>
      <c r="S45" s="208" t="s">
        <v>353</v>
      </c>
      <c r="T45" s="208" t="s">
        <v>179</v>
      </c>
      <c r="U45" s="208" t="s">
        <v>344</v>
      </c>
      <c r="V45" s="208" t="s">
        <v>713</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757</v>
      </c>
      <c r="C46" t="s">
        <v>470</v>
      </c>
      <c r="D46">
        <v>200</v>
      </c>
      <c r="E46">
        <v>3000</v>
      </c>
      <c r="F46">
        <v>10.522</v>
      </c>
      <c r="G46">
        <v>0.1003</v>
      </c>
      <c r="H46">
        <v>4.3029999999999999E-2</v>
      </c>
      <c r="I46" s="208">
        <v>0</v>
      </c>
      <c r="J46" s="208">
        <v>0</v>
      </c>
      <c r="K46" s="203" t="s">
        <v>557</v>
      </c>
      <c r="L46" s="203" t="s">
        <v>442</v>
      </c>
      <c r="M46" s="31">
        <v>567</v>
      </c>
      <c r="N46" s="31"/>
      <c r="O46" s="31">
        <v>2013</v>
      </c>
      <c r="P46" s="208" t="s">
        <v>353</v>
      </c>
      <c r="Q46" s="208" t="s">
        <v>337</v>
      </c>
      <c r="R46" s="208" t="s">
        <v>180</v>
      </c>
      <c r="S46" s="208" t="s">
        <v>353</v>
      </c>
      <c r="T46" s="208" t="s">
        <v>179</v>
      </c>
      <c r="U46" s="208" t="s">
        <v>344</v>
      </c>
      <c r="V46" s="208" t="s">
        <v>713</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758</v>
      </c>
      <c r="C47" t="s">
        <v>471</v>
      </c>
      <c r="D47">
        <v>100</v>
      </c>
      <c r="E47">
        <v>1400</v>
      </c>
      <c r="F47">
        <v>0</v>
      </c>
      <c r="G47">
        <v>1520</v>
      </c>
      <c r="H47">
        <v>0.8</v>
      </c>
      <c r="K47" s="203" t="s">
        <v>297</v>
      </c>
      <c r="L47" s="203" t="s">
        <v>442</v>
      </c>
      <c r="M47" s="31">
        <v>567</v>
      </c>
      <c r="N47" s="31"/>
      <c r="O47" s="31">
        <v>2013</v>
      </c>
      <c r="P47" s="208" t="s">
        <v>353</v>
      </c>
      <c r="Q47" s="208" t="s">
        <v>337</v>
      </c>
      <c r="R47" s="208" t="s">
        <v>180</v>
      </c>
      <c r="S47" s="208" t="s">
        <v>353</v>
      </c>
      <c r="T47" s="208" t="s">
        <v>179</v>
      </c>
      <c r="U47" s="208" t="s">
        <v>344</v>
      </c>
      <c r="V47" s="208" t="s">
        <v>713</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759</v>
      </c>
      <c r="C48" t="s">
        <v>471</v>
      </c>
      <c r="D48">
        <v>60</v>
      </c>
      <c r="E48">
        <v>480</v>
      </c>
      <c r="F48">
        <v>0</v>
      </c>
      <c r="G48">
        <v>32000</v>
      </c>
      <c r="H48">
        <v>0.49</v>
      </c>
      <c r="K48" s="203" t="s">
        <v>297</v>
      </c>
      <c r="L48" s="203" t="s">
        <v>442</v>
      </c>
      <c r="M48" s="31">
        <v>567</v>
      </c>
      <c r="N48" s="31"/>
      <c r="O48" s="31">
        <v>2013</v>
      </c>
      <c r="P48" s="208" t="s">
        <v>353</v>
      </c>
      <c r="Q48" s="208" t="s">
        <v>337</v>
      </c>
      <c r="R48" s="208" t="s">
        <v>180</v>
      </c>
      <c r="S48" s="208" t="s">
        <v>353</v>
      </c>
      <c r="T48" s="208" t="s">
        <v>179</v>
      </c>
      <c r="U48" s="208" t="s">
        <v>344</v>
      </c>
      <c r="V48" s="208" t="s">
        <v>713</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760</v>
      </c>
      <c r="C49" t="s">
        <v>472</v>
      </c>
      <c r="D49">
        <v>30</v>
      </c>
      <c r="E49">
        <v>3000</v>
      </c>
      <c r="F49">
        <v>8.5132999999999992</v>
      </c>
      <c r="G49">
        <v>0.98470000000000002</v>
      </c>
      <c r="H49">
        <v>-5.6099999999999997E-2</v>
      </c>
      <c r="I49" s="208">
        <v>0</v>
      </c>
      <c r="J49" s="208">
        <v>0</v>
      </c>
      <c r="K49" s="204" t="s">
        <v>557</v>
      </c>
      <c r="L49" s="203" t="s">
        <v>442</v>
      </c>
      <c r="M49" s="31">
        <v>567</v>
      </c>
      <c r="N49" s="31"/>
      <c r="O49" s="31">
        <v>2013</v>
      </c>
      <c r="P49" s="208" t="s">
        <v>353</v>
      </c>
      <c r="Q49" s="208" t="s">
        <v>337</v>
      </c>
      <c r="R49" s="208" t="s">
        <v>180</v>
      </c>
      <c r="S49" s="208" t="s">
        <v>353</v>
      </c>
      <c r="T49" s="208" t="s">
        <v>179</v>
      </c>
      <c r="U49" s="208" t="s">
        <v>344</v>
      </c>
      <c r="V49" s="208" t="s">
        <v>713</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1107</v>
      </c>
      <c r="C50" s="359" t="s">
        <v>1108</v>
      </c>
      <c r="D50" s="359">
        <v>21</v>
      </c>
      <c r="E50" s="359">
        <v>58</v>
      </c>
      <c r="F50" s="359">
        <v>0</v>
      </c>
      <c r="G50" s="359">
        <v>64317.32916703284</v>
      </c>
      <c r="H50" s="359">
        <v>0.27979837638876615</v>
      </c>
      <c r="K50" s="359" t="s">
        <v>297</v>
      </c>
      <c r="L50" s="359" t="s">
        <v>1109</v>
      </c>
      <c r="M50" s="31"/>
      <c r="N50" s="31"/>
      <c r="O50" s="31">
        <v>1994</v>
      </c>
      <c r="Q50" s="359" t="s">
        <v>337</v>
      </c>
      <c r="R50" s="31" t="s">
        <v>340</v>
      </c>
      <c r="AA50" s="359">
        <v>1</v>
      </c>
      <c r="AB50" s="359">
        <v>1.75</v>
      </c>
      <c r="AK50" s="359">
        <v>2.06</v>
      </c>
      <c r="AL50" s="359">
        <v>1.64</v>
      </c>
      <c r="AM50" s="359">
        <v>0.5</v>
      </c>
      <c r="AN50" s="359" t="s">
        <v>1110</v>
      </c>
    </row>
    <row r="51" spans="1:44" s="359" customFormat="1">
      <c r="A51" s="359" t="s">
        <v>291</v>
      </c>
      <c r="B51" s="359" t="s">
        <v>1111</v>
      </c>
      <c r="C51" s="359" t="s">
        <v>1108</v>
      </c>
      <c r="D51" s="359">
        <v>58</v>
      </c>
      <c r="E51" s="359">
        <v>135</v>
      </c>
      <c r="F51" s="359">
        <v>0</v>
      </c>
      <c r="G51" s="359">
        <v>47038.99696834122</v>
      </c>
      <c r="H51" s="359">
        <v>0.3563691516583764</v>
      </c>
      <c r="K51" s="359" t="s">
        <v>297</v>
      </c>
      <c r="L51" s="359" t="s">
        <v>1109</v>
      </c>
      <c r="M51" s="31"/>
      <c r="N51" s="31"/>
      <c r="O51" s="31">
        <v>1994</v>
      </c>
      <c r="Q51" s="359" t="s">
        <v>337</v>
      </c>
      <c r="R51" s="31" t="s">
        <v>340</v>
      </c>
      <c r="AA51" s="359">
        <v>1</v>
      </c>
      <c r="AB51" s="359">
        <v>1.75</v>
      </c>
      <c r="AK51" s="359">
        <v>2.06</v>
      </c>
      <c r="AL51" s="359">
        <v>1.64</v>
      </c>
      <c r="AM51" s="359">
        <v>0.5</v>
      </c>
      <c r="AN51" s="359" t="s">
        <v>1112</v>
      </c>
    </row>
    <row r="52" spans="1:44" s="359" customFormat="1">
      <c r="A52" s="359" t="s">
        <v>291</v>
      </c>
      <c r="B52" s="359" t="s">
        <v>1113</v>
      </c>
      <c r="C52" s="359" t="s">
        <v>1108</v>
      </c>
      <c r="D52" s="359">
        <v>118</v>
      </c>
      <c r="E52" s="359">
        <v>350</v>
      </c>
      <c r="F52" s="359">
        <v>0</v>
      </c>
      <c r="G52" s="359">
        <v>45048.151158472952</v>
      </c>
      <c r="H52" s="359">
        <v>0.34885155620092356</v>
      </c>
      <c r="K52" s="359" t="s">
        <v>297</v>
      </c>
      <c r="L52" s="359" t="s">
        <v>1109</v>
      </c>
      <c r="M52" s="31"/>
      <c r="N52" s="31"/>
      <c r="O52" s="31">
        <v>1994</v>
      </c>
      <c r="Q52" s="359" t="s">
        <v>337</v>
      </c>
      <c r="R52" s="31" t="s">
        <v>340</v>
      </c>
      <c r="AA52" s="359">
        <v>1</v>
      </c>
      <c r="AB52" s="359">
        <v>1.75</v>
      </c>
      <c r="AK52" s="31">
        <v>2.06</v>
      </c>
      <c r="AL52" s="359">
        <v>1.64</v>
      </c>
      <c r="AM52" s="359">
        <v>0.5</v>
      </c>
      <c r="AN52" s="359" t="s">
        <v>1114</v>
      </c>
    </row>
    <row r="53" spans="1:44" s="359" customFormat="1">
      <c r="A53" s="359" t="s">
        <v>291</v>
      </c>
      <c r="B53" s="359" t="s">
        <v>1115</v>
      </c>
      <c r="C53" s="359" t="s">
        <v>1108</v>
      </c>
      <c r="D53" s="359">
        <v>350</v>
      </c>
      <c r="E53" s="359">
        <v>1200</v>
      </c>
      <c r="F53" s="359">
        <v>0</v>
      </c>
      <c r="G53" s="359">
        <v>5627.9600808820123</v>
      </c>
      <c r="H53" s="359">
        <v>0.76527199402401247</v>
      </c>
      <c r="K53" s="359" t="s">
        <v>297</v>
      </c>
      <c r="L53" s="359" t="s">
        <v>1109</v>
      </c>
      <c r="M53" s="31"/>
      <c r="N53" s="31"/>
      <c r="O53" s="31">
        <v>1994</v>
      </c>
      <c r="Q53" s="359" t="s">
        <v>337</v>
      </c>
      <c r="R53" s="31" t="s">
        <v>340</v>
      </c>
      <c r="AA53" s="359">
        <v>1</v>
      </c>
      <c r="AB53" s="359">
        <v>1.75</v>
      </c>
      <c r="AK53" s="31">
        <v>2.06</v>
      </c>
      <c r="AL53" s="359">
        <v>1.64</v>
      </c>
      <c r="AM53" s="359">
        <v>0.5</v>
      </c>
      <c r="AN53" s="359" t="s">
        <v>1116</v>
      </c>
    </row>
    <row r="54" spans="1:44" s="29" customFormat="1">
      <c r="A54" s="29" t="s">
        <v>291</v>
      </c>
      <c r="B54" s="29" t="s">
        <v>762</v>
      </c>
      <c r="C54" s="29" t="s">
        <v>250</v>
      </c>
      <c r="D54" s="29">
        <v>11</v>
      </c>
      <c r="E54" s="29">
        <v>180</v>
      </c>
      <c r="F54" s="29">
        <v>15000</v>
      </c>
      <c r="G54" s="29">
        <v>10500</v>
      </c>
      <c r="H54" s="29">
        <v>0.9</v>
      </c>
      <c r="I54" s="207"/>
      <c r="J54" s="207"/>
      <c r="K54" s="29" t="s">
        <v>297</v>
      </c>
      <c r="L54" s="200" t="s">
        <v>443</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763</v>
      </c>
      <c r="C55" s="29" t="s">
        <v>251</v>
      </c>
      <c r="D55" s="29">
        <v>3</v>
      </c>
      <c r="E55" s="29">
        <v>20</v>
      </c>
      <c r="F55" s="29">
        <v>10000</v>
      </c>
      <c r="G55" s="29">
        <v>7900</v>
      </c>
      <c r="H55" s="29">
        <v>0.5</v>
      </c>
      <c r="I55" s="207"/>
      <c r="J55" s="207"/>
      <c r="K55" s="29" t="s">
        <v>297</v>
      </c>
      <c r="L55" s="200" t="s">
        <v>443</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761</v>
      </c>
      <c r="C56" s="29" t="s">
        <v>252</v>
      </c>
      <c r="D56" s="29">
        <v>400</v>
      </c>
      <c r="E56" s="29">
        <v>4000</v>
      </c>
      <c r="F56" s="29">
        <v>410000</v>
      </c>
      <c r="G56" s="29">
        <v>2200</v>
      </c>
      <c r="H56" s="29">
        <v>0.7</v>
      </c>
      <c r="I56" s="207"/>
      <c r="J56" s="207"/>
      <c r="K56" s="29" t="s">
        <v>297</v>
      </c>
      <c r="L56" s="200" t="s">
        <v>443</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491</v>
      </c>
      <c r="P58" s="208"/>
    </row>
    <row r="59" spans="1:44">
      <c r="A59" s="203" t="s">
        <v>491</v>
      </c>
      <c r="B59" t="s">
        <v>473</v>
      </c>
      <c r="C59" t="s">
        <v>477</v>
      </c>
      <c r="D59">
        <v>5000</v>
      </c>
      <c r="E59">
        <v>2000000</v>
      </c>
      <c r="F59">
        <v>10.383800000000001</v>
      </c>
      <c r="G59">
        <v>-0.43809999999999999</v>
      </c>
      <c r="H59">
        <v>5.5563000000000001E-2</v>
      </c>
      <c r="I59" s="208">
        <v>0</v>
      </c>
      <c r="J59" s="208">
        <v>0</v>
      </c>
      <c r="K59" s="204" t="s">
        <v>557</v>
      </c>
      <c r="L59" s="203" t="s">
        <v>442</v>
      </c>
      <c r="M59" s="31">
        <v>567</v>
      </c>
      <c r="N59" s="31"/>
      <c r="O59" s="31">
        <v>2013</v>
      </c>
      <c r="P59" s="208" t="s">
        <v>337</v>
      </c>
      <c r="Q59" s="208" t="s">
        <v>337</v>
      </c>
      <c r="R59" s="208" t="s">
        <v>180</v>
      </c>
      <c r="S59" s="208" t="s">
        <v>353</v>
      </c>
      <c r="T59" s="208" t="s">
        <v>179</v>
      </c>
      <c r="U59" s="208" t="s">
        <v>344</v>
      </c>
      <c r="V59" s="208" t="s">
        <v>713</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715</v>
      </c>
    </row>
    <row r="60" spans="1:44">
      <c r="A60" s="203" t="s">
        <v>491</v>
      </c>
      <c r="B60" t="s">
        <v>474</v>
      </c>
      <c r="C60" s="203" t="s">
        <v>477</v>
      </c>
      <c r="D60">
        <v>200</v>
      </c>
      <c r="E60">
        <v>100000</v>
      </c>
      <c r="F60">
        <v>9.3484999999999996</v>
      </c>
      <c r="G60">
        <v>-0.78920000000000001</v>
      </c>
      <c r="H60">
        <v>8.4870000000000001E-2</v>
      </c>
      <c r="I60" s="208">
        <v>0</v>
      </c>
      <c r="J60" s="208">
        <v>0</v>
      </c>
      <c r="K60" s="204" t="s">
        <v>557</v>
      </c>
      <c r="L60" s="203" t="s">
        <v>442</v>
      </c>
      <c r="M60" s="31">
        <v>567</v>
      </c>
      <c r="N60" s="31"/>
      <c r="O60" s="31">
        <v>2013</v>
      </c>
      <c r="P60" s="208" t="s">
        <v>337</v>
      </c>
      <c r="Q60" s="208" t="s">
        <v>337</v>
      </c>
      <c r="R60" s="208" t="s">
        <v>180</v>
      </c>
      <c r="S60" s="208" t="s">
        <v>353</v>
      </c>
      <c r="T60" s="208" t="s">
        <v>179</v>
      </c>
      <c r="U60" s="208" t="s">
        <v>344</v>
      </c>
      <c r="V60" s="208" t="s">
        <v>713</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716</v>
      </c>
    </row>
    <row r="61" spans="1:44">
      <c r="A61" s="203" t="s">
        <v>491</v>
      </c>
      <c r="B61" t="s">
        <v>475</v>
      </c>
      <c r="C61" s="203" t="s">
        <v>477</v>
      </c>
      <c r="D61">
        <v>10000</v>
      </c>
      <c r="E61">
        <v>2000000</v>
      </c>
      <c r="F61">
        <v>11.8058</v>
      </c>
      <c r="G61">
        <v>-0.53</v>
      </c>
      <c r="H61">
        <v>5.4539999999999998E-2</v>
      </c>
      <c r="I61" s="208">
        <v>0</v>
      </c>
      <c r="J61" s="208">
        <v>0</v>
      </c>
      <c r="K61" s="204" t="s">
        <v>557</v>
      </c>
      <c r="L61" s="203" t="s">
        <v>442</v>
      </c>
      <c r="M61" s="31">
        <v>567</v>
      </c>
      <c r="N61" s="31"/>
      <c r="O61" s="31">
        <v>2013</v>
      </c>
      <c r="P61" s="208" t="s">
        <v>337</v>
      </c>
      <c r="Q61" s="208" t="s">
        <v>337</v>
      </c>
      <c r="R61" s="208" t="s">
        <v>180</v>
      </c>
      <c r="S61" s="208" t="s">
        <v>353</v>
      </c>
      <c r="T61" s="208" t="s">
        <v>179</v>
      </c>
      <c r="U61" s="208" t="s">
        <v>344</v>
      </c>
      <c r="V61" s="208" t="s">
        <v>713</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717</v>
      </c>
    </row>
    <row r="62" spans="1:44">
      <c r="A62" s="203" t="s">
        <v>491</v>
      </c>
      <c r="B62" t="s">
        <v>476</v>
      </c>
      <c r="C62" s="203" t="s">
        <v>477</v>
      </c>
      <c r="D62">
        <v>2000</v>
      </c>
      <c r="E62">
        <v>20000</v>
      </c>
      <c r="F62">
        <v>9.7413000000000007</v>
      </c>
      <c r="G62">
        <v>-0.3281</v>
      </c>
      <c r="H62">
        <v>0.05</v>
      </c>
      <c r="I62" s="208">
        <v>0</v>
      </c>
      <c r="J62" s="208">
        <v>0</v>
      </c>
      <c r="K62" s="204" t="s">
        <v>557</v>
      </c>
      <c r="L62" s="203" t="s">
        <v>442</v>
      </c>
      <c r="M62" s="31">
        <v>567</v>
      </c>
      <c r="N62" s="31"/>
      <c r="O62" s="31">
        <v>2013</v>
      </c>
      <c r="P62" s="208" t="s">
        <v>337</v>
      </c>
      <c r="Q62" s="208" t="s">
        <v>337</v>
      </c>
      <c r="R62" s="208" t="s">
        <v>180</v>
      </c>
      <c r="S62" s="208" t="s">
        <v>353</v>
      </c>
      <c r="T62" s="208" t="s">
        <v>179</v>
      </c>
      <c r="U62" s="208" t="s">
        <v>344</v>
      </c>
      <c r="V62" s="208" t="s">
        <v>713</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718</v>
      </c>
    </row>
    <row r="63" spans="1:44" s="209" customFormat="1">
      <c r="M63" s="31"/>
      <c r="N63" s="31"/>
      <c r="O63" s="31"/>
      <c r="AR63" s="217"/>
    </row>
    <row r="64" spans="1:44">
      <c r="B64" t="s">
        <v>732</v>
      </c>
      <c r="P64" s="208"/>
    </row>
    <row r="65" spans="1:44">
      <c r="A65" s="295" t="s">
        <v>732</v>
      </c>
      <c r="B65" t="s">
        <v>478</v>
      </c>
      <c r="C65" t="s">
        <v>482</v>
      </c>
      <c r="D65">
        <v>100</v>
      </c>
      <c r="E65">
        <v>8000</v>
      </c>
      <c r="F65">
        <v>0</v>
      </c>
      <c r="G65">
        <v>4604</v>
      </c>
      <c r="H65">
        <v>0.53</v>
      </c>
      <c r="K65" s="203" t="s">
        <v>297</v>
      </c>
      <c r="L65" s="203" t="s">
        <v>442</v>
      </c>
      <c r="M65" s="31">
        <v>567</v>
      </c>
      <c r="N65" s="31"/>
      <c r="O65" s="31">
        <v>2013</v>
      </c>
      <c r="P65" s="208" t="s">
        <v>337</v>
      </c>
      <c r="Q65" s="208" t="s">
        <v>337</v>
      </c>
      <c r="R65" s="208" t="s">
        <v>180</v>
      </c>
      <c r="S65" s="208" t="s">
        <v>353</v>
      </c>
      <c r="T65" s="208" t="s">
        <v>179</v>
      </c>
      <c r="U65" s="208" t="s">
        <v>344</v>
      </c>
      <c r="V65" s="208" t="s">
        <v>713</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732</v>
      </c>
      <c r="B66" t="s">
        <v>479</v>
      </c>
      <c r="C66" s="203" t="s">
        <v>482</v>
      </c>
      <c r="D66">
        <v>100</v>
      </c>
      <c r="E66">
        <v>8000</v>
      </c>
      <c r="F66">
        <v>0</v>
      </c>
      <c r="G66">
        <v>6464</v>
      </c>
      <c r="H66">
        <v>0.55000000000000004</v>
      </c>
      <c r="K66" s="203" t="s">
        <v>297</v>
      </c>
      <c r="L66" s="203" t="s">
        <v>442</v>
      </c>
      <c r="M66" s="31">
        <v>567</v>
      </c>
      <c r="N66" s="31"/>
      <c r="O66" s="31">
        <v>2013</v>
      </c>
      <c r="P66" s="208" t="s">
        <v>337</v>
      </c>
      <c r="Q66" s="208" t="s">
        <v>337</v>
      </c>
      <c r="R66" s="208" t="s">
        <v>180</v>
      </c>
      <c r="S66" s="208" t="s">
        <v>353</v>
      </c>
      <c r="T66" s="208" t="s">
        <v>179</v>
      </c>
      <c r="U66" s="208" t="s">
        <v>344</v>
      </c>
      <c r="V66" s="208" t="s">
        <v>713</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732</v>
      </c>
      <c r="B67" t="s">
        <v>480</v>
      </c>
      <c r="C67" s="203" t="s">
        <v>482</v>
      </c>
      <c r="D67">
        <v>150</v>
      </c>
      <c r="E67">
        <v>8000</v>
      </c>
      <c r="F67">
        <v>8.0368999999999993</v>
      </c>
      <c r="G67">
        <v>0.69940000000000002</v>
      </c>
      <c r="H67">
        <v>-4.0000000000000003E-5</v>
      </c>
      <c r="I67" s="208">
        <v>0</v>
      </c>
      <c r="J67" s="208">
        <v>0</v>
      </c>
      <c r="K67" s="204" t="s">
        <v>557</v>
      </c>
      <c r="L67" s="203" t="s">
        <v>442</v>
      </c>
      <c r="M67" s="31">
        <v>567</v>
      </c>
      <c r="N67" s="31"/>
      <c r="O67" s="31">
        <v>2013</v>
      </c>
      <c r="P67" s="208" t="s">
        <v>337</v>
      </c>
      <c r="Q67" s="208" t="s">
        <v>337</v>
      </c>
      <c r="R67" s="208" t="s">
        <v>180</v>
      </c>
      <c r="S67" s="208" t="s">
        <v>353</v>
      </c>
      <c r="T67" s="208" t="s">
        <v>179</v>
      </c>
      <c r="U67" s="208" t="s">
        <v>344</v>
      </c>
      <c r="V67" s="208" t="s">
        <v>713</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732</v>
      </c>
      <c r="B68" t="s">
        <v>481</v>
      </c>
      <c r="C68" s="203" t="s">
        <v>482</v>
      </c>
      <c r="D68">
        <v>150</v>
      </c>
      <c r="E68">
        <v>4000</v>
      </c>
      <c r="F68">
        <v>0</v>
      </c>
      <c r="G68">
        <v>13700</v>
      </c>
      <c r="H68">
        <v>0.68</v>
      </c>
      <c r="K68" s="203" t="s">
        <v>297</v>
      </c>
      <c r="L68" s="203" t="s">
        <v>442</v>
      </c>
      <c r="M68" s="31">
        <v>567</v>
      </c>
      <c r="N68" s="31"/>
      <c r="O68" s="31">
        <v>2013</v>
      </c>
      <c r="P68" s="208" t="s">
        <v>499</v>
      </c>
      <c r="Q68" s="208" t="s">
        <v>714</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499</v>
      </c>
    </row>
    <row r="70" spans="1:44" s="29" customFormat="1">
      <c r="B70" s="29" t="s">
        <v>733</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733</v>
      </c>
      <c r="B71" s="29" t="s">
        <v>253</v>
      </c>
      <c r="C71" s="29" t="s">
        <v>251</v>
      </c>
      <c r="D71" s="29">
        <v>11</v>
      </c>
      <c r="E71" s="29">
        <v>640</v>
      </c>
      <c r="F71" s="29">
        <v>330</v>
      </c>
      <c r="G71" s="29">
        <v>36000</v>
      </c>
      <c r="H71" s="29">
        <v>0.55000000000000004</v>
      </c>
      <c r="I71" s="207"/>
      <c r="J71" s="207"/>
      <c r="K71" s="29" t="s">
        <v>297</v>
      </c>
      <c r="L71" s="200" t="s">
        <v>443</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733</v>
      </c>
      <c r="B72" s="29" t="s">
        <v>254</v>
      </c>
      <c r="C72" s="29" t="s">
        <v>251</v>
      </c>
      <c r="D72" s="29">
        <v>0.5</v>
      </c>
      <c r="E72" s="29">
        <v>12</v>
      </c>
      <c r="F72" s="29">
        <v>88000</v>
      </c>
      <c r="G72" s="29">
        <v>65500</v>
      </c>
      <c r="H72" s="29">
        <v>0.75</v>
      </c>
      <c r="I72" s="207"/>
      <c r="J72" s="207"/>
      <c r="K72" s="29" t="s">
        <v>297</v>
      </c>
      <c r="L72" s="200" t="s">
        <v>443</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733</v>
      </c>
      <c r="B73" s="29" t="s">
        <v>303</v>
      </c>
      <c r="C73" s="29" t="s">
        <v>305</v>
      </c>
      <c r="D73" s="29">
        <v>30</v>
      </c>
      <c r="E73" s="29">
        <v>300</v>
      </c>
      <c r="F73" s="29">
        <v>0</v>
      </c>
      <c r="G73" s="29">
        <v>13719.930074035568</v>
      </c>
      <c r="H73" s="29">
        <v>0.38021124171160631</v>
      </c>
      <c r="I73" s="207"/>
      <c r="J73" s="207"/>
      <c r="K73" s="29" t="s">
        <v>297</v>
      </c>
      <c r="L73" s="29" t="s">
        <v>468</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570</v>
      </c>
      <c r="Q75" s="208"/>
      <c r="R75" s="208"/>
      <c r="S75" s="208"/>
      <c r="T75" s="208"/>
      <c r="U75" s="208"/>
      <c r="V75" s="208"/>
      <c r="W75" s="208"/>
      <c r="X75" s="208"/>
      <c r="Y75" s="208"/>
      <c r="AA75" s="208"/>
      <c r="AB75" s="208"/>
      <c r="AC75" s="208"/>
      <c r="AD75" s="208"/>
      <c r="AE75" s="208"/>
      <c r="AF75" s="208"/>
      <c r="AG75" s="208"/>
    </row>
    <row r="76" spans="1:44">
      <c r="A76" t="s">
        <v>570</v>
      </c>
      <c r="B76" t="s">
        <v>571</v>
      </c>
      <c r="C76" t="s">
        <v>573</v>
      </c>
      <c r="D76">
        <v>150</v>
      </c>
      <c r="E76">
        <v>12000</v>
      </c>
      <c r="F76">
        <v>11.0991</v>
      </c>
      <c r="G76">
        <v>-0.35799999999999998</v>
      </c>
      <c r="H76">
        <v>5.8529999999999999E-2</v>
      </c>
      <c r="I76" s="207">
        <v>0</v>
      </c>
      <c r="J76" s="207">
        <v>0</v>
      </c>
      <c r="K76" s="204" t="s">
        <v>557</v>
      </c>
      <c r="L76" s="204" t="s">
        <v>442</v>
      </c>
      <c r="M76" s="208">
        <v>567</v>
      </c>
      <c r="N76" s="208"/>
      <c r="O76" s="208">
        <v>2013</v>
      </c>
      <c r="P76" s="208" t="s">
        <v>353</v>
      </c>
      <c r="Q76" s="208" t="s">
        <v>337</v>
      </c>
      <c r="R76" s="208" t="s">
        <v>180</v>
      </c>
      <c r="S76" s="208" t="s">
        <v>353</v>
      </c>
      <c r="T76" s="208" t="s">
        <v>179</v>
      </c>
      <c r="U76" s="208" t="s">
        <v>344</v>
      </c>
      <c r="V76" s="208" t="s">
        <v>713</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570</v>
      </c>
      <c r="B77" t="s">
        <v>572</v>
      </c>
      <c r="C77" s="204" t="s">
        <v>573</v>
      </c>
      <c r="D77" s="204">
        <v>150</v>
      </c>
      <c r="E77" s="204">
        <v>12000</v>
      </c>
      <c r="F77">
        <v>10.980700000000001</v>
      </c>
      <c r="G77">
        <v>-0.44669999999999999</v>
      </c>
      <c r="H77">
        <v>6.1359999999999998E-2</v>
      </c>
      <c r="I77" s="207">
        <v>0</v>
      </c>
      <c r="J77" s="207">
        <v>0</v>
      </c>
      <c r="K77" s="204" t="s">
        <v>557</v>
      </c>
      <c r="L77" s="204" t="s">
        <v>442</v>
      </c>
      <c r="M77" s="208">
        <v>567</v>
      </c>
      <c r="N77" s="208"/>
      <c r="O77" s="208">
        <v>2013</v>
      </c>
      <c r="P77" s="208" t="s">
        <v>353</v>
      </c>
      <c r="Q77" s="208" t="s">
        <v>337</v>
      </c>
      <c r="R77" s="208" t="s">
        <v>180</v>
      </c>
      <c r="S77" s="208" t="s">
        <v>353</v>
      </c>
      <c r="T77" s="208" t="s">
        <v>179</v>
      </c>
      <c r="U77" s="208" t="s">
        <v>344</v>
      </c>
      <c r="V77" s="208" t="s">
        <v>713</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780</v>
      </c>
      <c r="AR79" s="217"/>
    </row>
    <row r="80" spans="1:44" s="213" customFormat="1">
      <c r="A80" s="213" t="s">
        <v>780</v>
      </c>
      <c r="B80" s="213" t="s">
        <v>781</v>
      </c>
      <c r="C80" s="213" t="s">
        <v>782</v>
      </c>
      <c r="D80" s="213">
        <v>2500</v>
      </c>
      <c r="E80" s="213">
        <v>200000</v>
      </c>
      <c r="F80" s="213">
        <v>0</v>
      </c>
      <c r="G80" s="213">
        <v>461.44607553020921</v>
      </c>
      <c r="H80" s="213">
        <v>0.39314379883254991</v>
      </c>
      <c r="K80" s="213" t="s">
        <v>297</v>
      </c>
      <c r="L80" s="213" t="s">
        <v>784</v>
      </c>
      <c r="M80" s="213">
        <v>320</v>
      </c>
      <c r="O80" s="213">
        <v>1987</v>
      </c>
      <c r="Q80" s="213" t="s">
        <v>785</v>
      </c>
      <c r="R80" s="213" t="s">
        <v>786</v>
      </c>
      <c r="S80" s="213" t="s">
        <v>787</v>
      </c>
      <c r="T80" s="213" t="s">
        <v>788</v>
      </c>
      <c r="AA80" s="213">
        <v>1</v>
      </c>
      <c r="AB80" s="213">
        <v>0.3</v>
      </c>
      <c r="AC80" s="213">
        <v>0.3</v>
      </c>
      <c r="AD80" s="213">
        <v>2</v>
      </c>
      <c r="AK80" s="213" t="s">
        <v>162</v>
      </c>
      <c r="AL80" s="213">
        <v>1.45</v>
      </c>
      <c r="AM80" s="27">
        <v>0.1</v>
      </c>
      <c r="AN80" s="213" t="s">
        <v>789</v>
      </c>
      <c r="AR80" s="217"/>
    </row>
    <row r="81" spans="1:44" s="213" customFormat="1">
      <c r="A81" s="213" t="s">
        <v>780</v>
      </c>
      <c r="B81" s="213" t="s">
        <v>783</v>
      </c>
      <c r="C81" s="213" t="s">
        <v>782</v>
      </c>
      <c r="D81" s="213">
        <v>2500</v>
      </c>
      <c r="E81" s="213">
        <v>210000</v>
      </c>
      <c r="F81" s="213">
        <v>0</v>
      </c>
      <c r="G81" s="213">
        <v>314.76015038946599</v>
      </c>
      <c r="H81" s="213">
        <v>0.59463504081334784</v>
      </c>
      <c r="K81" s="213" t="s">
        <v>297</v>
      </c>
      <c r="L81" s="213" t="s">
        <v>784</v>
      </c>
      <c r="M81" s="213">
        <v>320</v>
      </c>
      <c r="O81" s="213">
        <v>1987</v>
      </c>
      <c r="Q81" s="213" t="s">
        <v>785</v>
      </c>
      <c r="R81" s="213" t="s">
        <v>786</v>
      </c>
      <c r="S81" s="213" t="s">
        <v>787</v>
      </c>
      <c r="T81" s="213" t="s">
        <v>788</v>
      </c>
      <c r="AA81" s="213">
        <v>1</v>
      </c>
      <c r="AB81" s="213">
        <v>0.8</v>
      </c>
      <c r="AC81" s="213">
        <v>0.8</v>
      </c>
      <c r="AD81" s="213">
        <v>2</v>
      </c>
      <c r="AK81" s="213" t="s">
        <v>162</v>
      </c>
      <c r="AL81" s="213">
        <v>1.45</v>
      </c>
      <c r="AM81" s="27">
        <v>0.1</v>
      </c>
      <c r="AN81" s="213" t="s">
        <v>789</v>
      </c>
      <c r="AR81" s="217"/>
    </row>
    <row r="82" spans="1:44" s="213" customFormat="1">
      <c r="AR82" s="217"/>
    </row>
    <row r="83" spans="1:44">
      <c r="B83" t="s">
        <v>797</v>
      </c>
    </row>
    <row r="84" spans="1:44">
      <c r="A84" s="295" t="s">
        <v>797</v>
      </c>
      <c r="B84" s="208" t="s">
        <v>681</v>
      </c>
      <c r="C84" t="s">
        <v>682</v>
      </c>
      <c r="D84" s="205">
        <v>10000000</v>
      </c>
      <c r="E84" s="205">
        <v>500000000</v>
      </c>
      <c r="F84">
        <v>-0.15240999999999999</v>
      </c>
      <c r="G84">
        <v>0.78500000000000003</v>
      </c>
      <c r="H84">
        <v>0</v>
      </c>
      <c r="I84" s="207">
        <v>0</v>
      </c>
      <c r="J84" s="207">
        <v>0</v>
      </c>
      <c r="K84" s="208" t="s">
        <v>557</v>
      </c>
      <c r="L84" s="208" t="s">
        <v>442</v>
      </c>
      <c r="M84" s="208">
        <v>567</v>
      </c>
      <c r="N84" s="208"/>
      <c r="O84" s="208">
        <v>2013</v>
      </c>
      <c r="Q84" s="29" t="s">
        <v>685</v>
      </c>
      <c r="R84" s="30" t="s">
        <v>686</v>
      </c>
      <c r="S84" s="30" t="s">
        <v>687</v>
      </c>
      <c r="AA84" s="30">
        <v>1</v>
      </c>
      <c r="AB84" s="30">
        <v>1.4</v>
      </c>
      <c r="AC84" s="30">
        <v>1.7</v>
      </c>
      <c r="AK84" s="208">
        <v>2.19</v>
      </c>
      <c r="AL84" s="30">
        <v>1.52</v>
      </c>
      <c r="AM84" s="30">
        <v>0.3</v>
      </c>
      <c r="AN84" t="s">
        <v>683</v>
      </c>
    </row>
    <row r="85" spans="1:44">
      <c r="A85" s="295" t="s">
        <v>797</v>
      </c>
      <c r="B85" t="s">
        <v>483</v>
      </c>
      <c r="C85" t="s">
        <v>488</v>
      </c>
      <c r="D85" s="205">
        <v>10000000</v>
      </c>
      <c r="E85" s="205">
        <v>50000000</v>
      </c>
      <c r="F85">
        <v>0</v>
      </c>
      <c r="G85">
        <v>0.97399999999999998</v>
      </c>
      <c r="H85">
        <v>0.81</v>
      </c>
      <c r="K85" s="203" t="s">
        <v>297</v>
      </c>
      <c r="L85" s="203" t="s">
        <v>442</v>
      </c>
      <c r="M85" s="31">
        <v>567</v>
      </c>
      <c r="N85" s="31"/>
      <c r="O85" s="31">
        <v>2013</v>
      </c>
      <c r="P85" s="203"/>
      <c r="Q85" s="208" t="s">
        <v>337</v>
      </c>
      <c r="R85" s="208" t="s">
        <v>180</v>
      </c>
      <c r="S85" s="208" t="s">
        <v>353</v>
      </c>
      <c r="T85" s="208" t="s">
        <v>179</v>
      </c>
      <c r="U85" s="208" t="s">
        <v>344</v>
      </c>
      <c r="V85" s="208" t="s">
        <v>713</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489</v>
      </c>
    </row>
    <row r="86" spans="1:44">
      <c r="A86" s="295" t="s">
        <v>797</v>
      </c>
      <c r="B86" t="s">
        <v>484</v>
      </c>
      <c r="C86" s="203" t="s">
        <v>488</v>
      </c>
      <c r="D86" s="205">
        <v>10000000</v>
      </c>
      <c r="E86" s="205">
        <v>500000000</v>
      </c>
      <c r="F86">
        <v>0</v>
      </c>
      <c r="G86">
        <v>0.73699999999999999</v>
      </c>
      <c r="H86">
        <v>0.81</v>
      </c>
      <c r="K86" s="203" t="s">
        <v>297</v>
      </c>
      <c r="L86" s="203" t="s">
        <v>442</v>
      </c>
      <c r="M86" s="31">
        <v>567</v>
      </c>
      <c r="N86" s="31"/>
      <c r="O86" s="31">
        <v>2013</v>
      </c>
      <c r="P86" s="203"/>
      <c r="Q86" s="208" t="s">
        <v>337</v>
      </c>
      <c r="R86" s="208" t="s">
        <v>180</v>
      </c>
      <c r="S86" s="208" t="s">
        <v>353</v>
      </c>
      <c r="T86" s="208" t="s">
        <v>179</v>
      </c>
      <c r="U86" s="208" t="s">
        <v>344</v>
      </c>
      <c r="V86" s="208" t="s">
        <v>713</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489</v>
      </c>
    </row>
    <row r="87" spans="1:44">
      <c r="A87" s="295" t="s">
        <v>797</v>
      </c>
      <c r="B87" t="s">
        <v>485</v>
      </c>
      <c r="C87" s="203" t="s">
        <v>488</v>
      </c>
      <c r="D87" s="205">
        <v>500000</v>
      </c>
      <c r="E87" s="205">
        <v>70000000</v>
      </c>
      <c r="F87">
        <v>9.7187999999999999</v>
      </c>
      <c r="G87">
        <v>-0.37690000000000001</v>
      </c>
      <c r="H87">
        <v>3.4340000000000002E-2</v>
      </c>
      <c r="I87" s="208">
        <v>0</v>
      </c>
      <c r="J87" s="208">
        <v>0</v>
      </c>
      <c r="K87" s="204" t="s">
        <v>557</v>
      </c>
      <c r="L87" s="203" t="s">
        <v>442</v>
      </c>
      <c r="M87" s="31">
        <v>567</v>
      </c>
      <c r="N87" s="31"/>
      <c r="O87" s="31">
        <v>2013</v>
      </c>
      <c r="Q87" s="208" t="s">
        <v>337</v>
      </c>
      <c r="R87" s="208" t="s">
        <v>180</v>
      </c>
      <c r="S87" s="208" t="s">
        <v>353</v>
      </c>
      <c r="T87" s="208" t="s">
        <v>179</v>
      </c>
      <c r="U87" s="208" t="s">
        <v>344</v>
      </c>
      <c r="V87" s="208" t="s">
        <v>713</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797</v>
      </c>
      <c r="B88" t="s">
        <v>486</v>
      </c>
      <c r="C88" s="203" t="s">
        <v>488</v>
      </c>
      <c r="D88" s="205">
        <v>500000</v>
      </c>
      <c r="E88" s="205">
        <v>70000000</v>
      </c>
      <c r="F88">
        <v>0</v>
      </c>
      <c r="G88">
        <v>13.97</v>
      </c>
      <c r="H88">
        <v>0.64</v>
      </c>
      <c r="K88" s="203" t="s">
        <v>297</v>
      </c>
      <c r="L88" s="203" t="s">
        <v>442</v>
      </c>
      <c r="M88" s="31">
        <v>567</v>
      </c>
      <c r="N88" s="31"/>
      <c r="O88" s="31">
        <v>2013</v>
      </c>
      <c r="Q88" s="208" t="s">
        <v>337</v>
      </c>
      <c r="R88" s="208" t="s">
        <v>180</v>
      </c>
      <c r="S88" s="208" t="s">
        <v>353</v>
      </c>
      <c r="T88" s="208" t="s">
        <v>179</v>
      </c>
      <c r="U88" s="208" t="s">
        <v>344</v>
      </c>
      <c r="V88" s="208" t="s">
        <v>713</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797</v>
      </c>
      <c r="B89" t="s">
        <v>487</v>
      </c>
      <c r="C89" s="203" t="s">
        <v>488</v>
      </c>
      <c r="D89" s="205">
        <v>500000</v>
      </c>
      <c r="E89" s="205">
        <v>70000000</v>
      </c>
      <c r="F89">
        <v>0</v>
      </c>
      <c r="G89">
        <v>14.45</v>
      </c>
      <c r="H89">
        <v>0.65</v>
      </c>
      <c r="K89" s="203" t="s">
        <v>297</v>
      </c>
      <c r="L89" s="203" t="s">
        <v>442</v>
      </c>
      <c r="M89" s="31">
        <v>567</v>
      </c>
      <c r="N89" s="31"/>
      <c r="O89" s="31">
        <v>2013</v>
      </c>
      <c r="Q89" s="208" t="s">
        <v>337</v>
      </c>
      <c r="R89" s="208" t="s">
        <v>180</v>
      </c>
      <c r="S89" s="208" t="s">
        <v>353</v>
      </c>
      <c r="T89" s="208" t="s">
        <v>179</v>
      </c>
      <c r="U89" s="208" t="s">
        <v>344</v>
      </c>
      <c r="V89" s="208" t="s">
        <v>713</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734</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734</v>
      </c>
      <c r="B92" s="29" t="s">
        <v>257</v>
      </c>
      <c r="C92" s="29" t="s">
        <v>258</v>
      </c>
      <c r="D92" s="29">
        <v>0.2</v>
      </c>
      <c r="E92" s="29">
        <v>60</v>
      </c>
      <c r="F92" s="29">
        <v>80000</v>
      </c>
      <c r="G92" s="29">
        <v>109000</v>
      </c>
      <c r="H92" s="29">
        <v>0.8</v>
      </c>
      <c r="I92" s="207"/>
      <c r="J92" s="207"/>
      <c r="K92" s="29" t="s">
        <v>297</v>
      </c>
      <c r="L92" s="200" t="s">
        <v>443</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734</v>
      </c>
      <c r="B93" s="29" t="s">
        <v>259</v>
      </c>
      <c r="C93" s="29" t="s">
        <v>258</v>
      </c>
      <c r="D93" s="29">
        <v>30</v>
      </c>
      <c r="E93" s="29">
        <v>120</v>
      </c>
      <c r="F93" s="29">
        <v>43000</v>
      </c>
      <c r="G93" s="29">
        <v>111000</v>
      </c>
      <c r="H93" s="29">
        <v>0.8</v>
      </c>
      <c r="I93" s="207"/>
      <c r="J93" s="207"/>
      <c r="K93" s="29" t="s">
        <v>297</v>
      </c>
      <c r="L93" s="200" t="s">
        <v>443</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741</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741</v>
      </c>
      <c r="B96" s="29" t="s">
        <v>735</v>
      </c>
      <c r="C96" s="29" t="s">
        <v>251</v>
      </c>
      <c r="D96" s="29">
        <v>10</v>
      </c>
      <c r="E96" s="29">
        <v>1000</v>
      </c>
      <c r="F96" s="29">
        <v>32000</v>
      </c>
      <c r="G96" s="29">
        <v>70</v>
      </c>
      <c r="H96" s="29">
        <v>1.2</v>
      </c>
      <c r="I96" s="207"/>
      <c r="J96" s="207"/>
      <c r="K96" s="29" t="s">
        <v>297</v>
      </c>
      <c r="L96" s="200" t="s">
        <v>443</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741</v>
      </c>
      <c r="B97" s="29" t="s">
        <v>736</v>
      </c>
      <c r="C97" s="29" t="s">
        <v>251</v>
      </c>
      <c r="D97" s="29">
        <v>1</v>
      </c>
      <c r="E97" s="29">
        <v>80</v>
      </c>
      <c r="F97" s="29">
        <v>1900</v>
      </c>
      <c r="G97" s="29">
        <v>2500</v>
      </c>
      <c r="H97" s="29">
        <v>1</v>
      </c>
      <c r="I97" s="207"/>
      <c r="J97" s="207"/>
      <c r="K97" s="29" t="s">
        <v>297</v>
      </c>
      <c r="L97" s="200" t="s">
        <v>443</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741</v>
      </c>
      <c r="B98" s="29" t="s">
        <v>737</v>
      </c>
      <c r="C98" s="29" t="s">
        <v>251</v>
      </c>
      <c r="D98" s="29">
        <v>10</v>
      </c>
      <c r="E98" s="29">
        <v>500</v>
      </c>
      <c r="F98" s="29">
        <v>30400</v>
      </c>
      <c r="G98" s="29">
        <v>122</v>
      </c>
      <c r="H98" s="29">
        <v>1.1000000000000001</v>
      </c>
      <c r="I98" s="207"/>
      <c r="J98" s="207"/>
      <c r="K98" s="29" t="s">
        <v>297</v>
      </c>
      <c r="L98" s="200" t="s">
        <v>443</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741</v>
      </c>
      <c r="B99" s="29" t="s">
        <v>738</v>
      </c>
      <c r="C99" s="29" t="s">
        <v>251</v>
      </c>
      <c r="D99" s="29">
        <v>10</v>
      </c>
      <c r="E99" s="29">
        <v>500</v>
      </c>
      <c r="F99" s="29">
        <v>29000</v>
      </c>
      <c r="G99" s="29">
        <v>400</v>
      </c>
      <c r="H99" s="29">
        <v>0.9</v>
      </c>
      <c r="I99" s="207"/>
      <c r="J99" s="207"/>
      <c r="K99" s="29" t="s">
        <v>297</v>
      </c>
      <c r="L99" s="200" t="s">
        <v>443</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741</v>
      </c>
      <c r="B100" s="29" t="s">
        <v>739</v>
      </c>
      <c r="C100" s="29" t="s">
        <v>251</v>
      </c>
      <c r="D100" s="29">
        <v>10</v>
      </c>
      <c r="E100" s="29">
        <v>1000</v>
      </c>
      <c r="F100" s="29">
        <v>28000</v>
      </c>
      <c r="G100" s="29">
        <v>54</v>
      </c>
      <c r="H100" s="29">
        <v>1.2</v>
      </c>
      <c r="I100" s="207"/>
      <c r="J100" s="207"/>
      <c r="K100" s="29" t="s">
        <v>297</v>
      </c>
      <c r="L100" s="200" t="s">
        <v>443</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741</v>
      </c>
      <c r="B101" s="29" t="s">
        <v>740</v>
      </c>
      <c r="C101" s="29" t="s">
        <v>251</v>
      </c>
      <c r="D101" s="29">
        <v>1</v>
      </c>
      <c r="E101" s="29">
        <v>500</v>
      </c>
      <c r="F101" s="29">
        <v>1600</v>
      </c>
      <c r="G101" s="29">
        <v>210</v>
      </c>
      <c r="H101" s="29">
        <v>0.95</v>
      </c>
      <c r="I101" s="207"/>
      <c r="J101" s="207"/>
      <c r="K101" s="29" t="s">
        <v>297</v>
      </c>
      <c r="L101" s="200" t="s">
        <v>443</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775</v>
      </c>
    </row>
    <row r="104" spans="1:44">
      <c r="A104" s="295" t="s">
        <v>775</v>
      </c>
      <c r="B104" t="s">
        <v>492</v>
      </c>
      <c r="C104" t="s">
        <v>496</v>
      </c>
      <c r="D104" s="203">
        <v>40</v>
      </c>
      <c r="E104" s="203">
        <v>150000</v>
      </c>
      <c r="F104">
        <v>0</v>
      </c>
      <c r="G104">
        <v>2835</v>
      </c>
      <c r="H104">
        <v>0.4</v>
      </c>
      <c r="K104" s="203" t="s">
        <v>297</v>
      </c>
      <c r="L104" s="203" t="s">
        <v>442</v>
      </c>
      <c r="M104" s="31">
        <v>567</v>
      </c>
      <c r="N104" s="31"/>
      <c r="O104" s="31">
        <v>2013</v>
      </c>
      <c r="P104" s="208" t="s">
        <v>337</v>
      </c>
      <c r="Q104" s="208" t="s">
        <v>337</v>
      </c>
      <c r="R104" s="208" t="s">
        <v>180</v>
      </c>
      <c r="S104" s="208" t="s">
        <v>353</v>
      </c>
      <c r="T104" s="208" t="s">
        <v>179</v>
      </c>
      <c r="U104" s="208" t="s">
        <v>344</v>
      </c>
      <c r="V104" s="208" t="s">
        <v>713</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775</v>
      </c>
      <c r="B105" t="s">
        <v>493</v>
      </c>
      <c r="C105" t="s">
        <v>482</v>
      </c>
      <c r="D105">
        <v>150</v>
      </c>
      <c r="E105">
        <v>15000</v>
      </c>
      <c r="F105">
        <v>0</v>
      </c>
      <c r="G105">
        <v>10070</v>
      </c>
      <c r="H105">
        <v>0.42</v>
      </c>
      <c r="K105" s="203" t="s">
        <v>297</v>
      </c>
      <c r="L105" s="203" t="s">
        <v>442</v>
      </c>
      <c r="M105" s="31">
        <v>567</v>
      </c>
      <c r="N105" s="31"/>
      <c r="O105" s="31">
        <v>2013</v>
      </c>
      <c r="P105" s="208" t="s">
        <v>353</v>
      </c>
      <c r="Q105" s="208" t="s">
        <v>337</v>
      </c>
      <c r="R105" s="208" t="s">
        <v>180</v>
      </c>
      <c r="S105" s="208" t="s">
        <v>353</v>
      </c>
      <c r="T105" s="208" t="s">
        <v>179</v>
      </c>
      <c r="U105" s="208" t="s">
        <v>344</v>
      </c>
      <c r="V105" s="208" t="s">
        <v>713</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775</v>
      </c>
      <c r="B106" s="203" t="s">
        <v>495</v>
      </c>
      <c r="C106" s="203" t="s">
        <v>482</v>
      </c>
      <c r="D106">
        <v>20</v>
      </c>
      <c r="E106">
        <v>2000</v>
      </c>
      <c r="F106">
        <v>0</v>
      </c>
      <c r="G106">
        <v>7030</v>
      </c>
      <c r="H106">
        <v>0.42</v>
      </c>
      <c r="K106" s="203" t="s">
        <v>297</v>
      </c>
      <c r="L106" s="203" t="s">
        <v>442</v>
      </c>
      <c r="M106" s="31">
        <v>567</v>
      </c>
      <c r="N106" s="31"/>
      <c r="O106" s="31">
        <v>2013</v>
      </c>
      <c r="P106" s="208" t="s">
        <v>353</v>
      </c>
      <c r="Q106" s="208" t="s">
        <v>337</v>
      </c>
      <c r="R106" s="208" t="s">
        <v>180</v>
      </c>
      <c r="S106" s="208" t="s">
        <v>353</v>
      </c>
      <c r="T106" s="208" t="s">
        <v>179</v>
      </c>
      <c r="U106" s="208" t="s">
        <v>344</v>
      </c>
      <c r="V106" s="208" t="s">
        <v>713</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775</v>
      </c>
      <c r="B107" s="203" t="s">
        <v>494</v>
      </c>
      <c r="C107" s="203" t="s">
        <v>482</v>
      </c>
      <c r="D107">
        <v>1</v>
      </c>
      <c r="E107">
        <v>500</v>
      </c>
      <c r="F107">
        <v>8.2014999999999993</v>
      </c>
      <c r="G107">
        <v>0.43430000000000002</v>
      </c>
      <c r="H107">
        <v>3.8120000000000001E-2</v>
      </c>
      <c r="I107" s="208">
        <v>0</v>
      </c>
      <c r="J107" s="208">
        <v>0</v>
      </c>
      <c r="K107" s="204" t="s">
        <v>557</v>
      </c>
      <c r="L107" s="203" t="s">
        <v>442</v>
      </c>
      <c r="M107" s="31">
        <v>567</v>
      </c>
      <c r="N107" s="31"/>
      <c r="O107" s="31">
        <v>2013</v>
      </c>
      <c r="P107" s="208" t="s">
        <v>353</v>
      </c>
      <c r="Q107" s="208" t="s">
        <v>337</v>
      </c>
      <c r="R107" s="208" t="s">
        <v>180</v>
      </c>
      <c r="S107" s="208" t="s">
        <v>353</v>
      </c>
      <c r="T107" s="208" t="s">
        <v>179</v>
      </c>
      <c r="U107" s="208" t="s">
        <v>344</v>
      </c>
      <c r="V107" s="208" t="s">
        <v>713</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505</v>
      </c>
      <c r="P109" s="208"/>
    </row>
    <row r="110" spans="1:44">
      <c r="A110" s="203" t="s">
        <v>505</v>
      </c>
      <c r="B110" t="s">
        <v>497</v>
      </c>
      <c r="C110" t="s">
        <v>498</v>
      </c>
      <c r="D110">
        <v>3</v>
      </c>
      <c r="E110">
        <v>2000</v>
      </c>
      <c r="F110">
        <v>0</v>
      </c>
      <c r="G110">
        <v>363</v>
      </c>
      <c r="H110">
        <v>0.84</v>
      </c>
      <c r="K110" s="203" t="s">
        <v>297</v>
      </c>
      <c r="L110" s="203" t="s">
        <v>442</v>
      </c>
      <c r="M110" s="31">
        <v>567</v>
      </c>
      <c r="N110" s="31"/>
      <c r="O110" s="31">
        <v>2013</v>
      </c>
      <c r="P110" s="208" t="s">
        <v>337</v>
      </c>
      <c r="Q110" s="208" t="s">
        <v>337</v>
      </c>
      <c r="R110" s="208" t="s">
        <v>180</v>
      </c>
      <c r="S110" s="208" t="s">
        <v>353</v>
      </c>
      <c r="T110" s="208" t="s">
        <v>179</v>
      </c>
      <c r="U110" s="208" t="s">
        <v>344</v>
      </c>
      <c r="V110" s="208" t="s">
        <v>713</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506</v>
      </c>
    </row>
    <row r="113" spans="1:40">
      <c r="A113" s="203" t="s">
        <v>506</v>
      </c>
      <c r="B113" t="s">
        <v>500</v>
      </c>
      <c r="C113" t="s">
        <v>507</v>
      </c>
      <c r="D113" s="205">
        <v>2000000</v>
      </c>
      <c r="E113" s="205">
        <v>50000000</v>
      </c>
      <c r="F113">
        <v>0.1258</v>
      </c>
      <c r="G113">
        <v>1.802</v>
      </c>
      <c r="H113">
        <v>1.7749999999999998E-2</v>
      </c>
      <c r="I113" s="208">
        <v>0</v>
      </c>
      <c r="J113" s="208">
        <v>0</v>
      </c>
      <c r="K113" s="204" t="s">
        <v>557</v>
      </c>
      <c r="L113" s="203" t="s">
        <v>442</v>
      </c>
      <c r="M113" s="31">
        <v>567</v>
      </c>
      <c r="N113" s="31"/>
      <c r="O113" s="31">
        <v>2013</v>
      </c>
      <c r="Q113" s="208" t="s">
        <v>337</v>
      </c>
      <c r="R113" s="208" t="s">
        <v>180</v>
      </c>
      <c r="S113" s="208" t="s">
        <v>353</v>
      </c>
      <c r="T113" s="208" t="s">
        <v>179</v>
      </c>
      <c r="U113" s="208" t="s">
        <v>344</v>
      </c>
      <c r="V113" s="208" t="s">
        <v>713</v>
      </c>
      <c r="W113" s="208" t="s">
        <v>356</v>
      </c>
      <c r="X113" s="208"/>
      <c r="Y113" s="208"/>
      <c r="AA113" s="208">
        <v>1</v>
      </c>
      <c r="AB113" s="208">
        <v>1.2</v>
      </c>
      <c r="AC113" s="208">
        <v>2</v>
      </c>
      <c r="AD113" s="208">
        <v>2.5</v>
      </c>
      <c r="AE113" s="208">
        <v>2.7</v>
      </c>
      <c r="AF113" s="208">
        <v>3</v>
      </c>
      <c r="AG113" s="208">
        <v>6</v>
      </c>
      <c r="AK113" s="29">
        <v>1</v>
      </c>
      <c r="AL113" s="30">
        <v>1</v>
      </c>
      <c r="AM113" s="27">
        <v>0.1</v>
      </c>
      <c r="AN113" t="s">
        <v>509</v>
      </c>
    </row>
    <row r="114" spans="1:40">
      <c r="A114" s="203" t="s">
        <v>506</v>
      </c>
      <c r="B114" t="s">
        <v>501</v>
      </c>
      <c r="C114" t="s">
        <v>507</v>
      </c>
      <c r="D114" s="205">
        <v>200000</v>
      </c>
      <c r="E114" s="205">
        <v>14000000</v>
      </c>
      <c r="F114">
        <v>0</v>
      </c>
      <c r="G114">
        <v>3.1</v>
      </c>
      <c r="H114">
        <v>1</v>
      </c>
      <c r="K114" s="203" t="s">
        <v>297</v>
      </c>
      <c r="L114" s="203" t="s">
        <v>442</v>
      </c>
      <c r="M114" s="31">
        <v>567</v>
      </c>
      <c r="N114" s="31"/>
      <c r="O114" s="31">
        <v>2013</v>
      </c>
      <c r="Q114" s="208" t="s">
        <v>337</v>
      </c>
      <c r="R114" s="208" t="s">
        <v>180</v>
      </c>
      <c r="S114" s="208" t="s">
        <v>353</v>
      </c>
      <c r="T114" s="208" t="s">
        <v>179</v>
      </c>
      <c r="U114" s="208" t="s">
        <v>344</v>
      </c>
      <c r="V114" s="208" t="s">
        <v>713</v>
      </c>
      <c r="W114" s="208" t="s">
        <v>356</v>
      </c>
      <c r="X114" s="208"/>
      <c r="Y114" s="208"/>
      <c r="AA114" s="208">
        <v>1</v>
      </c>
      <c r="AB114" s="208">
        <v>1.2</v>
      </c>
      <c r="AC114" s="208">
        <v>2</v>
      </c>
      <c r="AD114" s="208">
        <v>2.5</v>
      </c>
      <c r="AE114" s="208">
        <v>2.7</v>
      </c>
      <c r="AF114" s="208">
        <v>3</v>
      </c>
      <c r="AG114" s="208">
        <v>6</v>
      </c>
      <c r="AK114" s="29">
        <v>1</v>
      </c>
      <c r="AL114" s="30">
        <v>1</v>
      </c>
      <c r="AM114" s="27">
        <v>0.1</v>
      </c>
      <c r="AN114" t="s">
        <v>509</v>
      </c>
    </row>
    <row r="115" spans="1:40">
      <c r="A115" s="203" t="s">
        <v>506</v>
      </c>
      <c r="B115" t="s">
        <v>502</v>
      </c>
      <c r="C115" t="s">
        <v>508</v>
      </c>
      <c r="D115" s="27">
        <v>0</v>
      </c>
      <c r="E115" s="28">
        <v>1000000000</v>
      </c>
      <c r="F115">
        <v>0</v>
      </c>
      <c r="G115">
        <v>51</v>
      </c>
      <c r="H115">
        <v>1</v>
      </c>
      <c r="K115" s="203" t="s">
        <v>297</v>
      </c>
      <c r="L115" s="203" t="s">
        <v>442</v>
      </c>
      <c r="M115" s="31">
        <v>567</v>
      </c>
      <c r="N115" s="31"/>
      <c r="O115" s="31">
        <v>2013</v>
      </c>
      <c r="Q115" s="208" t="s">
        <v>337</v>
      </c>
      <c r="R115" s="208" t="s">
        <v>180</v>
      </c>
      <c r="S115" s="208" t="s">
        <v>353</v>
      </c>
      <c r="T115" s="208" t="s">
        <v>179</v>
      </c>
      <c r="U115" s="208" t="s">
        <v>344</v>
      </c>
      <c r="V115" s="208" t="s">
        <v>713</v>
      </c>
      <c r="W115" s="208" t="s">
        <v>356</v>
      </c>
      <c r="X115" s="208"/>
      <c r="Y115" s="208"/>
      <c r="AA115" s="208">
        <v>1</v>
      </c>
      <c r="AB115" s="208">
        <v>1.2</v>
      </c>
      <c r="AC115" s="208">
        <v>2</v>
      </c>
      <c r="AD115" s="208">
        <v>2.5</v>
      </c>
      <c r="AE115" s="208">
        <v>2.7</v>
      </c>
      <c r="AF115" s="208">
        <v>3</v>
      </c>
      <c r="AG115" s="208">
        <v>6</v>
      </c>
      <c r="AK115" s="29" t="s">
        <v>162</v>
      </c>
      <c r="AL115" s="30">
        <v>1</v>
      </c>
      <c r="AM115" s="27">
        <v>0.1</v>
      </c>
      <c r="AN115" t="s">
        <v>510</v>
      </c>
    </row>
    <row r="116" spans="1:40">
      <c r="A116" s="203" t="s">
        <v>506</v>
      </c>
      <c r="B116" t="s">
        <v>503</v>
      </c>
      <c r="C116" s="203" t="s">
        <v>508</v>
      </c>
      <c r="D116" s="27">
        <v>0</v>
      </c>
      <c r="E116" s="28">
        <v>1000000000</v>
      </c>
      <c r="F116">
        <v>0</v>
      </c>
      <c r="G116">
        <v>43</v>
      </c>
      <c r="H116">
        <v>1</v>
      </c>
      <c r="K116" s="203" t="s">
        <v>297</v>
      </c>
      <c r="L116" s="203" t="s">
        <v>442</v>
      </c>
      <c r="M116" s="31">
        <v>567</v>
      </c>
      <c r="N116" s="31"/>
      <c r="O116" s="31">
        <v>2013</v>
      </c>
      <c r="Q116" s="208" t="s">
        <v>337</v>
      </c>
      <c r="R116" s="208" t="s">
        <v>180</v>
      </c>
      <c r="S116" s="208" t="s">
        <v>353</v>
      </c>
      <c r="T116" s="208" t="s">
        <v>179</v>
      </c>
      <c r="U116" s="208" t="s">
        <v>344</v>
      </c>
      <c r="V116" s="208" t="s">
        <v>713</v>
      </c>
      <c r="W116" s="208" t="s">
        <v>356</v>
      </c>
      <c r="X116" s="208"/>
      <c r="Y116" s="208"/>
      <c r="AA116" s="208">
        <v>1</v>
      </c>
      <c r="AB116" s="208">
        <v>1.2</v>
      </c>
      <c r="AC116" s="208">
        <v>2</v>
      </c>
      <c r="AD116" s="208">
        <v>2.5</v>
      </c>
      <c r="AE116" s="208">
        <v>2.7</v>
      </c>
      <c r="AF116" s="208">
        <v>3</v>
      </c>
      <c r="AG116" s="208">
        <v>6</v>
      </c>
      <c r="AK116" s="29" t="s">
        <v>162</v>
      </c>
      <c r="AL116" s="30">
        <v>1</v>
      </c>
      <c r="AM116" s="27">
        <v>0.1</v>
      </c>
      <c r="AN116" t="s">
        <v>510</v>
      </c>
    </row>
    <row r="117" spans="1:40">
      <c r="A117" s="203" t="s">
        <v>506</v>
      </c>
      <c r="B117" t="s">
        <v>512</v>
      </c>
      <c r="C117" s="203" t="s">
        <v>508</v>
      </c>
      <c r="D117" s="27">
        <v>0</v>
      </c>
      <c r="E117" s="28">
        <v>1000000000</v>
      </c>
      <c r="F117">
        <v>0</v>
      </c>
      <c r="G117">
        <v>10</v>
      </c>
      <c r="H117">
        <v>1</v>
      </c>
      <c r="K117" s="203" t="s">
        <v>297</v>
      </c>
      <c r="L117" s="203" t="s">
        <v>442</v>
      </c>
      <c r="M117" s="31">
        <v>567</v>
      </c>
      <c r="N117" s="31"/>
      <c r="O117" s="31">
        <v>2013</v>
      </c>
      <c r="Q117" s="208" t="s">
        <v>337</v>
      </c>
      <c r="R117" s="208" t="s">
        <v>180</v>
      </c>
      <c r="S117" s="208" t="s">
        <v>353</v>
      </c>
      <c r="T117" s="208" t="s">
        <v>179</v>
      </c>
      <c r="U117" s="208" t="s">
        <v>344</v>
      </c>
      <c r="V117" s="208" t="s">
        <v>713</v>
      </c>
      <c r="W117" s="208" t="s">
        <v>356</v>
      </c>
      <c r="X117" s="208"/>
      <c r="Y117" s="208"/>
      <c r="AA117" s="208">
        <v>1</v>
      </c>
      <c r="AB117" s="208">
        <v>1.2</v>
      </c>
      <c r="AC117" s="208">
        <v>2</v>
      </c>
      <c r="AD117" s="208">
        <v>2.5</v>
      </c>
      <c r="AE117" s="208">
        <v>2.7</v>
      </c>
      <c r="AF117" s="208">
        <v>3</v>
      </c>
      <c r="AG117" s="208">
        <v>6</v>
      </c>
      <c r="AK117" s="29" t="s">
        <v>162</v>
      </c>
      <c r="AL117" s="30">
        <v>1</v>
      </c>
      <c r="AM117" s="27">
        <v>0.1</v>
      </c>
      <c r="AN117" t="s">
        <v>511</v>
      </c>
    </row>
    <row r="118" spans="1:40">
      <c r="A118" s="203" t="s">
        <v>506</v>
      </c>
      <c r="B118" s="203" t="s">
        <v>513</v>
      </c>
      <c r="C118" s="203" t="s">
        <v>508</v>
      </c>
      <c r="D118" s="27">
        <v>0</v>
      </c>
      <c r="E118" s="28">
        <v>1000000000</v>
      </c>
      <c r="F118" s="203">
        <v>0</v>
      </c>
      <c r="G118" s="203">
        <v>17.5</v>
      </c>
      <c r="H118" s="203">
        <v>1</v>
      </c>
      <c r="K118" s="203" t="s">
        <v>297</v>
      </c>
      <c r="L118" s="203" t="s">
        <v>442</v>
      </c>
      <c r="M118" s="31">
        <v>567</v>
      </c>
      <c r="N118" s="31"/>
      <c r="O118" s="31">
        <v>2013</v>
      </c>
      <c r="P118" s="203"/>
      <c r="Q118" s="208" t="s">
        <v>337</v>
      </c>
      <c r="R118" s="208" t="s">
        <v>180</v>
      </c>
      <c r="S118" s="208" t="s">
        <v>353</v>
      </c>
      <c r="T118" s="208" t="s">
        <v>179</v>
      </c>
      <c r="U118" s="208" t="s">
        <v>344</v>
      </c>
      <c r="V118" s="208" t="s">
        <v>713</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511</v>
      </c>
    </row>
    <row r="119" spans="1:40">
      <c r="A119" s="203" t="s">
        <v>506</v>
      </c>
      <c r="B119" s="203" t="s">
        <v>514</v>
      </c>
      <c r="C119" s="203" t="s">
        <v>508</v>
      </c>
      <c r="D119" s="27">
        <v>0</v>
      </c>
      <c r="E119" s="28">
        <v>1000000000</v>
      </c>
      <c r="F119" s="203">
        <v>0</v>
      </c>
      <c r="G119" s="203">
        <v>25</v>
      </c>
      <c r="H119" s="203">
        <v>1</v>
      </c>
      <c r="K119" s="203" t="s">
        <v>297</v>
      </c>
      <c r="L119" s="203" t="s">
        <v>442</v>
      </c>
      <c r="M119" s="31">
        <v>567</v>
      </c>
      <c r="N119" s="31"/>
      <c r="O119" s="31">
        <v>2013</v>
      </c>
      <c r="P119" s="203"/>
      <c r="Q119" s="208" t="s">
        <v>337</v>
      </c>
      <c r="R119" s="208" t="s">
        <v>180</v>
      </c>
      <c r="S119" s="208" t="s">
        <v>353</v>
      </c>
      <c r="T119" s="208" t="s">
        <v>179</v>
      </c>
      <c r="U119" s="208" t="s">
        <v>344</v>
      </c>
      <c r="V119" s="208" t="s">
        <v>713</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511</v>
      </c>
    </row>
    <row r="121" spans="1:40">
      <c r="B121" t="s">
        <v>776</v>
      </c>
    </row>
    <row r="122" spans="1:40">
      <c r="A122" t="s">
        <v>987</v>
      </c>
      <c r="B122" t="s">
        <v>515</v>
      </c>
      <c r="C122" t="s">
        <v>462</v>
      </c>
      <c r="D122" s="203">
        <v>10</v>
      </c>
      <c r="E122" s="203">
        <v>56</v>
      </c>
      <c r="F122">
        <v>0</v>
      </c>
      <c r="G122">
        <v>2041</v>
      </c>
      <c r="H122">
        <v>0.57999999999999996</v>
      </c>
      <c r="K122" s="203" t="s">
        <v>297</v>
      </c>
      <c r="L122" s="203" t="s">
        <v>442</v>
      </c>
      <c r="M122" s="31">
        <v>567</v>
      </c>
      <c r="N122" s="31"/>
      <c r="O122" s="31">
        <v>2013</v>
      </c>
      <c r="P122" s="208" t="s">
        <v>337</v>
      </c>
      <c r="Q122" s="208" t="s">
        <v>337</v>
      </c>
      <c r="R122" s="208" t="s">
        <v>180</v>
      </c>
      <c r="S122" s="208" t="s">
        <v>353</v>
      </c>
      <c r="T122" s="208" t="s">
        <v>179</v>
      </c>
      <c r="U122" s="208" t="s">
        <v>344</v>
      </c>
      <c r="V122" s="208" t="s">
        <v>713</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987</v>
      </c>
      <c r="B123" t="s">
        <v>516</v>
      </c>
      <c r="C123" s="206" t="s">
        <v>462</v>
      </c>
      <c r="D123">
        <v>20</v>
      </c>
      <c r="E123">
        <v>380</v>
      </c>
      <c r="F123">
        <v>0</v>
      </c>
      <c r="G123">
        <v>18705</v>
      </c>
      <c r="H123">
        <v>0.6</v>
      </c>
      <c r="K123" s="203" t="s">
        <v>297</v>
      </c>
      <c r="L123" s="203" t="s">
        <v>442</v>
      </c>
      <c r="M123" s="31">
        <v>567</v>
      </c>
      <c r="N123" s="31"/>
      <c r="O123" s="31">
        <v>2013</v>
      </c>
      <c r="P123" s="208" t="s">
        <v>337</v>
      </c>
      <c r="Q123" s="208" t="s">
        <v>337</v>
      </c>
      <c r="R123" s="208" t="s">
        <v>180</v>
      </c>
      <c r="S123" s="208" t="s">
        <v>353</v>
      </c>
      <c r="T123" s="208" t="s">
        <v>179</v>
      </c>
      <c r="U123" s="208" t="s">
        <v>344</v>
      </c>
      <c r="V123" s="208" t="s">
        <v>713</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987</v>
      </c>
      <c r="B124" t="s">
        <v>517</v>
      </c>
      <c r="C124" s="206" t="s">
        <v>462</v>
      </c>
      <c r="D124">
        <v>10</v>
      </c>
      <c r="E124">
        <v>380</v>
      </c>
      <c r="F124">
        <v>0</v>
      </c>
      <c r="G124">
        <v>15875</v>
      </c>
      <c r="H124">
        <v>0.56000000000000005</v>
      </c>
      <c r="K124" s="203" t="s">
        <v>297</v>
      </c>
      <c r="L124" s="203" t="s">
        <v>442</v>
      </c>
      <c r="M124" s="31">
        <v>567</v>
      </c>
      <c r="N124" s="31"/>
      <c r="O124" s="31">
        <v>2013</v>
      </c>
      <c r="P124" s="208" t="s">
        <v>337</v>
      </c>
      <c r="Q124" s="208" t="s">
        <v>337</v>
      </c>
      <c r="R124" s="208" t="s">
        <v>180</v>
      </c>
      <c r="S124" s="208" t="s">
        <v>353</v>
      </c>
      <c r="T124" s="208" t="s">
        <v>179</v>
      </c>
      <c r="U124" s="208" t="s">
        <v>344</v>
      </c>
      <c r="V124" s="208" t="s">
        <v>713</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987</v>
      </c>
      <c r="B125" t="s">
        <v>518</v>
      </c>
      <c r="C125" s="206" t="s">
        <v>462</v>
      </c>
      <c r="D125">
        <v>25</v>
      </c>
      <c r="E125">
        <v>320</v>
      </c>
      <c r="F125">
        <v>0</v>
      </c>
      <c r="G125">
        <v>2438</v>
      </c>
      <c r="H125">
        <v>0.6</v>
      </c>
      <c r="K125" s="203" t="s">
        <v>297</v>
      </c>
      <c r="L125" s="203" t="s">
        <v>442</v>
      </c>
      <c r="M125" s="31">
        <v>567</v>
      </c>
      <c r="N125" s="31"/>
      <c r="O125" s="31">
        <v>2013</v>
      </c>
      <c r="P125" s="208" t="s">
        <v>337</v>
      </c>
      <c r="Q125" s="208" t="s">
        <v>337</v>
      </c>
      <c r="R125" s="208" t="s">
        <v>180</v>
      </c>
      <c r="S125" s="208" t="s">
        <v>353</v>
      </c>
      <c r="T125" s="208" t="s">
        <v>179</v>
      </c>
      <c r="U125" s="208" t="s">
        <v>344</v>
      </c>
      <c r="V125" s="208" t="s">
        <v>713</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987</v>
      </c>
      <c r="B126" t="s">
        <v>519</v>
      </c>
      <c r="C126" s="206" t="s">
        <v>462</v>
      </c>
      <c r="D126">
        <v>50</v>
      </c>
      <c r="E126">
        <v>270</v>
      </c>
      <c r="F126">
        <v>0</v>
      </c>
      <c r="G126">
        <v>3856</v>
      </c>
      <c r="H126">
        <v>0.42</v>
      </c>
      <c r="K126" s="203" t="s">
        <v>297</v>
      </c>
      <c r="L126" s="203" t="s">
        <v>442</v>
      </c>
      <c r="M126" s="31">
        <v>567</v>
      </c>
      <c r="N126" s="31"/>
      <c r="O126" s="31">
        <v>2013</v>
      </c>
      <c r="P126" s="208" t="s">
        <v>337</v>
      </c>
      <c r="Q126" s="208" t="s">
        <v>337</v>
      </c>
      <c r="R126" s="208" t="s">
        <v>180</v>
      </c>
      <c r="S126" s="208" t="s">
        <v>353</v>
      </c>
      <c r="T126" s="208" t="s">
        <v>179</v>
      </c>
      <c r="U126" s="208" t="s">
        <v>344</v>
      </c>
      <c r="V126" s="208" t="s">
        <v>713</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987</v>
      </c>
      <c r="B127" t="s">
        <v>520</v>
      </c>
      <c r="C127" s="206" t="s">
        <v>462</v>
      </c>
      <c r="D127">
        <v>35</v>
      </c>
      <c r="E127">
        <v>330</v>
      </c>
      <c r="F127">
        <v>0</v>
      </c>
      <c r="G127">
        <v>1700</v>
      </c>
      <c r="H127">
        <v>0.6</v>
      </c>
      <c r="K127" s="203" t="s">
        <v>297</v>
      </c>
      <c r="L127" s="203" t="s">
        <v>442</v>
      </c>
      <c r="M127" s="31">
        <v>567</v>
      </c>
      <c r="N127" s="31"/>
      <c r="O127" s="31">
        <v>2013</v>
      </c>
      <c r="P127" s="208" t="s">
        <v>337</v>
      </c>
      <c r="Q127" s="208" t="s">
        <v>337</v>
      </c>
      <c r="R127" s="208" t="s">
        <v>180</v>
      </c>
      <c r="S127" s="208" t="s">
        <v>353</v>
      </c>
      <c r="T127" s="208" t="s">
        <v>179</v>
      </c>
      <c r="U127" s="208" t="s">
        <v>344</v>
      </c>
      <c r="V127" s="208" t="s">
        <v>713</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742</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742</v>
      </c>
      <c r="B130" s="29" t="s">
        <v>224</v>
      </c>
      <c r="C130" s="29" t="s">
        <v>225</v>
      </c>
      <c r="D130" s="29">
        <v>5</v>
      </c>
      <c r="E130" s="29">
        <v>75</v>
      </c>
      <c r="F130" s="29">
        <v>17000</v>
      </c>
      <c r="G130" s="29">
        <v>1130</v>
      </c>
      <c r="H130" s="29">
        <v>1.05</v>
      </c>
      <c r="I130" s="207"/>
      <c r="J130" s="207"/>
      <c r="K130" s="29" t="s">
        <v>297</v>
      </c>
      <c r="L130" s="200" t="s">
        <v>443</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742</v>
      </c>
      <c r="B131" s="29" t="s">
        <v>226</v>
      </c>
      <c r="C131" s="29" t="s">
        <v>225</v>
      </c>
      <c r="D131" s="29">
        <v>5</v>
      </c>
      <c r="E131" s="29">
        <v>35</v>
      </c>
      <c r="F131" s="29">
        <v>30800</v>
      </c>
      <c r="G131" s="29">
        <v>125</v>
      </c>
      <c r="H131" s="29">
        <v>2</v>
      </c>
      <c r="I131" s="207"/>
      <c r="J131" s="207"/>
      <c r="K131" s="29" t="s">
        <v>297</v>
      </c>
      <c r="L131" s="200" t="s">
        <v>443</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742</v>
      </c>
      <c r="B132" s="29" t="s">
        <v>227</v>
      </c>
      <c r="C132" s="29" t="s">
        <v>228</v>
      </c>
      <c r="D132" s="29">
        <v>1</v>
      </c>
      <c r="E132" s="29">
        <v>50</v>
      </c>
      <c r="F132" s="29">
        <v>570</v>
      </c>
      <c r="G132" s="29">
        <v>1170</v>
      </c>
      <c r="H132" s="29">
        <v>0.4</v>
      </c>
      <c r="I132" s="207"/>
      <c r="J132" s="207"/>
      <c r="K132" s="29" t="s">
        <v>297</v>
      </c>
      <c r="L132" s="200" t="s">
        <v>443</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1019</v>
      </c>
      <c r="B135" s="313" t="s">
        <v>1015</v>
      </c>
      <c r="C135" s="313" t="s">
        <v>813</v>
      </c>
      <c r="D135" s="313">
        <v>1</v>
      </c>
      <c r="E135" s="313">
        <v>1</v>
      </c>
      <c r="F135" s="313">
        <v>68</v>
      </c>
      <c r="G135" s="313">
        <v>0</v>
      </c>
      <c r="H135" s="313">
        <v>0</v>
      </c>
      <c r="K135" s="313" t="s">
        <v>297</v>
      </c>
      <c r="L135" s="313" t="s">
        <v>1020</v>
      </c>
      <c r="O135" s="313">
        <v>2017</v>
      </c>
      <c r="Q135" s="31" t="s">
        <v>1016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1019</v>
      </c>
      <c r="B136" s="313" t="s">
        <v>1017</v>
      </c>
      <c r="C136" s="313" t="s">
        <v>813</v>
      </c>
      <c r="D136" s="313">
        <v>1</v>
      </c>
      <c r="E136" s="313">
        <v>1</v>
      </c>
      <c r="F136" s="313">
        <v>2500</v>
      </c>
      <c r="G136" s="313">
        <v>0</v>
      </c>
      <c r="H136" s="313">
        <v>0</v>
      </c>
      <c r="K136" s="313" t="s">
        <v>297</v>
      </c>
      <c r="O136" s="313">
        <v>2017</v>
      </c>
      <c r="Q136" s="31" t="s">
        <v>785</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798</v>
      </c>
      <c r="AR138" s="217"/>
    </row>
    <row r="139" spans="1:44" s="216" customFormat="1">
      <c r="A139" s="295" t="s">
        <v>798</v>
      </c>
      <c r="B139" s="216" t="s">
        <v>814</v>
      </c>
      <c r="C139" s="216" t="s">
        <v>813</v>
      </c>
      <c r="D139" s="27">
        <v>1</v>
      </c>
      <c r="E139" s="27">
        <v>1</v>
      </c>
      <c r="F139" s="216">
        <v>18000</v>
      </c>
      <c r="G139" s="216">
        <v>0</v>
      </c>
      <c r="H139" s="216">
        <v>0</v>
      </c>
      <c r="K139" s="216" t="s">
        <v>297</v>
      </c>
      <c r="L139" s="216" t="s">
        <v>812</v>
      </c>
      <c r="O139" s="216">
        <v>2017</v>
      </c>
      <c r="Q139" s="31" t="s">
        <v>785</v>
      </c>
      <c r="AA139" s="31">
        <v>1</v>
      </c>
      <c r="AL139" s="27">
        <v>1</v>
      </c>
      <c r="AM139" s="216">
        <v>0.25</v>
      </c>
      <c r="AN139" s="216" t="s">
        <v>815</v>
      </c>
      <c r="AR139" s="217"/>
    </row>
    <row r="140" spans="1:44" s="216" customFormat="1">
      <c r="A140" s="295" t="s">
        <v>798</v>
      </c>
      <c r="B140" s="216" t="s">
        <v>799</v>
      </c>
      <c r="C140" s="216" t="s">
        <v>813</v>
      </c>
      <c r="D140" s="27">
        <v>1</v>
      </c>
      <c r="E140" s="27">
        <v>1</v>
      </c>
      <c r="F140" s="216">
        <v>92.01</v>
      </c>
      <c r="G140" s="216">
        <v>0</v>
      </c>
      <c r="H140" s="216">
        <v>0</v>
      </c>
      <c r="K140" s="216" t="s">
        <v>297</v>
      </c>
      <c r="L140" s="216" t="s">
        <v>812</v>
      </c>
      <c r="O140" s="216">
        <v>2017</v>
      </c>
      <c r="Q140" s="31" t="s">
        <v>785</v>
      </c>
      <c r="AA140" s="31">
        <v>1</v>
      </c>
      <c r="AL140" s="27">
        <v>1</v>
      </c>
      <c r="AM140" s="216">
        <v>0</v>
      </c>
      <c r="AN140" s="218" t="str">
        <f>HYPERLINK("https://www.idex-hs.com/check-valve-inline-assembly.html?optionvalue=6540","IDEX check valve")</f>
        <v>IDEX check valve</v>
      </c>
      <c r="AR140" s="217"/>
    </row>
    <row r="141" spans="1:44" s="216" customFormat="1">
      <c r="A141" s="295" t="s">
        <v>798</v>
      </c>
      <c r="B141" s="216" t="s">
        <v>800</v>
      </c>
      <c r="C141" s="216" t="s">
        <v>813</v>
      </c>
      <c r="D141" s="27">
        <v>1</v>
      </c>
      <c r="E141" s="27">
        <v>1</v>
      </c>
      <c r="F141" s="216">
        <v>60.16</v>
      </c>
      <c r="G141" s="216">
        <v>0</v>
      </c>
      <c r="H141" s="216">
        <v>0</v>
      </c>
      <c r="K141" s="216" t="s">
        <v>297</v>
      </c>
      <c r="L141" s="216" t="s">
        <v>812</v>
      </c>
      <c r="O141" s="216">
        <v>2017</v>
      </c>
      <c r="Q141" s="31" t="s">
        <v>785</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798</v>
      </c>
      <c r="B142" s="216" t="s">
        <v>801</v>
      </c>
      <c r="C142" s="216" t="s">
        <v>813</v>
      </c>
      <c r="D142" s="27">
        <v>1</v>
      </c>
      <c r="E142" s="27">
        <v>1</v>
      </c>
      <c r="F142" s="216">
        <v>98.49</v>
      </c>
      <c r="G142" s="216">
        <v>0</v>
      </c>
      <c r="H142" s="216">
        <v>0</v>
      </c>
      <c r="K142" s="216" t="s">
        <v>297</v>
      </c>
      <c r="L142" s="216" t="s">
        <v>812</v>
      </c>
      <c r="O142" s="216">
        <v>2017</v>
      </c>
      <c r="Q142" s="31" t="s">
        <v>785</v>
      </c>
      <c r="AA142" s="31">
        <v>1</v>
      </c>
      <c r="AL142" s="27">
        <v>1</v>
      </c>
      <c r="AM142" s="216">
        <v>0</v>
      </c>
      <c r="AN142" s="218" t="str">
        <f>HYPERLINK("https://www.idex-hs.com/bpr-assembly-40-psi-biocompatible.html","IDEX BPR assembly 40 psi,")</f>
        <v>IDEX BPR assembly 40 psi,</v>
      </c>
      <c r="AR142" s="217"/>
    </row>
    <row r="143" spans="1:44" s="216" customFormat="1">
      <c r="A143" s="295" t="s">
        <v>798</v>
      </c>
      <c r="B143" s="216" t="s">
        <v>802</v>
      </c>
      <c r="C143" s="216" t="s">
        <v>813</v>
      </c>
      <c r="D143" s="27">
        <v>1</v>
      </c>
      <c r="E143" s="27">
        <v>1</v>
      </c>
      <c r="F143" s="216">
        <v>67.78</v>
      </c>
      <c r="G143" s="216">
        <v>0</v>
      </c>
      <c r="H143" s="216">
        <v>0</v>
      </c>
      <c r="K143" s="216" t="s">
        <v>297</v>
      </c>
      <c r="L143" s="216" t="s">
        <v>812</v>
      </c>
      <c r="O143" s="216">
        <v>2017</v>
      </c>
      <c r="Q143" s="31" t="s">
        <v>785</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798</v>
      </c>
      <c r="B144" s="216" t="s">
        <v>803</v>
      </c>
      <c r="C144" s="216" t="s">
        <v>813</v>
      </c>
      <c r="D144" s="27">
        <v>1</v>
      </c>
      <c r="E144" s="27">
        <v>1</v>
      </c>
      <c r="F144" s="216">
        <v>36.799999999999997</v>
      </c>
      <c r="G144" s="216">
        <v>0</v>
      </c>
      <c r="H144" s="216">
        <v>0</v>
      </c>
      <c r="K144" s="216" t="s">
        <v>297</v>
      </c>
      <c r="L144" s="216" t="s">
        <v>812</v>
      </c>
      <c r="O144" s="216">
        <v>2017</v>
      </c>
      <c r="Q144" s="31" t="s">
        <v>785</v>
      </c>
      <c r="AA144" s="31">
        <v>1</v>
      </c>
      <c r="AL144" s="27">
        <v>1</v>
      </c>
      <c r="AM144" s="216">
        <v>0</v>
      </c>
      <c r="AN144" s="218" t="str">
        <f>HYPERLINK("https://www.mcmaster.com/#catalog/123/227/=166m7qu","McMaster 5194K34")</f>
        <v>McMaster 5194K34</v>
      </c>
      <c r="AR144" s="217"/>
    </row>
    <row r="145" spans="1:44" s="216" customFormat="1">
      <c r="A145" s="295" t="s">
        <v>798</v>
      </c>
      <c r="B145" s="216" t="s">
        <v>811</v>
      </c>
      <c r="C145" s="216" t="s">
        <v>813</v>
      </c>
      <c r="D145" s="27">
        <v>1</v>
      </c>
      <c r="E145" s="27">
        <v>1</v>
      </c>
      <c r="F145" s="216">
        <f>105/25</f>
        <v>4.2</v>
      </c>
      <c r="G145" s="216">
        <v>0</v>
      </c>
      <c r="H145" s="216">
        <v>0</v>
      </c>
      <c r="K145" s="216" t="s">
        <v>297</v>
      </c>
      <c r="L145" s="216" t="s">
        <v>812</v>
      </c>
      <c r="O145" s="216">
        <v>2017</v>
      </c>
      <c r="Q145" s="31" t="s">
        <v>785</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798</v>
      </c>
      <c r="B146" s="216" t="s">
        <v>804</v>
      </c>
      <c r="C146" s="216" t="s">
        <v>813</v>
      </c>
      <c r="D146" s="27">
        <v>1</v>
      </c>
      <c r="E146" s="27">
        <v>1</v>
      </c>
      <c r="F146" s="216">
        <v>549</v>
      </c>
      <c r="G146" s="216">
        <v>0</v>
      </c>
      <c r="H146" s="216">
        <v>0</v>
      </c>
      <c r="K146" s="216" t="s">
        <v>297</v>
      </c>
      <c r="L146" s="216" t="s">
        <v>812</v>
      </c>
      <c r="O146" s="216">
        <v>2017</v>
      </c>
      <c r="Q146" s="31" t="s">
        <v>785</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798</v>
      </c>
      <c r="B147" s="216" t="s">
        <v>805</v>
      </c>
      <c r="C147" s="216" t="s">
        <v>813</v>
      </c>
      <c r="D147" s="27">
        <v>1</v>
      </c>
      <c r="E147" s="27">
        <v>1</v>
      </c>
      <c r="F147" s="216">
        <v>955</v>
      </c>
      <c r="G147" s="216">
        <v>0</v>
      </c>
      <c r="H147" s="216">
        <v>0</v>
      </c>
      <c r="K147" s="216" t="s">
        <v>297</v>
      </c>
      <c r="L147" s="216" t="s">
        <v>812</v>
      </c>
      <c r="O147" s="216">
        <v>2017</v>
      </c>
      <c r="Q147" s="31" t="s">
        <v>785</v>
      </c>
      <c r="AA147" s="31">
        <v>1</v>
      </c>
      <c r="AL147" s="27">
        <v>1</v>
      </c>
      <c r="AM147" s="216">
        <v>0</v>
      </c>
      <c r="AN147" s="218" t="str">
        <f>HYPERLINK("http://www.jkem.com/model-210-with-timer-thermocouple-type-k-catalog-210-timer-k","J-Kem Model 210")</f>
        <v>J-Kem Model 210</v>
      </c>
      <c r="AR147" s="217"/>
    </row>
    <row r="148" spans="1:44" s="216" customFormat="1">
      <c r="A148" s="295" t="s">
        <v>798</v>
      </c>
      <c r="B148" s="216" t="s">
        <v>806</v>
      </c>
      <c r="C148" s="216" t="s">
        <v>813</v>
      </c>
      <c r="D148" s="27">
        <v>1</v>
      </c>
      <c r="E148" s="27">
        <v>1</v>
      </c>
      <c r="F148" s="216">
        <v>68</v>
      </c>
      <c r="G148" s="216">
        <v>0</v>
      </c>
      <c r="H148" s="216">
        <v>0</v>
      </c>
      <c r="K148" s="216" t="s">
        <v>297</v>
      </c>
      <c r="L148" s="216" t="s">
        <v>812</v>
      </c>
      <c r="O148" s="216">
        <v>2017</v>
      </c>
      <c r="Q148" s="31" t="s">
        <v>785</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798</v>
      </c>
      <c r="B149" s="216" t="s">
        <v>807</v>
      </c>
      <c r="C149" s="216" t="s">
        <v>813</v>
      </c>
      <c r="D149" s="27">
        <v>1</v>
      </c>
      <c r="E149" s="27">
        <v>1</v>
      </c>
      <c r="F149" s="216">
        <v>134</v>
      </c>
      <c r="G149" s="216">
        <v>0</v>
      </c>
      <c r="H149" s="216">
        <v>0</v>
      </c>
      <c r="K149" s="216" t="s">
        <v>297</v>
      </c>
      <c r="L149" s="216" t="s">
        <v>812</v>
      </c>
      <c r="O149" s="216">
        <v>2017</v>
      </c>
      <c r="Q149" s="31" t="s">
        <v>785</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798</v>
      </c>
      <c r="B150" s="216" t="s">
        <v>808</v>
      </c>
      <c r="C150" s="216" t="s">
        <v>813</v>
      </c>
      <c r="D150" s="27">
        <v>1</v>
      </c>
      <c r="E150" s="27">
        <v>1</v>
      </c>
      <c r="F150" s="216">
        <v>411</v>
      </c>
      <c r="G150" s="216">
        <v>0</v>
      </c>
      <c r="H150" s="216">
        <v>0</v>
      </c>
      <c r="K150" s="216" t="s">
        <v>297</v>
      </c>
      <c r="L150" s="216" t="s">
        <v>812</v>
      </c>
      <c r="O150" s="216">
        <v>2017</v>
      </c>
      <c r="Q150" s="31" t="s">
        <v>785</v>
      </c>
      <c r="AA150" s="31">
        <v>1</v>
      </c>
      <c r="AL150" s="27">
        <v>1</v>
      </c>
      <c r="AM150" s="216">
        <v>0</v>
      </c>
      <c r="AN150" s="218" t="str">
        <f>HYPERLINK("https://www.glascol.com/series-o-resin","Glas-Co 100A O580")</f>
        <v>Glas-Co 100A O580</v>
      </c>
      <c r="AR150" s="217"/>
    </row>
    <row r="151" spans="1:44" s="216" customFormat="1">
      <c r="A151" s="295" t="s">
        <v>798</v>
      </c>
      <c r="B151" s="216" t="s">
        <v>809</v>
      </c>
      <c r="C151" s="216" t="s">
        <v>813</v>
      </c>
      <c r="D151" s="27">
        <v>1</v>
      </c>
      <c r="E151" s="27">
        <v>1</v>
      </c>
      <c r="F151" s="216">
        <v>174</v>
      </c>
      <c r="G151" s="216">
        <v>0</v>
      </c>
      <c r="H151" s="216">
        <v>0</v>
      </c>
      <c r="K151" s="216" t="s">
        <v>297</v>
      </c>
      <c r="L151" s="216" t="s">
        <v>812</v>
      </c>
      <c r="O151" s="216">
        <v>2017</v>
      </c>
      <c r="Q151" s="31" t="s">
        <v>785</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798</v>
      </c>
      <c r="B152" s="216" t="s">
        <v>816</v>
      </c>
      <c r="C152" s="216" t="s">
        <v>813</v>
      </c>
      <c r="D152" s="27">
        <v>1</v>
      </c>
      <c r="E152" s="27">
        <v>1</v>
      </c>
      <c r="F152" s="216">
        <v>15</v>
      </c>
      <c r="G152" s="216">
        <v>0</v>
      </c>
      <c r="H152" s="216">
        <v>0</v>
      </c>
      <c r="K152" s="216" t="s">
        <v>297</v>
      </c>
      <c r="L152" s="216" t="s">
        <v>812</v>
      </c>
      <c r="O152" s="216">
        <v>2017</v>
      </c>
      <c r="Q152" s="31" t="s">
        <v>785</v>
      </c>
      <c r="AA152" s="31">
        <v>1</v>
      </c>
      <c r="AL152" s="27">
        <v>1</v>
      </c>
      <c r="AM152" s="216">
        <v>0</v>
      </c>
      <c r="AN152" s="218"/>
      <c r="AR152" s="217"/>
    </row>
    <row r="153" spans="1:44" s="216" customFormat="1">
      <c r="A153" s="295" t="s">
        <v>798</v>
      </c>
      <c r="B153" s="216" t="s">
        <v>817</v>
      </c>
      <c r="C153" s="216" t="s">
        <v>813</v>
      </c>
      <c r="D153" s="27">
        <v>1</v>
      </c>
      <c r="E153" s="27">
        <v>1</v>
      </c>
      <c r="F153" s="216">
        <v>50</v>
      </c>
      <c r="G153" s="216">
        <v>0</v>
      </c>
      <c r="H153" s="216">
        <v>0</v>
      </c>
      <c r="K153" s="216" t="s">
        <v>297</v>
      </c>
      <c r="L153" s="216" t="s">
        <v>812</v>
      </c>
      <c r="O153" s="216">
        <v>2017</v>
      </c>
      <c r="Q153" s="31" t="s">
        <v>785</v>
      </c>
      <c r="AA153" s="31">
        <v>1</v>
      </c>
      <c r="AL153" s="27">
        <v>1</v>
      </c>
      <c r="AM153" s="216">
        <v>0</v>
      </c>
      <c r="AN153" s="218"/>
      <c r="AR153" s="217"/>
    </row>
    <row r="154" spans="1:44" s="216" customFormat="1">
      <c r="A154" s="295" t="s">
        <v>798</v>
      </c>
      <c r="B154" s="216" t="s">
        <v>810</v>
      </c>
      <c r="C154" s="216" t="s">
        <v>20</v>
      </c>
      <c r="D154" s="27">
        <v>0</v>
      </c>
      <c r="E154" s="28">
        <v>1000000000000</v>
      </c>
      <c r="F154" s="216">
        <v>0</v>
      </c>
      <c r="G154" s="216">
        <v>0.06</v>
      </c>
      <c r="H154" s="216">
        <v>1</v>
      </c>
      <c r="K154" s="216" t="s">
        <v>297</v>
      </c>
      <c r="L154" s="216" t="s">
        <v>812</v>
      </c>
      <c r="O154" s="216">
        <v>2017</v>
      </c>
      <c r="Q154" s="31" t="s">
        <v>785</v>
      </c>
      <c r="AA154" s="31">
        <v>1</v>
      </c>
      <c r="AL154" s="27">
        <v>1</v>
      </c>
      <c r="AM154" s="216">
        <v>0</v>
      </c>
      <c r="AR154" s="217"/>
    </row>
    <row r="155" spans="1:44" s="216" customFormat="1">
      <c r="AR155" s="217"/>
    </row>
    <row r="156" spans="1:44">
      <c r="B156" t="s">
        <v>521</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521</v>
      </c>
      <c r="B157" t="s">
        <v>522</v>
      </c>
      <c r="C157" t="s">
        <v>525</v>
      </c>
      <c r="D157">
        <v>20</v>
      </c>
      <c r="E157">
        <v>5000</v>
      </c>
      <c r="F157">
        <v>0</v>
      </c>
      <c r="G157">
        <v>600</v>
      </c>
      <c r="H157">
        <v>0.81</v>
      </c>
      <c r="K157" s="203" t="s">
        <v>297</v>
      </c>
      <c r="L157" s="203" t="s">
        <v>442</v>
      </c>
      <c r="M157" s="31">
        <v>567</v>
      </c>
      <c r="N157" s="31"/>
      <c r="O157" s="31">
        <v>2013</v>
      </c>
      <c r="P157" s="208" t="s">
        <v>337</v>
      </c>
      <c r="Q157" s="208" t="s">
        <v>337</v>
      </c>
      <c r="R157" s="208" t="s">
        <v>180</v>
      </c>
      <c r="S157" s="208" t="s">
        <v>353</v>
      </c>
      <c r="T157" s="208" t="s">
        <v>179</v>
      </c>
      <c r="U157" s="208" t="s">
        <v>344</v>
      </c>
      <c r="V157" s="208" t="s">
        <v>713</v>
      </c>
      <c r="W157" s="208" t="s">
        <v>356</v>
      </c>
      <c r="X157" s="208"/>
      <c r="Y157" s="208"/>
      <c r="AA157" s="208">
        <v>1</v>
      </c>
      <c r="AB157" s="208">
        <v>1.2</v>
      </c>
      <c r="AC157" s="208">
        <v>2</v>
      </c>
      <c r="AD157" s="208">
        <v>2.5</v>
      </c>
      <c r="AE157" s="208">
        <v>2.7</v>
      </c>
      <c r="AF157" s="208">
        <v>3</v>
      </c>
      <c r="AG157" s="208">
        <v>6</v>
      </c>
      <c r="AH157" s="203"/>
      <c r="AI157" s="203"/>
      <c r="AK157" s="203" t="s">
        <v>729</v>
      </c>
      <c r="AL157" s="27">
        <v>1.75</v>
      </c>
      <c r="AM157" s="203">
        <v>0</v>
      </c>
      <c r="AN157" s="203"/>
    </row>
    <row r="158" spans="1:44">
      <c r="A158" s="203" t="s">
        <v>521</v>
      </c>
      <c r="B158" s="203" t="s">
        <v>523</v>
      </c>
      <c r="C158" s="203" t="s">
        <v>525</v>
      </c>
      <c r="D158">
        <v>200</v>
      </c>
      <c r="E158">
        <v>8000</v>
      </c>
      <c r="F158">
        <v>0</v>
      </c>
      <c r="G158">
        <v>1350</v>
      </c>
      <c r="H158">
        <v>0.81</v>
      </c>
      <c r="K158" s="203" t="s">
        <v>297</v>
      </c>
      <c r="L158" s="203" t="s">
        <v>442</v>
      </c>
      <c r="M158" s="31">
        <v>567</v>
      </c>
      <c r="N158" s="31"/>
      <c r="O158" s="31">
        <v>2013</v>
      </c>
      <c r="P158" s="208" t="s">
        <v>337</v>
      </c>
      <c r="Q158" s="208" t="s">
        <v>337</v>
      </c>
      <c r="R158" s="208" t="s">
        <v>180</v>
      </c>
      <c r="S158" s="208" t="s">
        <v>353</v>
      </c>
      <c r="T158" s="208" t="s">
        <v>179</v>
      </c>
      <c r="U158" s="208" t="s">
        <v>344</v>
      </c>
      <c r="V158" s="208" t="s">
        <v>713</v>
      </c>
      <c r="W158" s="208" t="s">
        <v>356</v>
      </c>
      <c r="X158" s="208"/>
      <c r="Y158" s="208"/>
      <c r="AA158" s="208">
        <v>1</v>
      </c>
      <c r="AB158" s="208">
        <v>1.2</v>
      </c>
      <c r="AC158" s="208">
        <v>2</v>
      </c>
      <c r="AD158" s="208">
        <v>2.5</v>
      </c>
      <c r="AE158" s="208">
        <v>2.7</v>
      </c>
      <c r="AF158" s="208">
        <v>3</v>
      </c>
      <c r="AG158" s="208">
        <v>6</v>
      </c>
      <c r="AH158" s="203"/>
      <c r="AI158" s="203"/>
      <c r="AK158" s="208" t="s">
        <v>729</v>
      </c>
      <c r="AL158" s="27">
        <v>1.75</v>
      </c>
      <c r="AM158" s="203">
        <v>0</v>
      </c>
      <c r="AN158" s="203"/>
    </row>
    <row r="159" spans="1:44">
      <c r="A159" s="203" t="s">
        <v>521</v>
      </c>
      <c r="B159" t="s">
        <v>524</v>
      </c>
      <c r="C159" s="203" t="s">
        <v>525</v>
      </c>
      <c r="D159">
        <v>150</v>
      </c>
      <c r="E159">
        <v>2000</v>
      </c>
      <c r="F159">
        <v>0</v>
      </c>
      <c r="G159">
        <v>1590</v>
      </c>
      <c r="H159">
        <v>0.7</v>
      </c>
      <c r="K159" s="203" t="s">
        <v>297</v>
      </c>
      <c r="L159" s="203" t="s">
        <v>442</v>
      </c>
      <c r="M159" s="31">
        <v>567</v>
      </c>
      <c r="N159" s="31"/>
      <c r="O159" s="31">
        <v>2013</v>
      </c>
      <c r="P159" s="208" t="s">
        <v>337</v>
      </c>
      <c r="Q159" s="208" t="s">
        <v>337</v>
      </c>
      <c r="R159" s="208" t="s">
        <v>180</v>
      </c>
      <c r="S159" s="208" t="s">
        <v>353</v>
      </c>
      <c r="T159" s="208" t="s">
        <v>179</v>
      </c>
      <c r="U159" s="208" t="s">
        <v>344</v>
      </c>
      <c r="V159" s="208" t="s">
        <v>713</v>
      </c>
      <c r="W159" s="208" t="s">
        <v>356</v>
      </c>
      <c r="X159" s="208"/>
      <c r="Y159" s="208"/>
      <c r="AA159" s="208">
        <v>1</v>
      </c>
      <c r="AB159" s="208">
        <v>1.2</v>
      </c>
      <c r="AC159" s="208">
        <v>2</v>
      </c>
      <c r="AD159" s="208">
        <v>2.5</v>
      </c>
      <c r="AE159" s="208">
        <v>2.7</v>
      </c>
      <c r="AF159" s="208">
        <v>3</v>
      </c>
      <c r="AG159" s="208">
        <v>6</v>
      </c>
      <c r="AH159" s="203"/>
      <c r="AI159" s="203"/>
      <c r="AK159" s="208" t="s">
        <v>729</v>
      </c>
      <c r="AL159" s="27">
        <v>1.75</v>
      </c>
      <c r="AM159" s="203">
        <v>0</v>
      </c>
      <c r="AN159" s="203"/>
    </row>
    <row r="160" spans="1:44">
      <c r="P160" s="208"/>
    </row>
    <row r="161" spans="1:44">
      <c r="B161" s="208" t="s">
        <v>771</v>
      </c>
    </row>
    <row r="162" spans="1:44">
      <c r="A162" s="295" t="s">
        <v>771</v>
      </c>
      <c r="B162" t="s">
        <v>688</v>
      </c>
      <c r="C162" t="s">
        <v>693</v>
      </c>
      <c r="D162">
        <v>1000</v>
      </c>
      <c r="E162">
        <v>920000</v>
      </c>
      <c r="F162">
        <v>5.6336000000000004</v>
      </c>
      <c r="G162">
        <v>0.45989999999999998</v>
      </c>
      <c r="H162">
        <v>5.8199999999999997E-3</v>
      </c>
      <c r="I162" s="207">
        <v>0</v>
      </c>
      <c r="J162" s="207">
        <v>0</v>
      </c>
      <c r="K162" s="208" t="s">
        <v>557</v>
      </c>
      <c r="L162" s="208" t="s">
        <v>442</v>
      </c>
      <c r="M162" s="208">
        <v>567</v>
      </c>
      <c r="N162" s="208"/>
      <c r="O162" s="208">
        <v>2013</v>
      </c>
      <c r="Q162" s="29" t="s">
        <v>337</v>
      </c>
      <c r="R162" s="30" t="s">
        <v>700</v>
      </c>
      <c r="S162" s="30" t="s">
        <v>701</v>
      </c>
      <c r="T162" s="30" t="s">
        <v>702</v>
      </c>
      <c r="U162" s="30" t="s">
        <v>703</v>
      </c>
      <c r="V162" s="208" t="s">
        <v>705</v>
      </c>
      <c r="W162" s="208" t="s">
        <v>707</v>
      </c>
      <c r="X162" s="208" t="s">
        <v>706</v>
      </c>
      <c r="Y162" s="208" t="s">
        <v>704</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698</v>
      </c>
    </row>
    <row r="163" spans="1:44">
      <c r="A163" s="295" t="s">
        <v>771</v>
      </c>
      <c r="B163" s="208" t="s">
        <v>689</v>
      </c>
      <c r="C163" s="208" t="s">
        <v>693</v>
      </c>
      <c r="D163">
        <v>4200</v>
      </c>
      <c r="E163" s="205">
        <v>1000000</v>
      </c>
      <c r="F163">
        <v>7.1390000000000002</v>
      </c>
      <c r="G163">
        <v>0.18254999999999999</v>
      </c>
      <c r="H163">
        <v>2.2970000000000001E-2</v>
      </c>
      <c r="I163" s="207">
        <v>0</v>
      </c>
      <c r="J163" s="207">
        <v>0</v>
      </c>
      <c r="K163" s="208" t="s">
        <v>557</v>
      </c>
      <c r="L163" s="208" t="s">
        <v>442</v>
      </c>
      <c r="M163" s="208">
        <v>567</v>
      </c>
      <c r="N163" s="208"/>
      <c r="O163" s="208">
        <v>2013</v>
      </c>
      <c r="Q163" s="208" t="s">
        <v>337</v>
      </c>
      <c r="R163" s="208" t="s">
        <v>700</v>
      </c>
      <c r="S163" s="208" t="s">
        <v>701</v>
      </c>
      <c r="T163" s="208" t="s">
        <v>702</v>
      </c>
      <c r="U163" s="208" t="s">
        <v>703</v>
      </c>
      <c r="V163" s="208" t="s">
        <v>705</v>
      </c>
      <c r="W163" s="208" t="s">
        <v>707</v>
      </c>
      <c r="X163" s="208" t="s">
        <v>706</v>
      </c>
      <c r="Y163" s="208" t="s">
        <v>704</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698</v>
      </c>
    </row>
    <row r="164" spans="1:44" s="208" customFormat="1">
      <c r="A164" s="295" t="s">
        <v>771</v>
      </c>
      <c r="B164" s="208" t="s">
        <v>695</v>
      </c>
      <c r="C164" s="208" t="s">
        <v>693</v>
      </c>
      <c r="D164" s="208">
        <v>9000</v>
      </c>
      <c r="E164" s="205">
        <v>2500000</v>
      </c>
      <c r="F164" s="208">
        <v>10.5449</v>
      </c>
      <c r="G164" s="208">
        <v>-0.4672</v>
      </c>
      <c r="H164" s="208">
        <v>5.4820000000000001E-2</v>
      </c>
      <c r="I164" s="208">
        <v>0</v>
      </c>
      <c r="J164" s="208">
        <v>0</v>
      </c>
      <c r="K164" s="208" t="s">
        <v>557</v>
      </c>
      <c r="L164" s="208" t="s">
        <v>442</v>
      </c>
      <c r="M164" s="208">
        <v>567</v>
      </c>
      <c r="O164" s="208">
        <v>2013</v>
      </c>
      <c r="Q164" s="208" t="s">
        <v>337</v>
      </c>
      <c r="R164" s="208" t="s">
        <v>700</v>
      </c>
      <c r="S164" s="208" t="s">
        <v>701</v>
      </c>
      <c r="T164" s="208" t="s">
        <v>702</v>
      </c>
      <c r="U164" s="208" t="s">
        <v>703</v>
      </c>
      <c r="V164" s="208" t="s">
        <v>705</v>
      </c>
      <c r="W164" s="208" t="s">
        <v>707</v>
      </c>
      <c r="X164" s="208" t="s">
        <v>706</v>
      </c>
      <c r="Y164" s="208" t="s">
        <v>704</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699</v>
      </c>
      <c r="AR164" s="217"/>
    </row>
    <row r="165" spans="1:44">
      <c r="A165" s="295" t="s">
        <v>771</v>
      </c>
      <c r="B165" t="s">
        <v>690</v>
      </c>
      <c r="C165" t="s">
        <v>692</v>
      </c>
      <c r="D165">
        <v>3</v>
      </c>
      <c r="E165">
        <v>12</v>
      </c>
      <c r="F165">
        <v>0</v>
      </c>
      <c r="G165">
        <v>2275</v>
      </c>
      <c r="H165">
        <v>0.2094</v>
      </c>
      <c r="K165" s="208" t="s">
        <v>297</v>
      </c>
      <c r="L165" s="208" t="s">
        <v>442</v>
      </c>
      <c r="M165" s="26">
        <v>567</v>
      </c>
      <c r="O165">
        <v>2013</v>
      </c>
      <c r="Q165" s="208" t="s">
        <v>337</v>
      </c>
      <c r="AA165" s="30">
        <v>1</v>
      </c>
      <c r="AK165" s="208">
        <v>3.05</v>
      </c>
      <c r="AL165" s="27">
        <v>1.7</v>
      </c>
      <c r="AM165" s="30">
        <v>0</v>
      </c>
      <c r="AN165" t="s">
        <v>709</v>
      </c>
    </row>
    <row r="166" spans="1:44">
      <c r="A166" s="295" t="s">
        <v>771</v>
      </c>
      <c r="B166" s="208" t="s">
        <v>691</v>
      </c>
      <c r="C166" t="s">
        <v>696</v>
      </c>
      <c r="D166" s="211">
        <v>13.052309157301323</v>
      </c>
      <c r="E166" s="211">
        <v>128.9179748553174</v>
      </c>
      <c r="F166">
        <v>0</v>
      </c>
      <c r="G166">
        <v>410</v>
      </c>
      <c r="H166">
        <v>1</v>
      </c>
      <c r="K166" s="208" t="s">
        <v>297</v>
      </c>
      <c r="L166" s="208" t="s">
        <v>442</v>
      </c>
      <c r="M166" s="208">
        <v>567</v>
      </c>
      <c r="N166" s="208"/>
      <c r="O166" s="208">
        <v>2013</v>
      </c>
      <c r="Q166" s="29" t="s">
        <v>337</v>
      </c>
      <c r="AA166" s="30">
        <v>1</v>
      </c>
      <c r="AK166" s="208">
        <v>4.16</v>
      </c>
      <c r="AL166" s="27">
        <v>1.7</v>
      </c>
      <c r="AM166" s="30">
        <v>0</v>
      </c>
      <c r="AN166" s="208" t="s">
        <v>708</v>
      </c>
    </row>
    <row r="167" spans="1:44">
      <c r="A167" s="295" t="s">
        <v>771</v>
      </c>
      <c r="B167" t="s">
        <v>694</v>
      </c>
      <c r="C167" t="s">
        <v>697</v>
      </c>
      <c r="D167" s="211">
        <v>28.150726061626788</v>
      </c>
      <c r="E167" s="211">
        <v>459.03384712136625</v>
      </c>
      <c r="F167">
        <v>0</v>
      </c>
      <c r="G167">
        <v>341</v>
      </c>
      <c r="H167">
        <v>1</v>
      </c>
      <c r="K167" s="208" t="s">
        <v>297</v>
      </c>
      <c r="L167" s="208" t="s">
        <v>442</v>
      </c>
      <c r="M167" s="208">
        <v>567</v>
      </c>
      <c r="N167" s="208"/>
      <c r="O167" s="208">
        <v>2013</v>
      </c>
      <c r="Q167" s="208" t="s">
        <v>337</v>
      </c>
      <c r="AA167" s="30">
        <v>1</v>
      </c>
      <c r="AK167" s="208">
        <v>4.16</v>
      </c>
      <c r="AL167" s="27">
        <v>1.7</v>
      </c>
      <c r="AM167" s="30">
        <v>0</v>
      </c>
      <c r="AN167" s="208" t="s">
        <v>710</v>
      </c>
    </row>
    <row r="168" spans="1:44" s="209" customFormat="1">
      <c r="D168" s="211"/>
      <c r="E168" s="211"/>
      <c r="AR168" s="217"/>
    </row>
    <row r="169" spans="1:44" s="29" customFormat="1">
      <c r="B169" s="29" t="s">
        <v>744</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744</v>
      </c>
      <c r="B170" s="29" t="s">
        <v>268</v>
      </c>
      <c r="C170" s="29" t="s">
        <v>269</v>
      </c>
      <c r="D170" s="29">
        <v>160</v>
      </c>
      <c r="E170" s="29">
        <v>250000</v>
      </c>
      <c r="F170" s="29">
        <v>11600</v>
      </c>
      <c r="G170" s="29">
        <v>34</v>
      </c>
      <c r="H170" s="29">
        <v>0.85</v>
      </c>
      <c r="I170" s="207"/>
      <c r="J170" s="207"/>
      <c r="K170" s="29" t="s">
        <v>297</v>
      </c>
      <c r="L170" s="200" t="s">
        <v>443</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744</v>
      </c>
      <c r="B171" s="29" t="s">
        <v>271</v>
      </c>
      <c r="C171" s="29" t="s">
        <v>269</v>
      </c>
      <c r="D171" s="29">
        <v>160</v>
      </c>
      <c r="E171" s="29">
        <v>50000</v>
      </c>
      <c r="F171" s="29">
        <v>10200</v>
      </c>
      <c r="G171" s="29">
        <v>31</v>
      </c>
      <c r="H171" s="29">
        <v>0.85</v>
      </c>
      <c r="I171" s="207"/>
      <c r="J171" s="207"/>
      <c r="K171" s="29" t="s">
        <v>297</v>
      </c>
      <c r="L171" s="200" t="s">
        <v>443</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744</v>
      </c>
      <c r="B172" s="1" t="s">
        <v>272</v>
      </c>
      <c r="C172" s="29" t="s">
        <v>269</v>
      </c>
      <c r="D172" s="29">
        <v>120</v>
      </c>
      <c r="E172" s="29">
        <v>250000</v>
      </c>
      <c r="F172" s="29">
        <v>17400</v>
      </c>
      <c r="G172" s="29">
        <v>79</v>
      </c>
      <c r="H172" s="29">
        <v>0.85</v>
      </c>
      <c r="I172" s="207"/>
      <c r="J172" s="207"/>
      <c r="K172" s="29" t="s">
        <v>297</v>
      </c>
      <c r="L172" s="200" t="s">
        <v>443</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744</v>
      </c>
      <c r="B173" s="29" t="s">
        <v>273</v>
      </c>
      <c r="C173" s="29" t="s">
        <v>269</v>
      </c>
      <c r="D173" s="29">
        <v>120</v>
      </c>
      <c r="E173" s="29">
        <v>50000</v>
      </c>
      <c r="F173" s="29">
        <v>12800</v>
      </c>
      <c r="G173" s="29">
        <v>73</v>
      </c>
      <c r="H173" s="29">
        <v>0.85</v>
      </c>
      <c r="I173" s="207"/>
      <c r="J173" s="207"/>
      <c r="K173" s="29" t="s">
        <v>297</v>
      </c>
      <c r="L173" s="200" t="s">
        <v>443</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745</v>
      </c>
    </row>
    <row r="176" spans="1:44">
      <c r="A176" t="s">
        <v>986</v>
      </c>
      <c r="B176" t="s">
        <v>659</v>
      </c>
      <c r="C176" t="s">
        <v>609</v>
      </c>
      <c r="D176">
        <v>400</v>
      </c>
      <c r="E176">
        <v>100000</v>
      </c>
      <c r="F176">
        <v>12.1656</v>
      </c>
      <c r="G176">
        <v>-1.1448</v>
      </c>
      <c r="H176">
        <v>8.6199999999999999E-2</v>
      </c>
      <c r="I176" s="207">
        <v>0</v>
      </c>
      <c r="J176" s="207">
        <v>0</v>
      </c>
      <c r="K176" s="207" t="s">
        <v>557</v>
      </c>
      <c r="L176" s="207" t="s">
        <v>442</v>
      </c>
      <c r="M176" s="207">
        <v>567</v>
      </c>
      <c r="O176">
        <v>2013</v>
      </c>
      <c r="Q176" s="29" t="s">
        <v>610</v>
      </c>
      <c r="R176" s="30" t="s">
        <v>611</v>
      </c>
      <c r="S176" s="30" t="s">
        <v>339</v>
      </c>
      <c r="T176" s="30" t="s">
        <v>612</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613</v>
      </c>
    </row>
    <row r="177" spans="1:44">
      <c r="A177" s="295" t="s">
        <v>986</v>
      </c>
      <c r="B177" s="207" t="s">
        <v>660</v>
      </c>
      <c r="C177" s="207" t="s">
        <v>609</v>
      </c>
      <c r="D177" s="207">
        <v>400</v>
      </c>
      <c r="E177" s="207">
        <v>100000</v>
      </c>
      <c r="F177" s="207">
        <v>12.1656</v>
      </c>
      <c r="G177" s="207">
        <v>-1.1448</v>
      </c>
      <c r="H177" s="207">
        <v>8.6199999999999999E-2</v>
      </c>
      <c r="I177" s="208">
        <v>0</v>
      </c>
      <c r="J177" s="208">
        <v>0</v>
      </c>
      <c r="K177" s="207" t="s">
        <v>557</v>
      </c>
      <c r="L177" s="207" t="s">
        <v>442</v>
      </c>
      <c r="M177" s="207">
        <v>567</v>
      </c>
      <c r="O177">
        <v>2013</v>
      </c>
      <c r="Q177" s="207" t="s">
        <v>610</v>
      </c>
      <c r="R177" s="207" t="s">
        <v>611</v>
      </c>
      <c r="S177" s="207" t="s">
        <v>339</v>
      </c>
      <c r="T177" s="207" t="s">
        <v>612</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614</v>
      </c>
    </row>
    <row r="178" spans="1:44">
      <c r="A178" s="295" t="s">
        <v>986</v>
      </c>
      <c r="B178" s="207" t="s">
        <v>661</v>
      </c>
      <c r="C178" s="207" t="s">
        <v>609</v>
      </c>
      <c r="D178" s="207">
        <v>400</v>
      </c>
      <c r="E178" s="207">
        <v>100000</v>
      </c>
      <c r="F178" s="207">
        <v>12.1656</v>
      </c>
      <c r="G178" s="207">
        <v>-1.1448</v>
      </c>
      <c r="H178" s="207">
        <v>8.6199999999999999E-2</v>
      </c>
      <c r="I178" s="208">
        <v>0</v>
      </c>
      <c r="J178" s="208">
        <v>0</v>
      </c>
      <c r="K178" s="207" t="s">
        <v>557</v>
      </c>
      <c r="L178" s="207" t="s">
        <v>442</v>
      </c>
      <c r="M178" s="207">
        <v>567</v>
      </c>
      <c r="O178">
        <v>2013</v>
      </c>
      <c r="Q178" s="207" t="s">
        <v>610</v>
      </c>
      <c r="R178" s="207" t="s">
        <v>611</v>
      </c>
      <c r="S178" s="207" t="s">
        <v>339</v>
      </c>
      <c r="T178" s="207" t="s">
        <v>612</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615</v>
      </c>
    </row>
    <row r="179" spans="1:44">
      <c r="A179" s="295" t="s">
        <v>986</v>
      </c>
      <c r="B179" s="207" t="s">
        <v>662</v>
      </c>
      <c r="C179" s="207" t="s">
        <v>609</v>
      </c>
      <c r="D179" s="207">
        <v>400</v>
      </c>
      <c r="E179" s="207">
        <v>100000</v>
      </c>
      <c r="F179" s="207">
        <v>12.1656</v>
      </c>
      <c r="G179" s="207">
        <v>-1.1448</v>
      </c>
      <c r="H179" s="207">
        <v>8.6199999999999999E-2</v>
      </c>
      <c r="I179" s="208">
        <v>0</v>
      </c>
      <c r="J179" s="208">
        <v>0</v>
      </c>
      <c r="K179" s="207" t="s">
        <v>557</v>
      </c>
      <c r="L179" s="207" t="s">
        <v>442</v>
      </c>
      <c r="M179" s="207">
        <v>567</v>
      </c>
      <c r="O179">
        <v>2013</v>
      </c>
      <c r="Q179" s="207" t="s">
        <v>610</v>
      </c>
      <c r="R179" s="207" t="s">
        <v>611</v>
      </c>
      <c r="S179" s="207" t="s">
        <v>339</v>
      </c>
      <c r="T179" s="207" t="s">
        <v>612</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616</v>
      </c>
    </row>
    <row r="180" spans="1:44">
      <c r="A180" s="295" t="s">
        <v>986</v>
      </c>
      <c r="B180" s="207" t="s">
        <v>663</v>
      </c>
      <c r="C180" s="207" t="s">
        <v>609</v>
      </c>
      <c r="D180" s="207">
        <v>400</v>
      </c>
      <c r="E180" s="207">
        <v>100000</v>
      </c>
      <c r="F180" s="207">
        <v>12.1656</v>
      </c>
      <c r="G180" s="207">
        <v>-1.1448</v>
      </c>
      <c r="H180" s="207">
        <v>8.6199999999999999E-2</v>
      </c>
      <c r="I180" s="208">
        <v>0</v>
      </c>
      <c r="J180" s="208">
        <v>0</v>
      </c>
      <c r="K180" s="207" t="s">
        <v>557</v>
      </c>
      <c r="L180" s="207" t="s">
        <v>442</v>
      </c>
      <c r="M180" s="26">
        <v>567</v>
      </c>
      <c r="O180">
        <v>2013</v>
      </c>
      <c r="Q180" s="207" t="s">
        <v>610</v>
      </c>
      <c r="R180" s="207" t="s">
        <v>611</v>
      </c>
      <c r="S180" s="207" t="s">
        <v>339</v>
      </c>
      <c r="T180" s="207" t="s">
        <v>612</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617</v>
      </c>
    </row>
    <row r="181" spans="1:44">
      <c r="A181" s="295" t="s">
        <v>986</v>
      </c>
      <c r="B181" s="207" t="s">
        <v>664</v>
      </c>
      <c r="C181" s="207" t="s">
        <v>609</v>
      </c>
      <c r="D181" s="207">
        <v>400</v>
      </c>
      <c r="E181" s="207">
        <v>100000</v>
      </c>
      <c r="F181" s="207">
        <v>12.1656</v>
      </c>
      <c r="G181" s="207">
        <v>-1.1448</v>
      </c>
      <c r="H181" s="207">
        <v>8.6199999999999999E-2</v>
      </c>
      <c r="I181" s="208">
        <v>0</v>
      </c>
      <c r="J181" s="208">
        <v>0</v>
      </c>
      <c r="K181" s="207" t="s">
        <v>557</v>
      </c>
      <c r="L181" s="207" t="s">
        <v>442</v>
      </c>
      <c r="M181" s="26">
        <v>567</v>
      </c>
      <c r="O181">
        <v>2013</v>
      </c>
      <c r="Q181" s="207" t="s">
        <v>610</v>
      </c>
      <c r="R181" s="207" t="s">
        <v>611</v>
      </c>
      <c r="S181" s="207" t="s">
        <v>339</v>
      </c>
      <c r="T181" s="207" t="s">
        <v>612</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618</v>
      </c>
    </row>
    <row r="182" spans="1:44" s="207" customFormat="1">
      <c r="A182" s="295" t="s">
        <v>986</v>
      </c>
      <c r="B182" s="207" t="s">
        <v>665</v>
      </c>
      <c r="C182" s="207" t="s">
        <v>626</v>
      </c>
      <c r="D182" s="207">
        <v>10</v>
      </c>
      <c r="E182" s="207">
        <v>900</v>
      </c>
      <c r="F182" s="207">
        <v>8.2815999999999992</v>
      </c>
      <c r="G182" s="207">
        <v>-0.2918</v>
      </c>
      <c r="H182" s="207">
        <v>7.4300000000000005E-2</v>
      </c>
      <c r="I182" s="208">
        <v>0</v>
      </c>
      <c r="J182" s="208">
        <v>0</v>
      </c>
      <c r="K182" s="207" t="s">
        <v>557</v>
      </c>
      <c r="L182" s="207" t="s">
        <v>442</v>
      </c>
      <c r="M182" s="207">
        <v>567</v>
      </c>
      <c r="O182" s="207">
        <v>2013</v>
      </c>
      <c r="Q182" s="207" t="s">
        <v>610</v>
      </c>
      <c r="R182" s="207" t="s">
        <v>611</v>
      </c>
      <c r="S182" s="207" t="s">
        <v>339</v>
      </c>
      <c r="T182" s="207" t="s">
        <v>612</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629</v>
      </c>
      <c r="AR182" s="217"/>
    </row>
    <row r="183" spans="1:44" s="207" customFormat="1">
      <c r="A183" s="295" t="s">
        <v>986</v>
      </c>
      <c r="B183" s="207" t="s">
        <v>666</v>
      </c>
      <c r="C183" s="207" t="s">
        <v>627</v>
      </c>
      <c r="D183" s="207">
        <v>1</v>
      </c>
      <c r="E183" s="207">
        <v>200</v>
      </c>
      <c r="F183" s="207">
        <v>7.9360999999999997</v>
      </c>
      <c r="G183" s="207">
        <v>0.26985999999999999</v>
      </c>
      <c r="H183" s="207">
        <v>6.7180000000000004E-2</v>
      </c>
      <c r="I183" s="208">
        <v>0</v>
      </c>
      <c r="J183" s="208">
        <v>0</v>
      </c>
      <c r="K183" s="207" t="s">
        <v>557</v>
      </c>
      <c r="L183" s="207" t="s">
        <v>442</v>
      </c>
      <c r="M183" s="207">
        <v>567</v>
      </c>
      <c r="O183" s="207">
        <v>2013</v>
      </c>
      <c r="Q183" s="207" t="s">
        <v>611</v>
      </c>
      <c r="R183" s="207" t="s">
        <v>630</v>
      </c>
      <c r="S183" s="207" t="s">
        <v>337</v>
      </c>
      <c r="T183" s="207" t="s">
        <v>353</v>
      </c>
      <c r="Z183" s="208"/>
      <c r="AA183" s="207">
        <v>1</v>
      </c>
      <c r="AB183" s="207">
        <v>1.1499999999999999</v>
      </c>
      <c r="AC183" s="207">
        <v>1.5</v>
      </c>
      <c r="AD183" s="207">
        <v>2.2000000000000002</v>
      </c>
      <c r="AJ183" s="208"/>
      <c r="AK183" s="208">
        <v>3.3</v>
      </c>
      <c r="AL183" s="27">
        <v>1.3</v>
      </c>
      <c r="AM183" s="214">
        <v>0</v>
      </c>
      <c r="AN183" s="207" t="s">
        <v>628</v>
      </c>
      <c r="AR183" s="217"/>
    </row>
    <row r="184" spans="1:44">
      <c r="A184" s="295" t="s">
        <v>986</v>
      </c>
      <c r="B184" s="207" t="s">
        <v>622</v>
      </c>
      <c r="C184" s="207" t="s">
        <v>625</v>
      </c>
      <c r="D184" s="207">
        <v>1</v>
      </c>
      <c r="E184" s="207">
        <v>700</v>
      </c>
      <c r="F184">
        <v>5.9332000000000003</v>
      </c>
      <c r="G184">
        <v>0.16829</v>
      </c>
      <c r="H184">
        <v>-0.110056</v>
      </c>
      <c r="I184" s="207">
        <v>7.1413000000000004E-2</v>
      </c>
      <c r="J184" s="207">
        <v>-6.3787999999999996E-3</v>
      </c>
      <c r="K184" s="207" t="s">
        <v>557</v>
      </c>
      <c r="L184" s="207" t="s">
        <v>442</v>
      </c>
      <c r="M184" s="26">
        <v>567</v>
      </c>
      <c r="O184">
        <v>2013</v>
      </c>
      <c r="Q184" s="29" t="s">
        <v>619</v>
      </c>
      <c r="R184" s="30" t="s">
        <v>620</v>
      </c>
      <c r="S184" s="30" t="s">
        <v>621</v>
      </c>
      <c r="AA184" s="30">
        <v>1</v>
      </c>
      <c r="AB184" s="30">
        <v>1.4</v>
      </c>
      <c r="AC184" s="30">
        <v>1.8</v>
      </c>
      <c r="AK184" s="208">
        <v>3.3</v>
      </c>
      <c r="AL184" s="30">
        <v>1</v>
      </c>
      <c r="AM184" s="214">
        <v>0</v>
      </c>
      <c r="AN184" t="s">
        <v>624</v>
      </c>
    </row>
    <row r="185" spans="1:44">
      <c r="A185" s="295" t="s">
        <v>986</v>
      </c>
      <c r="B185" s="207" t="s">
        <v>623</v>
      </c>
      <c r="C185" s="207" t="s">
        <v>625</v>
      </c>
      <c r="D185" s="207">
        <v>1</v>
      </c>
      <c r="E185" s="207">
        <v>700</v>
      </c>
      <c r="F185" s="207">
        <v>5.9332000000000003</v>
      </c>
      <c r="G185" s="207">
        <v>0.16829</v>
      </c>
      <c r="H185" s="207">
        <v>-0.110056</v>
      </c>
      <c r="I185" s="207">
        <v>7.1413000000000004E-2</v>
      </c>
      <c r="J185" s="207">
        <v>-6.3787999999999996E-3</v>
      </c>
      <c r="K185" s="207" t="s">
        <v>557</v>
      </c>
      <c r="L185" s="207" t="s">
        <v>442</v>
      </c>
      <c r="M185" s="207">
        <v>567</v>
      </c>
      <c r="N185" s="207"/>
      <c r="O185" s="207">
        <v>2013</v>
      </c>
      <c r="P185" s="207"/>
      <c r="Q185" s="207" t="s">
        <v>619</v>
      </c>
      <c r="R185" s="207" t="s">
        <v>620</v>
      </c>
      <c r="S185" s="207" t="s">
        <v>621</v>
      </c>
      <c r="AA185" s="30">
        <v>0.9</v>
      </c>
      <c r="AB185" s="30">
        <v>1.3</v>
      </c>
      <c r="AC185" s="30">
        <v>1.7</v>
      </c>
      <c r="AK185" s="208">
        <v>3.3</v>
      </c>
      <c r="AL185" s="30">
        <v>1</v>
      </c>
      <c r="AM185" s="214">
        <v>0</v>
      </c>
      <c r="AN185" s="207" t="s">
        <v>624</v>
      </c>
    </row>
    <row r="186" spans="1:44">
      <c r="A186" s="295" t="s">
        <v>986</v>
      </c>
      <c r="B186" t="s">
        <v>640</v>
      </c>
      <c r="C186" t="s">
        <v>648</v>
      </c>
      <c r="D186">
        <v>1000</v>
      </c>
      <c r="E186">
        <v>100000</v>
      </c>
      <c r="F186">
        <v>11.4152</v>
      </c>
      <c r="G186">
        <v>-1.3805000000000001</v>
      </c>
      <c r="H186">
        <v>0.1139</v>
      </c>
      <c r="I186" s="207">
        <v>0</v>
      </c>
      <c r="J186" s="207">
        <v>0</v>
      </c>
      <c r="K186" s="207" t="s">
        <v>557</v>
      </c>
      <c r="L186" s="207" t="s">
        <v>442</v>
      </c>
      <c r="M186" s="207">
        <v>567</v>
      </c>
      <c r="O186" s="208">
        <v>2013</v>
      </c>
      <c r="Q186" s="29" t="s">
        <v>337</v>
      </c>
      <c r="R186" s="30" t="s">
        <v>588</v>
      </c>
      <c r="S186" s="30" t="s">
        <v>353</v>
      </c>
      <c r="T186" s="30" t="s">
        <v>355</v>
      </c>
      <c r="AA186" s="30">
        <v>1</v>
      </c>
      <c r="AB186" s="30">
        <v>1.8</v>
      </c>
      <c r="AC186" s="30">
        <v>2.5</v>
      </c>
      <c r="AD186" s="30">
        <v>5</v>
      </c>
      <c r="AK186" s="208">
        <v>2.15</v>
      </c>
      <c r="AL186" s="30">
        <v>1.61</v>
      </c>
      <c r="AM186" s="30">
        <v>0.05</v>
      </c>
      <c r="AN186" t="s">
        <v>644</v>
      </c>
    </row>
    <row r="187" spans="1:44">
      <c r="A187" s="295" t="s">
        <v>986</v>
      </c>
      <c r="B187" s="207" t="s">
        <v>631</v>
      </c>
      <c r="C187" s="207" t="s">
        <v>648</v>
      </c>
      <c r="D187" s="208">
        <v>1000</v>
      </c>
      <c r="E187" s="208">
        <v>100000</v>
      </c>
      <c r="F187" s="208">
        <v>11.4152</v>
      </c>
      <c r="G187" s="208">
        <v>-1.3805000000000001</v>
      </c>
      <c r="H187" s="208">
        <v>0.1139</v>
      </c>
      <c r="I187" s="208">
        <v>0</v>
      </c>
      <c r="J187" s="208">
        <v>0</v>
      </c>
      <c r="K187" s="207" t="s">
        <v>557</v>
      </c>
      <c r="L187" s="207" t="s">
        <v>442</v>
      </c>
      <c r="M187" s="207">
        <v>567</v>
      </c>
      <c r="O187" s="208">
        <v>2013</v>
      </c>
      <c r="Q187" s="208" t="s">
        <v>337</v>
      </c>
      <c r="R187" s="208" t="s">
        <v>588</v>
      </c>
      <c r="S187" s="208" t="s">
        <v>353</v>
      </c>
      <c r="T187" s="208" t="s">
        <v>355</v>
      </c>
      <c r="AA187" s="208">
        <v>1</v>
      </c>
      <c r="AB187" s="208">
        <v>1.8</v>
      </c>
      <c r="AC187" s="208">
        <v>2.5</v>
      </c>
      <c r="AD187" s="208">
        <v>5</v>
      </c>
      <c r="AK187" s="208">
        <v>2.15</v>
      </c>
      <c r="AL187" s="215">
        <v>1.61</v>
      </c>
      <c r="AM187" s="30">
        <v>0.05</v>
      </c>
      <c r="AN187" s="207" t="s">
        <v>644</v>
      </c>
    </row>
    <row r="188" spans="1:44">
      <c r="A188" s="295" t="s">
        <v>986</v>
      </c>
      <c r="B188" s="207" t="s">
        <v>632</v>
      </c>
      <c r="C188" s="207" t="s">
        <v>648</v>
      </c>
      <c r="D188" s="208">
        <v>1000</v>
      </c>
      <c r="E188" s="208">
        <v>100000</v>
      </c>
      <c r="F188" s="208">
        <v>11.4152</v>
      </c>
      <c r="G188" s="208">
        <v>-1.3805000000000001</v>
      </c>
      <c r="H188" s="208">
        <v>0.1139</v>
      </c>
      <c r="I188" s="208">
        <v>0</v>
      </c>
      <c r="J188" s="208">
        <v>0</v>
      </c>
      <c r="K188" s="207" t="s">
        <v>557</v>
      </c>
      <c r="L188" s="207" t="s">
        <v>442</v>
      </c>
      <c r="M188" s="207">
        <v>567</v>
      </c>
      <c r="O188" s="208">
        <v>2013</v>
      </c>
      <c r="Q188" s="208" t="s">
        <v>337</v>
      </c>
      <c r="R188" s="208" t="s">
        <v>588</v>
      </c>
      <c r="S188" s="208" t="s">
        <v>353</v>
      </c>
      <c r="T188" s="208" t="s">
        <v>355</v>
      </c>
      <c r="AA188" s="208">
        <v>1</v>
      </c>
      <c r="AB188" s="208">
        <v>1.8</v>
      </c>
      <c r="AC188" s="208">
        <v>2.5</v>
      </c>
      <c r="AD188" s="208">
        <v>5</v>
      </c>
      <c r="AK188" s="208">
        <v>2.15</v>
      </c>
      <c r="AL188" s="215">
        <v>1.61</v>
      </c>
      <c r="AM188" s="214">
        <v>0.05</v>
      </c>
      <c r="AN188" s="207" t="s">
        <v>644</v>
      </c>
    </row>
    <row r="189" spans="1:44">
      <c r="A189" s="295" t="s">
        <v>986</v>
      </c>
      <c r="B189" s="207" t="s">
        <v>633</v>
      </c>
      <c r="C189" s="207" t="s">
        <v>648</v>
      </c>
      <c r="D189" s="208">
        <v>1000</v>
      </c>
      <c r="E189" s="208">
        <v>100000</v>
      </c>
      <c r="F189" s="208">
        <v>11.4152</v>
      </c>
      <c r="G189" s="208">
        <v>-1.3805000000000001</v>
      </c>
      <c r="H189" s="208">
        <v>0.1139</v>
      </c>
      <c r="I189" s="208">
        <v>0</v>
      </c>
      <c r="J189" s="208">
        <v>0</v>
      </c>
      <c r="K189" s="207" t="s">
        <v>557</v>
      </c>
      <c r="L189" s="207" t="s">
        <v>442</v>
      </c>
      <c r="M189" s="207">
        <v>567</v>
      </c>
      <c r="O189" s="208">
        <v>2013</v>
      </c>
      <c r="Q189" s="208" t="s">
        <v>337</v>
      </c>
      <c r="R189" s="208" t="s">
        <v>588</v>
      </c>
      <c r="S189" s="208" t="s">
        <v>353</v>
      </c>
      <c r="T189" s="208" t="s">
        <v>355</v>
      </c>
      <c r="AA189" s="208">
        <v>1</v>
      </c>
      <c r="AB189" s="208">
        <v>1.8</v>
      </c>
      <c r="AC189" s="208">
        <v>2.5</v>
      </c>
      <c r="AD189" s="208">
        <v>5</v>
      </c>
      <c r="AK189" s="208">
        <v>2.15</v>
      </c>
      <c r="AL189" s="215">
        <v>1.61</v>
      </c>
      <c r="AM189" s="214">
        <v>0.05</v>
      </c>
      <c r="AN189" s="207" t="s">
        <v>644</v>
      </c>
    </row>
    <row r="190" spans="1:44">
      <c r="A190" s="295" t="s">
        <v>986</v>
      </c>
      <c r="B190" s="207" t="s">
        <v>634</v>
      </c>
      <c r="C190" s="207" t="s">
        <v>648</v>
      </c>
      <c r="D190" s="208">
        <v>1000</v>
      </c>
      <c r="E190" s="208">
        <v>100000</v>
      </c>
      <c r="F190" s="208">
        <v>11.4152</v>
      </c>
      <c r="G190" s="208">
        <v>-1.3805000000000001</v>
      </c>
      <c r="H190" s="208">
        <v>0.1139</v>
      </c>
      <c r="I190" s="208">
        <v>0</v>
      </c>
      <c r="J190" s="208">
        <v>0</v>
      </c>
      <c r="K190" s="207" t="s">
        <v>557</v>
      </c>
      <c r="L190" s="207" t="s">
        <v>442</v>
      </c>
      <c r="M190" s="207">
        <v>567</v>
      </c>
      <c r="O190" s="208">
        <v>2013</v>
      </c>
      <c r="Q190" s="208" t="s">
        <v>337</v>
      </c>
      <c r="R190" s="208" t="s">
        <v>588</v>
      </c>
      <c r="S190" s="208" t="s">
        <v>353</v>
      </c>
      <c r="T190" s="208" t="s">
        <v>355</v>
      </c>
      <c r="AA190" s="208">
        <v>1</v>
      </c>
      <c r="AB190" s="208">
        <v>1.8</v>
      </c>
      <c r="AC190" s="208">
        <v>2.5</v>
      </c>
      <c r="AD190" s="208">
        <v>5</v>
      </c>
      <c r="AK190" s="208">
        <v>2.15</v>
      </c>
      <c r="AL190" s="215">
        <v>1.61</v>
      </c>
      <c r="AM190" s="214">
        <v>0.05</v>
      </c>
      <c r="AN190" s="207" t="s">
        <v>644</v>
      </c>
    </row>
    <row r="191" spans="1:44">
      <c r="A191" s="295" t="s">
        <v>986</v>
      </c>
      <c r="B191" s="207" t="s">
        <v>641</v>
      </c>
      <c r="C191" s="207" t="s">
        <v>648</v>
      </c>
      <c r="D191" s="207">
        <v>1000</v>
      </c>
      <c r="E191" s="207">
        <v>20000</v>
      </c>
      <c r="F191">
        <v>12.166700000000001</v>
      </c>
      <c r="G191">
        <v>-1.6407</v>
      </c>
      <c r="H191">
        <v>0.1328</v>
      </c>
      <c r="I191" s="208">
        <v>0</v>
      </c>
      <c r="J191" s="208">
        <v>0</v>
      </c>
      <c r="K191" s="207" t="s">
        <v>557</v>
      </c>
      <c r="L191" s="207" t="s">
        <v>442</v>
      </c>
      <c r="M191" s="207">
        <v>567</v>
      </c>
      <c r="O191" s="208">
        <v>2013</v>
      </c>
      <c r="Q191" s="208" t="s">
        <v>337</v>
      </c>
      <c r="R191" s="208" t="s">
        <v>588</v>
      </c>
      <c r="S191" s="208" t="s">
        <v>353</v>
      </c>
      <c r="T191" s="208" t="s">
        <v>355</v>
      </c>
      <c r="AA191" s="208">
        <v>1</v>
      </c>
      <c r="AB191" s="208">
        <v>1.8</v>
      </c>
      <c r="AC191" s="208">
        <v>2.5</v>
      </c>
      <c r="AD191" s="208">
        <v>5</v>
      </c>
      <c r="AK191" s="208">
        <v>2.15</v>
      </c>
      <c r="AL191" s="215">
        <v>1.61</v>
      </c>
      <c r="AM191" s="214">
        <v>0.05</v>
      </c>
      <c r="AN191" s="207" t="s">
        <v>644</v>
      </c>
    </row>
    <row r="192" spans="1:44">
      <c r="A192" s="295" t="s">
        <v>986</v>
      </c>
      <c r="B192" s="207" t="s">
        <v>635</v>
      </c>
      <c r="C192" s="207" t="s">
        <v>648</v>
      </c>
      <c r="D192" s="208">
        <v>1000</v>
      </c>
      <c r="E192" s="208">
        <v>20000</v>
      </c>
      <c r="F192" s="208">
        <v>12.166700000000001</v>
      </c>
      <c r="G192" s="208">
        <v>-1.6407</v>
      </c>
      <c r="H192" s="208">
        <v>0.1328</v>
      </c>
      <c r="I192" s="208">
        <v>0</v>
      </c>
      <c r="J192" s="208">
        <v>0</v>
      </c>
      <c r="K192" s="207" t="s">
        <v>557</v>
      </c>
      <c r="L192" s="207" t="s">
        <v>442</v>
      </c>
      <c r="M192" s="207">
        <v>567</v>
      </c>
      <c r="O192" s="208">
        <v>2013</v>
      </c>
      <c r="Q192" s="208" t="s">
        <v>337</v>
      </c>
      <c r="R192" s="208" t="s">
        <v>588</v>
      </c>
      <c r="S192" s="208" t="s">
        <v>353</v>
      </c>
      <c r="T192" s="208" t="s">
        <v>355</v>
      </c>
      <c r="AA192" s="208">
        <v>1</v>
      </c>
      <c r="AB192" s="208">
        <v>1.8</v>
      </c>
      <c r="AC192" s="208">
        <v>2.5</v>
      </c>
      <c r="AD192" s="208">
        <v>5</v>
      </c>
      <c r="AK192" s="208">
        <v>2.15</v>
      </c>
      <c r="AL192" s="215">
        <v>1.61</v>
      </c>
      <c r="AM192" s="214">
        <v>0.05</v>
      </c>
      <c r="AN192" s="207" t="s">
        <v>644</v>
      </c>
    </row>
    <row r="193" spans="1:40">
      <c r="A193" s="295" t="s">
        <v>986</v>
      </c>
      <c r="B193" s="207" t="s">
        <v>636</v>
      </c>
      <c r="C193" s="207" t="s">
        <v>648</v>
      </c>
      <c r="D193" s="208">
        <v>1000</v>
      </c>
      <c r="E193" s="208">
        <v>20000</v>
      </c>
      <c r="F193" s="208">
        <v>12.166700000000001</v>
      </c>
      <c r="G193" s="208">
        <v>-1.6407</v>
      </c>
      <c r="H193" s="208">
        <v>0.1328</v>
      </c>
      <c r="I193" s="208">
        <v>0</v>
      </c>
      <c r="J193" s="208">
        <v>0</v>
      </c>
      <c r="K193" s="207" t="s">
        <v>557</v>
      </c>
      <c r="L193" s="207" t="s">
        <v>442</v>
      </c>
      <c r="M193" s="207">
        <v>567</v>
      </c>
      <c r="O193" s="208">
        <v>2013</v>
      </c>
      <c r="Q193" s="208" t="s">
        <v>337</v>
      </c>
      <c r="R193" s="208" t="s">
        <v>588</v>
      </c>
      <c r="S193" s="208" t="s">
        <v>353</v>
      </c>
      <c r="T193" s="208" t="s">
        <v>355</v>
      </c>
      <c r="AA193" s="208">
        <v>1</v>
      </c>
      <c r="AB193" s="208">
        <v>1.8</v>
      </c>
      <c r="AC193" s="208">
        <v>2.5</v>
      </c>
      <c r="AD193" s="208">
        <v>5</v>
      </c>
      <c r="AK193" s="208">
        <v>2.15</v>
      </c>
      <c r="AL193" s="215">
        <v>1.61</v>
      </c>
      <c r="AM193" s="214">
        <v>0.05</v>
      </c>
      <c r="AN193" s="207" t="s">
        <v>644</v>
      </c>
    </row>
    <row r="194" spans="1:40">
      <c r="A194" s="295" t="s">
        <v>986</v>
      </c>
      <c r="B194" s="207" t="s">
        <v>637</v>
      </c>
      <c r="C194" s="207" t="s">
        <v>648</v>
      </c>
      <c r="D194" s="208">
        <v>1000</v>
      </c>
      <c r="E194" s="208">
        <v>20000</v>
      </c>
      <c r="F194" s="208">
        <v>12.166700000000001</v>
      </c>
      <c r="G194" s="208">
        <v>-1.6407</v>
      </c>
      <c r="H194" s="208">
        <v>0.1328</v>
      </c>
      <c r="I194" s="208">
        <v>0</v>
      </c>
      <c r="J194" s="208">
        <v>0</v>
      </c>
      <c r="K194" s="207" t="s">
        <v>557</v>
      </c>
      <c r="L194" s="207" t="s">
        <v>442</v>
      </c>
      <c r="M194" s="207">
        <v>567</v>
      </c>
      <c r="O194" s="208">
        <v>2013</v>
      </c>
      <c r="Q194" s="208" t="s">
        <v>337</v>
      </c>
      <c r="R194" s="208" t="s">
        <v>588</v>
      </c>
      <c r="S194" s="208" t="s">
        <v>353</v>
      </c>
      <c r="T194" s="208" t="s">
        <v>355</v>
      </c>
      <c r="AA194" s="208">
        <v>1</v>
      </c>
      <c r="AB194" s="208">
        <v>1.8</v>
      </c>
      <c r="AC194" s="208">
        <v>2.5</v>
      </c>
      <c r="AD194" s="208">
        <v>5</v>
      </c>
      <c r="AK194" s="208">
        <v>2.15</v>
      </c>
      <c r="AL194" s="215">
        <v>1.61</v>
      </c>
      <c r="AM194" s="214">
        <v>0.05</v>
      </c>
      <c r="AN194" s="207" t="s">
        <v>644</v>
      </c>
    </row>
    <row r="195" spans="1:40">
      <c r="A195" s="295" t="s">
        <v>986</v>
      </c>
      <c r="B195" s="207" t="s">
        <v>642</v>
      </c>
      <c r="C195" s="207" t="s">
        <v>648</v>
      </c>
      <c r="D195" s="207">
        <v>1000</v>
      </c>
      <c r="E195" s="207">
        <v>800000</v>
      </c>
      <c r="F195">
        <v>9.6486999999999998</v>
      </c>
      <c r="G195">
        <v>-0.97565999999999997</v>
      </c>
      <c r="H195">
        <v>8.5319999999999993E-2</v>
      </c>
      <c r="I195" s="208">
        <v>0</v>
      </c>
      <c r="J195" s="208">
        <v>0</v>
      </c>
      <c r="K195" s="207" t="s">
        <v>557</v>
      </c>
      <c r="L195" s="207" t="s">
        <v>442</v>
      </c>
      <c r="M195" s="207">
        <v>567</v>
      </c>
      <c r="O195" s="208">
        <v>2013</v>
      </c>
      <c r="Q195" s="208" t="s">
        <v>337</v>
      </c>
      <c r="R195" s="208" t="s">
        <v>588</v>
      </c>
      <c r="S195" s="208" t="s">
        <v>353</v>
      </c>
      <c r="T195" s="208" t="s">
        <v>355</v>
      </c>
      <c r="AA195" s="208">
        <v>1</v>
      </c>
      <c r="AB195" s="208">
        <v>1.8</v>
      </c>
      <c r="AC195" s="208">
        <v>2.5</v>
      </c>
      <c r="AD195" s="208">
        <v>5</v>
      </c>
      <c r="AK195" s="208">
        <v>2.15</v>
      </c>
      <c r="AL195" s="215">
        <v>1.61</v>
      </c>
      <c r="AM195" s="214">
        <v>0.05</v>
      </c>
      <c r="AN195" s="207" t="s">
        <v>644</v>
      </c>
    </row>
    <row r="196" spans="1:40">
      <c r="A196" s="295" t="s">
        <v>986</v>
      </c>
      <c r="B196" s="207" t="s">
        <v>638</v>
      </c>
      <c r="C196" s="207" t="s">
        <v>648</v>
      </c>
      <c r="D196" s="208">
        <v>1000</v>
      </c>
      <c r="E196" s="208">
        <v>800000</v>
      </c>
      <c r="F196" s="208">
        <v>9.6486999999999998</v>
      </c>
      <c r="G196" s="208">
        <v>-0.97565999999999997</v>
      </c>
      <c r="H196" s="208">
        <v>8.5319999999999993E-2</v>
      </c>
      <c r="I196" s="208">
        <v>0</v>
      </c>
      <c r="J196" s="208">
        <v>0</v>
      </c>
      <c r="K196" s="207" t="s">
        <v>557</v>
      </c>
      <c r="L196" s="207" t="s">
        <v>442</v>
      </c>
      <c r="M196" s="207">
        <v>567</v>
      </c>
      <c r="O196" s="208">
        <v>2013</v>
      </c>
      <c r="Q196" s="208" t="s">
        <v>337</v>
      </c>
      <c r="R196" s="208" t="s">
        <v>588</v>
      </c>
      <c r="S196" s="208" t="s">
        <v>353</v>
      </c>
      <c r="T196" s="208" t="s">
        <v>355</v>
      </c>
      <c r="AA196" s="208">
        <v>1</v>
      </c>
      <c r="AB196" s="208">
        <v>1.8</v>
      </c>
      <c r="AC196" s="208">
        <v>2.5</v>
      </c>
      <c r="AD196" s="208">
        <v>5</v>
      </c>
      <c r="AK196" s="208">
        <v>2.15</v>
      </c>
      <c r="AL196" s="215">
        <v>1.61</v>
      </c>
      <c r="AM196" s="214">
        <v>0.05</v>
      </c>
      <c r="AN196" s="207" t="s">
        <v>644</v>
      </c>
    </row>
    <row r="197" spans="1:40">
      <c r="A197" s="295" t="s">
        <v>986</v>
      </c>
      <c r="B197" s="207" t="s">
        <v>639</v>
      </c>
      <c r="C197" s="207" t="s">
        <v>648</v>
      </c>
      <c r="D197" s="208">
        <v>1000</v>
      </c>
      <c r="E197" s="208">
        <v>800000</v>
      </c>
      <c r="F197" s="208">
        <v>9.6486999999999998</v>
      </c>
      <c r="G197" s="208">
        <v>-0.97565999999999997</v>
      </c>
      <c r="H197" s="208">
        <v>8.5319999999999993E-2</v>
      </c>
      <c r="I197" s="208">
        <v>0</v>
      </c>
      <c r="J197" s="208">
        <v>0</v>
      </c>
      <c r="K197" s="207" t="s">
        <v>557</v>
      </c>
      <c r="L197" s="207" t="s">
        <v>442</v>
      </c>
      <c r="M197" s="207">
        <v>567</v>
      </c>
      <c r="O197" s="208">
        <v>2013</v>
      </c>
      <c r="Q197" s="208" t="s">
        <v>337</v>
      </c>
      <c r="R197" s="208" t="s">
        <v>588</v>
      </c>
      <c r="S197" s="208" t="s">
        <v>353</v>
      </c>
      <c r="T197" s="208" t="s">
        <v>355</v>
      </c>
      <c r="AA197" s="208">
        <v>1</v>
      </c>
      <c r="AB197" s="208">
        <v>1.8</v>
      </c>
      <c r="AC197" s="208">
        <v>2.5</v>
      </c>
      <c r="AD197" s="208">
        <v>5</v>
      </c>
      <c r="AK197" s="208">
        <v>2.15</v>
      </c>
      <c r="AL197" s="215">
        <v>1.61</v>
      </c>
      <c r="AM197" s="214">
        <v>0.05</v>
      </c>
      <c r="AN197" s="207" t="s">
        <v>644</v>
      </c>
    </row>
    <row r="198" spans="1:40">
      <c r="A198" s="295" t="s">
        <v>986</v>
      </c>
      <c r="B198" s="207" t="s">
        <v>643</v>
      </c>
      <c r="C198" s="207" t="s">
        <v>648</v>
      </c>
      <c r="D198" s="207">
        <v>1000</v>
      </c>
      <c r="E198" s="207">
        <v>15000</v>
      </c>
      <c r="F198">
        <v>6.1632800000000003</v>
      </c>
      <c r="G198">
        <v>-0.28634999999999999</v>
      </c>
      <c r="H198">
        <v>4.8660000000000002E-2</v>
      </c>
      <c r="I198" s="208">
        <v>0</v>
      </c>
      <c r="J198" s="208">
        <v>0</v>
      </c>
      <c r="K198" s="207" t="s">
        <v>557</v>
      </c>
      <c r="L198" s="207" t="s">
        <v>442</v>
      </c>
      <c r="M198" s="207">
        <v>567</v>
      </c>
      <c r="O198" s="208">
        <v>2013</v>
      </c>
      <c r="Q198" s="208" t="s">
        <v>337</v>
      </c>
      <c r="R198" s="208" t="s">
        <v>588</v>
      </c>
      <c r="S198" s="208" t="s">
        <v>353</v>
      </c>
      <c r="T198" s="208" t="s">
        <v>355</v>
      </c>
      <c r="AA198" s="208">
        <v>1</v>
      </c>
      <c r="AB198" s="208">
        <v>1.8</v>
      </c>
      <c r="AC198" s="208">
        <v>2.5</v>
      </c>
      <c r="AD198" s="208">
        <v>5</v>
      </c>
      <c r="AK198" s="208">
        <v>2.15</v>
      </c>
      <c r="AL198" s="215">
        <v>1.61</v>
      </c>
      <c r="AM198" s="214">
        <v>0.05</v>
      </c>
      <c r="AN198" s="207" t="s">
        <v>644</v>
      </c>
    </row>
    <row r="199" spans="1:40">
      <c r="A199" s="295" t="s">
        <v>986</v>
      </c>
      <c r="B199" t="s">
        <v>646</v>
      </c>
      <c r="C199" t="s">
        <v>627</v>
      </c>
      <c r="D199">
        <v>5</v>
      </c>
      <c r="E199">
        <v>1000</v>
      </c>
      <c r="F199">
        <v>7.0186999999999999</v>
      </c>
      <c r="G199">
        <v>0.79</v>
      </c>
      <c r="H199">
        <v>0</v>
      </c>
      <c r="I199" s="208">
        <v>0</v>
      </c>
      <c r="J199" s="208">
        <v>0</v>
      </c>
      <c r="K199" s="207" t="s">
        <v>557</v>
      </c>
      <c r="L199" s="207" t="s">
        <v>442</v>
      </c>
      <c r="M199" s="207">
        <v>567</v>
      </c>
      <c r="O199" s="208">
        <v>2013</v>
      </c>
      <c r="Q199" s="29" t="s">
        <v>181</v>
      </c>
      <c r="R199" s="30" t="s">
        <v>337</v>
      </c>
      <c r="S199" s="208" t="s">
        <v>588</v>
      </c>
      <c r="T199" s="208" t="s">
        <v>353</v>
      </c>
      <c r="U199" s="208" t="s">
        <v>355</v>
      </c>
      <c r="V199" s="208"/>
      <c r="AA199" s="30">
        <v>0.6</v>
      </c>
      <c r="AB199" s="208">
        <v>1</v>
      </c>
      <c r="AC199" s="208">
        <v>1.8</v>
      </c>
      <c r="AD199" s="208">
        <v>2.5</v>
      </c>
      <c r="AE199" s="208">
        <v>5</v>
      </c>
      <c r="AF199" s="208"/>
      <c r="AK199" s="208">
        <v>2.15</v>
      </c>
      <c r="AL199" s="30">
        <v>1.49</v>
      </c>
      <c r="AM199" s="30">
        <v>0.1</v>
      </c>
      <c r="AN199" t="s">
        <v>669</v>
      </c>
    </row>
    <row r="200" spans="1:40">
      <c r="A200" s="295" t="s">
        <v>986</v>
      </c>
      <c r="B200" t="s">
        <v>647</v>
      </c>
      <c r="C200" s="207" t="s">
        <v>627</v>
      </c>
      <c r="D200">
        <v>1</v>
      </c>
      <c r="E200">
        <v>1000</v>
      </c>
      <c r="F200">
        <v>7.7175099999999999</v>
      </c>
      <c r="G200">
        <v>0.79320000000000002</v>
      </c>
      <c r="H200">
        <v>-1.29E-2</v>
      </c>
      <c r="I200" s="208">
        <v>0</v>
      </c>
      <c r="J200" s="208">
        <v>0</v>
      </c>
      <c r="K200" s="207" t="s">
        <v>557</v>
      </c>
      <c r="L200" s="207" t="s">
        <v>442</v>
      </c>
      <c r="M200" s="207">
        <v>567</v>
      </c>
      <c r="O200" s="208">
        <v>2013</v>
      </c>
      <c r="Q200" s="208" t="s">
        <v>337</v>
      </c>
      <c r="R200" s="208" t="s">
        <v>588</v>
      </c>
      <c r="S200" s="208" t="s">
        <v>353</v>
      </c>
      <c r="T200" s="208" t="s">
        <v>355</v>
      </c>
      <c r="U200" s="208"/>
      <c r="AA200" s="208">
        <v>1</v>
      </c>
      <c r="AB200" s="208">
        <v>1.8</v>
      </c>
      <c r="AC200" s="208">
        <v>2.5</v>
      </c>
      <c r="AD200" s="208">
        <v>5</v>
      </c>
      <c r="AE200" s="208"/>
      <c r="AK200" s="208">
        <v>2.15</v>
      </c>
      <c r="AL200" s="30">
        <v>1.49</v>
      </c>
      <c r="AM200" s="30">
        <v>0.1</v>
      </c>
      <c r="AN200" s="208" t="s">
        <v>645</v>
      </c>
    </row>
    <row r="201" spans="1:40">
      <c r="A201" s="295" t="s">
        <v>986</v>
      </c>
      <c r="B201" t="s">
        <v>672</v>
      </c>
      <c r="C201" t="s">
        <v>667</v>
      </c>
      <c r="D201" s="208">
        <v>100</v>
      </c>
      <c r="E201" s="208">
        <v>20000</v>
      </c>
      <c r="F201">
        <v>4.6761999999999997</v>
      </c>
      <c r="G201">
        <v>1.23</v>
      </c>
      <c r="H201">
        <v>0</v>
      </c>
      <c r="I201" s="208">
        <v>0</v>
      </c>
      <c r="J201" s="208">
        <v>0</v>
      </c>
      <c r="K201" s="208" t="s">
        <v>557</v>
      </c>
      <c r="L201" s="208" t="s">
        <v>442</v>
      </c>
      <c r="M201" s="208">
        <v>567</v>
      </c>
      <c r="N201" s="208"/>
      <c r="O201" s="208">
        <v>2013</v>
      </c>
      <c r="Q201" s="29" t="s">
        <v>610</v>
      </c>
      <c r="R201" s="30" t="s">
        <v>337</v>
      </c>
      <c r="S201" s="30" t="s">
        <v>353</v>
      </c>
      <c r="T201" s="30" t="s">
        <v>355</v>
      </c>
      <c r="AA201" s="30">
        <v>1</v>
      </c>
      <c r="AB201" s="30">
        <v>1</v>
      </c>
      <c r="AC201" s="30">
        <v>2.5</v>
      </c>
      <c r="AD201" s="30">
        <v>5</v>
      </c>
      <c r="AK201" s="208">
        <v>2.15</v>
      </c>
      <c r="AL201" s="215">
        <v>1.49</v>
      </c>
      <c r="AM201" s="214">
        <v>0.1</v>
      </c>
      <c r="AN201" t="s">
        <v>668</v>
      </c>
    </row>
    <row r="202" spans="1:40">
      <c r="A202" s="295" t="s">
        <v>986</v>
      </c>
      <c r="B202" s="208" t="s">
        <v>673</v>
      </c>
      <c r="C202" s="208" t="s">
        <v>667</v>
      </c>
      <c r="D202" s="208">
        <v>100</v>
      </c>
      <c r="E202" s="208">
        <v>20000</v>
      </c>
      <c r="F202" s="208">
        <v>4.6761999999999997</v>
      </c>
      <c r="G202" s="208">
        <v>1.23</v>
      </c>
      <c r="H202" s="208">
        <v>0</v>
      </c>
      <c r="I202" s="208">
        <v>0</v>
      </c>
      <c r="J202" s="208">
        <v>0</v>
      </c>
      <c r="K202" s="208" t="s">
        <v>557</v>
      </c>
      <c r="L202" s="208" t="s">
        <v>442</v>
      </c>
      <c r="M202" s="208">
        <v>567</v>
      </c>
      <c r="N202" s="208"/>
      <c r="O202" s="208">
        <v>2013</v>
      </c>
      <c r="Q202" s="208" t="s">
        <v>610</v>
      </c>
      <c r="R202" s="208" t="s">
        <v>337</v>
      </c>
      <c r="S202" s="208" t="s">
        <v>353</v>
      </c>
      <c r="T202" s="208" t="s">
        <v>355</v>
      </c>
      <c r="AA202" s="208">
        <v>1.1499999999999999</v>
      </c>
      <c r="AB202" s="208">
        <v>1.1499999999999999</v>
      </c>
      <c r="AC202" s="208">
        <v>2.875</v>
      </c>
      <c r="AD202" s="208">
        <v>5.75</v>
      </c>
      <c r="AK202" s="208">
        <v>2.15</v>
      </c>
      <c r="AL202" s="215">
        <v>1.49</v>
      </c>
      <c r="AM202" s="214">
        <v>0.1</v>
      </c>
      <c r="AN202" s="208" t="s">
        <v>670</v>
      </c>
    </row>
    <row r="203" spans="1:40">
      <c r="A203" s="295" t="s">
        <v>986</v>
      </c>
      <c r="B203" s="208" t="s">
        <v>674</v>
      </c>
      <c r="C203" s="208" t="s">
        <v>667</v>
      </c>
      <c r="D203" s="208">
        <v>100</v>
      </c>
      <c r="E203" s="208">
        <v>20000</v>
      </c>
      <c r="F203" s="208">
        <v>4.6761999999999997</v>
      </c>
      <c r="G203" s="208">
        <v>1.23</v>
      </c>
      <c r="H203" s="208">
        <v>0</v>
      </c>
      <c r="I203" s="208">
        <v>0</v>
      </c>
      <c r="J203" s="208">
        <v>0</v>
      </c>
      <c r="K203" s="208" t="s">
        <v>557</v>
      </c>
      <c r="L203" s="208" t="s">
        <v>442</v>
      </c>
      <c r="M203" s="208">
        <v>567</v>
      </c>
      <c r="N203" s="208"/>
      <c r="O203" s="208">
        <v>2013</v>
      </c>
      <c r="Q203" s="208" t="s">
        <v>610</v>
      </c>
      <c r="R203" s="208" t="s">
        <v>337</v>
      </c>
      <c r="S203" s="208" t="s">
        <v>353</v>
      </c>
      <c r="T203" s="208" t="s">
        <v>355</v>
      </c>
      <c r="AA203" s="208">
        <v>1.25</v>
      </c>
      <c r="AB203" s="208">
        <v>1.25</v>
      </c>
      <c r="AC203" s="208">
        <v>3.125</v>
      </c>
      <c r="AD203" s="208">
        <v>6.25</v>
      </c>
      <c r="AK203" s="208">
        <v>2.15</v>
      </c>
      <c r="AL203" s="215">
        <v>1.49</v>
      </c>
      <c r="AM203" s="214">
        <v>0.1</v>
      </c>
      <c r="AN203" s="208" t="s">
        <v>671</v>
      </c>
    </row>
    <row r="204" spans="1:40">
      <c r="A204" s="295" t="s">
        <v>986</v>
      </c>
      <c r="B204" s="208" t="s">
        <v>675</v>
      </c>
      <c r="C204" s="208" t="s">
        <v>667</v>
      </c>
      <c r="D204" s="208">
        <v>200</v>
      </c>
      <c r="E204" s="208">
        <v>30000</v>
      </c>
      <c r="F204" s="208">
        <v>9.1553000000000004</v>
      </c>
      <c r="G204" s="208">
        <v>0.63</v>
      </c>
      <c r="H204">
        <v>0</v>
      </c>
      <c r="I204" s="208">
        <v>0</v>
      </c>
      <c r="J204" s="208">
        <v>0</v>
      </c>
      <c r="K204" s="208" t="s">
        <v>557</v>
      </c>
      <c r="L204" s="208" t="s">
        <v>442</v>
      </c>
      <c r="M204" s="208">
        <v>567</v>
      </c>
      <c r="N204" s="208"/>
      <c r="O204" s="208">
        <v>2013</v>
      </c>
      <c r="Q204" s="208" t="s">
        <v>610</v>
      </c>
      <c r="R204" s="208" t="s">
        <v>337</v>
      </c>
      <c r="S204" s="208" t="s">
        <v>353</v>
      </c>
      <c r="T204" s="208" t="s">
        <v>355</v>
      </c>
      <c r="AA204" s="208">
        <v>1</v>
      </c>
      <c r="AB204" s="208">
        <v>1</v>
      </c>
      <c r="AC204" s="208">
        <v>2.5</v>
      </c>
      <c r="AD204" s="208">
        <v>5</v>
      </c>
      <c r="AK204" s="208">
        <v>2.15</v>
      </c>
      <c r="AL204" s="215">
        <v>1.49</v>
      </c>
      <c r="AM204" s="214">
        <v>0.1</v>
      </c>
      <c r="AN204" s="208" t="s">
        <v>668</v>
      </c>
    </row>
    <row r="205" spans="1:40">
      <c r="A205" s="295" t="s">
        <v>986</v>
      </c>
      <c r="B205" s="208" t="s">
        <v>676</v>
      </c>
      <c r="C205" s="208" t="s">
        <v>667</v>
      </c>
      <c r="D205" s="208">
        <v>200</v>
      </c>
      <c r="E205" s="208">
        <v>30000</v>
      </c>
      <c r="F205" s="208">
        <v>9.1553000000000004</v>
      </c>
      <c r="G205" s="208">
        <v>0.63</v>
      </c>
      <c r="H205" s="208">
        <v>0</v>
      </c>
      <c r="I205" s="208">
        <v>0</v>
      </c>
      <c r="J205" s="208">
        <v>0</v>
      </c>
      <c r="K205" s="208" t="s">
        <v>557</v>
      </c>
      <c r="L205" s="208" t="s">
        <v>442</v>
      </c>
      <c r="M205" s="208">
        <v>567</v>
      </c>
      <c r="N205" s="208"/>
      <c r="O205" s="208">
        <v>2013</v>
      </c>
      <c r="Q205" s="208" t="s">
        <v>610</v>
      </c>
      <c r="R205" s="208" t="s">
        <v>337</v>
      </c>
      <c r="S205" s="208" t="s">
        <v>353</v>
      </c>
      <c r="T205" s="208" t="s">
        <v>355</v>
      </c>
      <c r="AA205" s="208">
        <v>1.1499999999999999</v>
      </c>
      <c r="AB205" s="208">
        <v>1.1499999999999999</v>
      </c>
      <c r="AC205" s="208">
        <v>2.875</v>
      </c>
      <c r="AD205" s="208">
        <v>5.75</v>
      </c>
      <c r="AK205" s="208">
        <v>2.15</v>
      </c>
      <c r="AL205" s="215">
        <v>1.49</v>
      </c>
      <c r="AM205" s="214">
        <v>0.1</v>
      </c>
      <c r="AN205" s="208" t="s">
        <v>670</v>
      </c>
    </row>
    <row r="206" spans="1:40">
      <c r="A206" s="295" t="s">
        <v>986</v>
      </c>
      <c r="B206" s="208" t="s">
        <v>677</v>
      </c>
      <c r="C206" s="208" t="s">
        <v>667</v>
      </c>
      <c r="D206" s="208">
        <v>200</v>
      </c>
      <c r="E206" s="208">
        <v>30000</v>
      </c>
      <c r="F206" s="208">
        <v>9.1553000000000004</v>
      </c>
      <c r="G206" s="208">
        <v>0.63</v>
      </c>
      <c r="H206" s="208">
        <v>0</v>
      </c>
      <c r="I206" s="208">
        <v>0</v>
      </c>
      <c r="J206" s="208">
        <v>0</v>
      </c>
      <c r="K206" s="208" t="s">
        <v>557</v>
      </c>
      <c r="L206" s="208" t="s">
        <v>442</v>
      </c>
      <c r="M206" s="208">
        <v>567</v>
      </c>
      <c r="N206" s="208"/>
      <c r="O206" s="208">
        <v>2013</v>
      </c>
      <c r="Q206" s="208" t="s">
        <v>610</v>
      </c>
      <c r="R206" s="208" t="s">
        <v>337</v>
      </c>
      <c r="S206" s="208" t="s">
        <v>353</v>
      </c>
      <c r="T206" s="208" t="s">
        <v>355</v>
      </c>
      <c r="AA206" s="208">
        <v>1.25</v>
      </c>
      <c r="AB206" s="208">
        <v>1.25</v>
      </c>
      <c r="AC206" s="208">
        <v>3.125</v>
      </c>
      <c r="AD206" s="208">
        <v>6.25</v>
      </c>
      <c r="AK206" s="208">
        <v>2.15</v>
      </c>
      <c r="AL206" s="215">
        <v>1.49</v>
      </c>
      <c r="AM206" s="214">
        <v>0.1</v>
      </c>
      <c r="AN206" s="208" t="s">
        <v>671</v>
      </c>
    </row>
    <row r="207" spans="1:40">
      <c r="A207" s="295" t="s">
        <v>986</v>
      </c>
      <c r="B207" s="208" t="s">
        <v>678</v>
      </c>
      <c r="C207" s="208" t="s">
        <v>667</v>
      </c>
      <c r="D207" s="208">
        <v>10</v>
      </c>
      <c r="E207" s="208">
        <v>750</v>
      </c>
      <c r="F207">
        <v>8.2495999999999992</v>
      </c>
      <c r="G207">
        <v>0.72430000000000005</v>
      </c>
      <c r="H207">
        <v>0</v>
      </c>
      <c r="I207" s="208">
        <v>0</v>
      </c>
      <c r="J207" s="208">
        <v>0</v>
      </c>
      <c r="K207" s="208" t="s">
        <v>557</v>
      </c>
      <c r="L207" s="208" t="s">
        <v>442</v>
      </c>
      <c r="M207" s="208">
        <v>567</v>
      </c>
      <c r="N207" s="208"/>
      <c r="O207" s="208">
        <v>2013</v>
      </c>
      <c r="Q207" s="208" t="s">
        <v>610</v>
      </c>
      <c r="R207" s="208" t="s">
        <v>337</v>
      </c>
      <c r="S207" s="208" t="s">
        <v>353</v>
      </c>
      <c r="T207" s="208" t="s">
        <v>355</v>
      </c>
      <c r="AA207" s="208">
        <v>1</v>
      </c>
      <c r="AB207" s="208">
        <v>1</v>
      </c>
      <c r="AC207" s="208">
        <v>2.5</v>
      </c>
      <c r="AD207" s="208">
        <v>5</v>
      </c>
      <c r="AK207" s="208">
        <v>2.15</v>
      </c>
      <c r="AL207" s="215">
        <v>1.49</v>
      </c>
      <c r="AM207" s="214">
        <v>0.1</v>
      </c>
      <c r="AN207" s="208" t="s">
        <v>668</v>
      </c>
    </row>
    <row r="208" spans="1:40">
      <c r="A208" s="295" t="s">
        <v>986</v>
      </c>
      <c r="B208" s="208" t="s">
        <v>679</v>
      </c>
      <c r="C208" s="208" t="s">
        <v>667</v>
      </c>
      <c r="D208" s="208">
        <v>10</v>
      </c>
      <c r="E208" s="208">
        <v>750</v>
      </c>
      <c r="F208" s="208">
        <v>8.2495999999999992</v>
      </c>
      <c r="G208" s="208">
        <v>0.72430000000000005</v>
      </c>
      <c r="H208" s="208">
        <v>0</v>
      </c>
      <c r="I208" s="208">
        <v>0</v>
      </c>
      <c r="J208" s="208">
        <v>0</v>
      </c>
      <c r="K208" s="208" t="s">
        <v>557</v>
      </c>
      <c r="L208" s="208" t="s">
        <v>442</v>
      </c>
      <c r="M208" s="208">
        <v>567</v>
      </c>
      <c r="N208" s="208"/>
      <c r="O208" s="208">
        <v>2013</v>
      </c>
      <c r="Q208" s="208" t="s">
        <v>610</v>
      </c>
      <c r="R208" s="208" t="s">
        <v>337</v>
      </c>
      <c r="S208" s="208" t="s">
        <v>353</v>
      </c>
      <c r="T208" s="208" t="s">
        <v>355</v>
      </c>
      <c r="AA208" s="208">
        <v>1.1499999999999999</v>
      </c>
      <c r="AB208" s="208">
        <v>1.1499999999999999</v>
      </c>
      <c r="AC208" s="208">
        <v>2.875</v>
      </c>
      <c r="AD208" s="208">
        <v>5.75</v>
      </c>
      <c r="AK208" s="208">
        <v>2.15</v>
      </c>
      <c r="AL208" s="215">
        <v>1.49</v>
      </c>
      <c r="AM208" s="214">
        <v>0.1</v>
      </c>
      <c r="AN208" s="208" t="s">
        <v>670</v>
      </c>
    </row>
    <row r="209" spans="1:44">
      <c r="A209" s="295" t="s">
        <v>986</v>
      </c>
      <c r="B209" s="208" t="s">
        <v>680</v>
      </c>
      <c r="C209" s="208" t="s">
        <v>667</v>
      </c>
      <c r="D209" s="208">
        <v>10</v>
      </c>
      <c r="E209" s="208">
        <v>750</v>
      </c>
      <c r="F209" s="208">
        <v>8.2495999999999992</v>
      </c>
      <c r="G209" s="208">
        <v>0.72430000000000005</v>
      </c>
      <c r="H209" s="208">
        <v>0</v>
      </c>
      <c r="I209" s="208">
        <v>0</v>
      </c>
      <c r="J209" s="208">
        <v>0</v>
      </c>
      <c r="K209" s="208" t="s">
        <v>557</v>
      </c>
      <c r="L209" s="208" t="s">
        <v>442</v>
      </c>
      <c r="M209" s="208">
        <v>567</v>
      </c>
      <c r="N209" s="208"/>
      <c r="O209" s="208">
        <v>2013</v>
      </c>
      <c r="Q209" s="208" t="s">
        <v>610</v>
      </c>
      <c r="R209" s="208" t="s">
        <v>337</v>
      </c>
      <c r="S209" s="208" t="s">
        <v>353</v>
      </c>
      <c r="T209" s="208" t="s">
        <v>355</v>
      </c>
      <c r="AA209" s="208">
        <v>1.25</v>
      </c>
      <c r="AB209" s="208">
        <v>1.25</v>
      </c>
      <c r="AC209" s="208">
        <v>3.125</v>
      </c>
      <c r="AD209" s="208">
        <v>6.25</v>
      </c>
      <c r="AK209" s="208">
        <v>2.15</v>
      </c>
      <c r="AL209" s="215">
        <v>1.49</v>
      </c>
      <c r="AM209" s="214">
        <v>0.1</v>
      </c>
      <c r="AN209" s="208" t="s">
        <v>671</v>
      </c>
    </row>
    <row r="210" spans="1:44" s="209" customFormat="1">
      <c r="AR210" s="217"/>
    </row>
    <row r="211" spans="1:44" s="29" customFormat="1">
      <c r="B211" s="29" t="s">
        <v>743</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743</v>
      </c>
      <c r="B212" s="29" t="s">
        <v>234</v>
      </c>
      <c r="C212" s="29" t="s">
        <v>235</v>
      </c>
      <c r="D212" s="29">
        <v>200</v>
      </c>
      <c r="E212" s="29">
        <v>5000</v>
      </c>
      <c r="F212" s="29">
        <v>4450</v>
      </c>
      <c r="G212" s="29">
        <v>57</v>
      </c>
      <c r="H212" s="29">
        <v>0.8</v>
      </c>
      <c r="I212" s="207"/>
      <c r="J212" s="207"/>
      <c r="K212" s="29" t="s">
        <v>297</v>
      </c>
      <c r="L212" s="200" t="s">
        <v>443</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743</v>
      </c>
      <c r="B213" s="29" t="s">
        <v>236</v>
      </c>
      <c r="C213" s="29" t="s">
        <v>225</v>
      </c>
      <c r="D213" s="29">
        <v>75</v>
      </c>
      <c r="E213" s="29">
        <v>30000</v>
      </c>
      <c r="F213" s="29">
        <v>580000</v>
      </c>
      <c r="G213" s="29">
        <v>20000</v>
      </c>
      <c r="H213" s="29">
        <v>0.6</v>
      </c>
      <c r="I213" s="207"/>
      <c r="J213" s="207"/>
      <c r="K213" s="29" t="s">
        <v>297</v>
      </c>
      <c r="L213" s="200" t="s">
        <v>443</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743</v>
      </c>
      <c r="B214" s="29" t="s">
        <v>237</v>
      </c>
      <c r="C214" s="29" t="s">
        <v>225</v>
      </c>
      <c r="D214" s="29">
        <v>93</v>
      </c>
      <c r="E214" s="29">
        <v>16800</v>
      </c>
      <c r="F214" s="29">
        <v>260000</v>
      </c>
      <c r="G214" s="29">
        <v>2700</v>
      </c>
      <c r="H214" s="29">
        <v>0.75</v>
      </c>
      <c r="I214" s="207"/>
      <c r="J214" s="207"/>
      <c r="K214" s="29" t="s">
        <v>297</v>
      </c>
      <c r="L214" s="200" t="s">
        <v>443</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743</v>
      </c>
      <c r="B215" s="29" t="s">
        <v>274</v>
      </c>
      <c r="C215" s="29" t="s">
        <v>275</v>
      </c>
      <c r="D215" s="29">
        <v>0.2</v>
      </c>
      <c r="E215" s="29">
        <v>126</v>
      </c>
      <c r="F215" s="29">
        <v>8000</v>
      </c>
      <c r="G215" s="29">
        <v>240</v>
      </c>
      <c r="H215" s="29">
        <v>0.9</v>
      </c>
      <c r="I215" s="207"/>
      <c r="J215" s="207"/>
      <c r="K215" s="29" t="s">
        <v>297</v>
      </c>
      <c r="L215" s="200" t="s">
        <v>443</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743</v>
      </c>
      <c r="B216" s="29" t="s">
        <v>276</v>
      </c>
      <c r="C216" s="29" t="s">
        <v>233</v>
      </c>
      <c r="D216" s="29">
        <v>1</v>
      </c>
      <c r="E216" s="29">
        <v>2500</v>
      </c>
      <c r="F216" s="29">
        <v>-1100</v>
      </c>
      <c r="G216" s="29">
        <v>2100</v>
      </c>
      <c r="H216" s="29">
        <v>0.6</v>
      </c>
      <c r="I216" s="207"/>
      <c r="J216" s="207"/>
      <c r="K216" s="29" t="s">
        <v>297</v>
      </c>
      <c r="L216" s="200" t="s">
        <v>443</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743</v>
      </c>
      <c r="B217" s="29" t="s">
        <v>277</v>
      </c>
      <c r="C217" s="29" t="s">
        <v>233</v>
      </c>
      <c r="D217" s="29">
        <v>100</v>
      </c>
      <c r="E217" s="29">
        <v>20000</v>
      </c>
      <c r="F217" s="29">
        <v>-14000</v>
      </c>
      <c r="G217" s="29">
        <v>1900</v>
      </c>
      <c r="H217" s="29">
        <v>0.75</v>
      </c>
      <c r="I217" s="207"/>
      <c r="J217" s="207"/>
      <c r="K217" s="29" t="s">
        <v>297</v>
      </c>
      <c r="L217" s="200" t="s">
        <v>443</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772</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772</v>
      </c>
      <c r="B220" s="29" t="s">
        <v>278</v>
      </c>
      <c r="C220" s="29" t="s">
        <v>279</v>
      </c>
      <c r="D220" s="29">
        <v>0.5</v>
      </c>
      <c r="E220" s="29">
        <v>100</v>
      </c>
      <c r="F220" s="29">
        <v>61500</v>
      </c>
      <c r="G220" s="29">
        <v>32500</v>
      </c>
      <c r="H220" s="29">
        <v>0.8</v>
      </c>
      <c r="I220" s="207"/>
      <c r="J220" s="207"/>
      <c r="K220" s="29" t="s">
        <v>297</v>
      </c>
      <c r="L220" s="200" t="s">
        <v>443</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1719</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772</v>
      </c>
      <c r="B221" s="29" t="s">
        <v>280</v>
      </c>
      <c r="C221" s="29" t="s">
        <v>279</v>
      </c>
      <c r="D221" s="29">
        <v>0.5</v>
      </c>
      <c r="E221" s="29">
        <v>25</v>
      </c>
      <c r="F221" s="29">
        <v>12800</v>
      </c>
      <c r="G221" s="29">
        <v>88200</v>
      </c>
      <c r="H221" s="29">
        <v>0.4</v>
      </c>
      <c r="I221" s="207"/>
      <c r="J221" s="207"/>
      <c r="K221" s="29" t="s">
        <v>297</v>
      </c>
      <c r="L221" s="200" t="s">
        <v>443</v>
      </c>
      <c r="M221" s="29">
        <v>532.9</v>
      </c>
      <c r="N221" s="29">
        <v>2281.6</v>
      </c>
      <c r="O221" s="29">
        <v>2010</v>
      </c>
      <c r="Q221" s="31" t="s">
        <v>755</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526</v>
      </c>
      <c r="P223" s="208"/>
    </row>
    <row r="224" spans="1:44">
      <c r="A224" t="s">
        <v>526</v>
      </c>
      <c r="B224" t="s">
        <v>527</v>
      </c>
      <c r="C224" t="s">
        <v>531</v>
      </c>
      <c r="D224">
        <v>6</v>
      </c>
      <c r="E224">
        <v>40</v>
      </c>
      <c r="F224">
        <v>0</v>
      </c>
      <c r="G224">
        <v>6575</v>
      </c>
      <c r="H224">
        <v>0.34</v>
      </c>
      <c r="K224" s="203" t="s">
        <v>297</v>
      </c>
      <c r="L224" s="203" t="s">
        <v>442</v>
      </c>
      <c r="M224" s="31">
        <v>567</v>
      </c>
      <c r="N224" s="31"/>
      <c r="O224" s="31">
        <v>2013</v>
      </c>
      <c r="P224" s="208" t="s">
        <v>337</v>
      </c>
      <c r="Q224" s="208" t="s">
        <v>337</v>
      </c>
      <c r="R224" s="208" t="s">
        <v>180</v>
      </c>
      <c r="S224" s="208" t="s">
        <v>353</v>
      </c>
      <c r="T224" s="208" t="s">
        <v>179</v>
      </c>
      <c r="U224" s="208" t="s">
        <v>344</v>
      </c>
      <c r="V224" s="208" t="s">
        <v>713</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526</v>
      </c>
      <c r="B225" t="s">
        <v>528</v>
      </c>
      <c r="C225" s="203" t="s">
        <v>531</v>
      </c>
      <c r="D225">
        <v>32</v>
      </c>
      <c r="E225">
        <v>60</v>
      </c>
      <c r="F225">
        <v>0</v>
      </c>
      <c r="G225">
        <v>1588</v>
      </c>
      <c r="H225">
        <v>0.71</v>
      </c>
      <c r="K225" s="203" t="s">
        <v>297</v>
      </c>
      <c r="L225" s="203" t="s">
        <v>442</v>
      </c>
      <c r="M225" s="31">
        <v>567</v>
      </c>
      <c r="N225" s="31"/>
      <c r="O225" s="31">
        <v>2013</v>
      </c>
      <c r="P225" s="208" t="s">
        <v>337</v>
      </c>
      <c r="Q225" s="208" t="s">
        <v>337</v>
      </c>
      <c r="R225" s="208" t="s">
        <v>180</v>
      </c>
      <c r="S225" s="208" t="s">
        <v>353</v>
      </c>
      <c r="T225" s="208" t="s">
        <v>179</v>
      </c>
      <c r="U225" s="208" t="s">
        <v>344</v>
      </c>
      <c r="V225" s="208" t="s">
        <v>713</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526</v>
      </c>
      <c r="B226" s="203" t="s">
        <v>529</v>
      </c>
      <c r="C226" s="203" t="s">
        <v>531</v>
      </c>
      <c r="D226">
        <v>32</v>
      </c>
      <c r="E226">
        <v>192</v>
      </c>
      <c r="F226">
        <v>0</v>
      </c>
      <c r="G226">
        <v>1395</v>
      </c>
      <c r="H226">
        <v>0.78</v>
      </c>
      <c r="K226" s="203" t="s">
        <v>297</v>
      </c>
      <c r="L226" s="203" t="s">
        <v>442</v>
      </c>
      <c r="M226" s="31">
        <v>567</v>
      </c>
      <c r="N226" s="31"/>
      <c r="O226" s="31">
        <v>2013</v>
      </c>
      <c r="P226" s="208" t="s">
        <v>337</v>
      </c>
      <c r="Q226" s="208" t="s">
        <v>337</v>
      </c>
      <c r="R226" s="208" t="s">
        <v>180</v>
      </c>
      <c r="S226" s="208" t="s">
        <v>353</v>
      </c>
      <c r="T226" s="208" t="s">
        <v>179</v>
      </c>
      <c r="U226" s="208" t="s">
        <v>344</v>
      </c>
      <c r="V226" s="208" t="s">
        <v>713</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526</v>
      </c>
      <c r="B227" s="203" t="s">
        <v>530</v>
      </c>
      <c r="C227" s="203" t="s">
        <v>531</v>
      </c>
      <c r="D227">
        <v>48</v>
      </c>
      <c r="E227">
        <v>192</v>
      </c>
      <c r="F227">
        <v>0</v>
      </c>
      <c r="G227">
        <v>1010</v>
      </c>
      <c r="H227">
        <v>0.91</v>
      </c>
      <c r="K227" s="203" t="s">
        <v>297</v>
      </c>
      <c r="L227" s="203" t="s">
        <v>442</v>
      </c>
      <c r="M227" s="31">
        <v>567</v>
      </c>
      <c r="N227" s="31"/>
      <c r="O227" s="31">
        <v>2013</v>
      </c>
      <c r="P227" s="208" t="s">
        <v>337</v>
      </c>
      <c r="Q227" s="208" t="s">
        <v>337</v>
      </c>
      <c r="R227" s="208" t="s">
        <v>180</v>
      </c>
      <c r="S227" s="208" t="s">
        <v>353</v>
      </c>
      <c r="T227" s="208" t="s">
        <v>179</v>
      </c>
      <c r="U227" s="208" t="s">
        <v>344</v>
      </c>
      <c r="V227" s="208" t="s">
        <v>713</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746</v>
      </c>
    </row>
    <row r="230" spans="1:40">
      <c r="A230" t="s">
        <v>985</v>
      </c>
      <c r="B230" t="s">
        <v>532</v>
      </c>
      <c r="C230" t="s">
        <v>539</v>
      </c>
      <c r="D230">
        <v>800</v>
      </c>
      <c r="E230">
        <v>80000</v>
      </c>
      <c r="F230">
        <v>10.858700000000001</v>
      </c>
      <c r="G230">
        <v>-0.49149999999999999</v>
      </c>
      <c r="H230">
        <v>3.6479999999999999E-2</v>
      </c>
      <c r="I230" s="208">
        <v>0</v>
      </c>
      <c r="J230" s="208">
        <v>0</v>
      </c>
      <c r="K230" s="204" t="s">
        <v>557</v>
      </c>
      <c r="L230" s="203" t="s">
        <v>442</v>
      </c>
      <c r="M230" s="31">
        <v>567</v>
      </c>
      <c r="N230" s="31"/>
      <c r="O230" s="31">
        <v>2013</v>
      </c>
      <c r="P230" s="203"/>
      <c r="Q230" s="208" t="s">
        <v>337</v>
      </c>
      <c r="R230" s="208" t="s">
        <v>180</v>
      </c>
      <c r="S230" s="208" t="s">
        <v>353</v>
      </c>
      <c r="T230" s="208" t="s">
        <v>179</v>
      </c>
      <c r="U230" s="208" t="s">
        <v>344</v>
      </c>
      <c r="V230" s="208" t="s">
        <v>713</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509</v>
      </c>
    </row>
    <row r="231" spans="1:40">
      <c r="A231" s="295" t="s">
        <v>985</v>
      </c>
      <c r="B231" t="s">
        <v>533</v>
      </c>
      <c r="C231" s="203" t="s">
        <v>539</v>
      </c>
      <c r="D231">
        <v>800</v>
      </c>
      <c r="E231">
        <v>240000</v>
      </c>
      <c r="F231">
        <v>11.5525</v>
      </c>
      <c r="G231">
        <v>-0.59809999999999997</v>
      </c>
      <c r="H231">
        <v>4.4510000000000001E-2</v>
      </c>
      <c r="I231" s="208">
        <v>0</v>
      </c>
      <c r="J231" s="208">
        <v>0</v>
      </c>
      <c r="K231" s="204" t="s">
        <v>557</v>
      </c>
      <c r="L231" s="203" t="s">
        <v>442</v>
      </c>
      <c r="M231" s="31">
        <v>567</v>
      </c>
      <c r="N231" s="31"/>
      <c r="O231" s="31">
        <v>2013</v>
      </c>
      <c r="P231" s="203"/>
      <c r="Q231" s="208" t="s">
        <v>337</v>
      </c>
      <c r="R231" s="208" t="s">
        <v>180</v>
      </c>
      <c r="S231" s="208" t="s">
        <v>353</v>
      </c>
      <c r="T231" s="208" t="s">
        <v>179</v>
      </c>
      <c r="U231" s="208" t="s">
        <v>344</v>
      </c>
      <c r="V231" s="208" t="s">
        <v>713</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509</v>
      </c>
    </row>
    <row r="232" spans="1:40">
      <c r="A232" s="295" t="s">
        <v>985</v>
      </c>
      <c r="B232" t="s">
        <v>534</v>
      </c>
      <c r="C232" s="203" t="s">
        <v>539</v>
      </c>
      <c r="D232">
        <v>800</v>
      </c>
      <c r="E232">
        <v>80000</v>
      </c>
      <c r="F232">
        <v>0</v>
      </c>
      <c r="G232">
        <v>7938</v>
      </c>
      <c r="H232">
        <v>0.11</v>
      </c>
      <c r="K232" s="203" t="s">
        <v>297</v>
      </c>
      <c r="L232" s="203" t="s">
        <v>442</v>
      </c>
      <c r="M232" s="31">
        <v>567</v>
      </c>
      <c r="N232" s="31"/>
      <c r="O232" s="31">
        <v>2013</v>
      </c>
      <c r="P232" s="203"/>
      <c r="Q232" s="208" t="s">
        <v>337</v>
      </c>
      <c r="R232" s="208" t="s">
        <v>180</v>
      </c>
      <c r="S232" s="208" t="s">
        <v>353</v>
      </c>
      <c r="T232" s="208" t="s">
        <v>179</v>
      </c>
      <c r="U232" s="208" t="s">
        <v>344</v>
      </c>
      <c r="V232" s="208" t="s">
        <v>713</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985</v>
      </c>
      <c r="B233" t="s">
        <v>535</v>
      </c>
      <c r="C233" s="203" t="s">
        <v>539</v>
      </c>
      <c r="D233">
        <v>80</v>
      </c>
      <c r="E233">
        <v>40000</v>
      </c>
      <c r="F233">
        <v>9.6126000000000005</v>
      </c>
      <c r="G233">
        <v>-1.453E-2</v>
      </c>
      <c r="H233">
        <v>1.0189999999999999E-2</v>
      </c>
      <c r="I233" s="208">
        <v>0</v>
      </c>
      <c r="J233" s="208">
        <v>0</v>
      </c>
      <c r="K233" s="204" t="s">
        <v>557</v>
      </c>
      <c r="L233" s="203" t="s">
        <v>442</v>
      </c>
      <c r="M233" s="31">
        <v>567</v>
      </c>
      <c r="N233" s="31"/>
      <c r="O233" s="31">
        <v>2013</v>
      </c>
      <c r="P233" s="203"/>
      <c r="Q233" s="208" t="s">
        <v>337</v>
      </c>
      <c r="R233" s="208" t="s">
        <v>180</v>
      </c>
      <c r="S233" s="208" t="s">
        <v>353</v>
      </c>
      <c r="T233" s="208" t="s">
        <v>179</v>
      </c>
      <c r="U233" s="208" t="s">
        <v>344</v>
      </c>
      <c r="V233" s="208" t="s">
        <v>713</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509</v>
      </c>
    </row>
    <row r="234" spans="1:40">
      <c r="A234" s="295" t="s">
        <v>985</v>
      </c>
      <c r="B234" t="s">
        <v>536</v>
      </c>
      <c r="C234" s="203" t="s">
        <v>539</v>
      </c>
      <c r="D234">
        <v>8</v>
      </c>
      <c r="E234">
        <v>800</v>
      </c>
      <c r="F234">
        <v>10.9186</v>
      </c>
      <c r="G234">
        <v>0</v>
      </c>
      <c r="H234">
        <v>2.0990000000000002E-2</v>
      </c>
      <c r="I234" s="208">
        <v>0</v>
      </c>
      <c r="J234" s="208">
        <v>0</v>
      </c>
      <c r="K234" s="204" t="s">
        <v>557</v>
      </c>
      <c r="L234" s="203" t="s">
        <v>442</v>
      </c>
      <c r="M234" s="31">
        <v>567</v>
      </c>
      <c r="N234" s="31"/>
      <c r="O234" s="31">
        <v>2013</v>
      </c>
      <c r="P234" s="203"/>
      <c r="Q234" s="208" t="s">
        <v>337</v>
      </c>
      <c r="R234" s="208" t="s">
        <v>180</v>
      </c>
      <c r="S234" s="208" t="s">
        <v>353</v>
      </c>
      <c r="T234" s="208" t="s">
        <v>179</v>
      </c>
      <c r="U234" s="208" t="s">
        <v>344</v>
      </c>
      <c r="V234" s="208" t="s">
        <v>713</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509</v>
      </c>
    </row>
    <row r="235" spans="1:40">
      <c r="A235" s="295" t="s">
        <v>985</v>
      </c>
      <c r="B235" t="s">
        <v>537</v>
      </c>
      <c r="C235" s="203" t="s">
        <v>539</v>
      </c>
      <c r="D235">
        <v>8000</v>
      </c>
      <c r="E235">
        <v>140000</v>
      </c>
      <c r="F235">
        <v>0</v>
      </c>
      <c r="G235">
        <v>130</v>
      </c>
      <c r="H235">
        <v>0.59</v>
      </c>
      <c r="K235" s="203" t="s">
        <v>297</v>
      </c>
      <c r="L235" s="203" t="s">
        <v>442</v>
      </c>
      <c r="M235" s="31">
        <v>567</v>
      </c>
      <c r="N235" s="31"/>
      <c r="O235" s="31">
        <v>2013</v>
      </c>
      <c r="P235" s="203"/>
      <c r="Q235" s="208" t="s">
        <v>337</v>
      </c>
      <c r="R235" s="208" t="s">
        <v>180</v>
      </c>
      <c r="S235" s="208" t="s">
        <v>353</v>
      </c>
      <c r="T235" s="208" t="s">
        <v>179</v>
      </c>
      <c r="U235" s="208" t="s">
        <v>344</v>
      </c>
      <c r="V235" s="208" t="s">
        <v>713</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985</v>
      </c>
      <c r="B236" t="s">
        <v>538</v>
      </c>
      <c r="C236" s="203" t="s">
        <v>539</v>
      </c>
      <c r="D236">
        <v>800</v>
      </c>
      <c r="E236">
        <v>8000</v>
      </c>
      <c r="F236">
        <v>9.2827999999999999</v>
      </c>
      <c r="G236">
        <v>0.105</v>
      </c>
      <c r="H236">
        <v>1.8849999999999999E-2</v>
      </c>
      <c r="I236" s="207">
        <v>0</v>
      </c>
      <c r="J236" s="207">
        <v>0</v>
      </c>
      <c r="K236" s="204" t="s">
        <v>557</v>
      </c>
      <c r="L236" s="203" t="s">
        <v>442</v>
      </c>
      <c r="M236" s="31">
        <v>567</v>
      </c>
      <c r="N236" s="31"/>
      <c r="O236" s="31">
        <v>2013</v>
      </c>
      <c r="P236" s="203"/>
      <c r="Q236" s="208" t="s">
        <v>337</v>
      </c>
      <c r="R236" s="208" t="s">
        <v>180</v>
      </c>
      <c r="S236" s="208" t="s">
        <v>353</v>
      </c>
      <c r="T236" s="208" t="s">
        <v>179</v>
      </c>
      <c r="U236" s="208" t="s">
        <v>344</v>
      </c>
      <c r="V236" s="208" t="s">
        <v>713</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509</v>
      </c>
    </row>
    <row r="237" spans="1:40">
      <c r="M237" s="31"/>
      <c r="N237" s="31"/>
      <c r="O237" s="31"/>
    </row>
    <row r="238" spans="1:40">
      <c r="B238" t="s">
        <v>747</v>
      </c>
      <c r="M238" s="31"/>
      <c r="N238" s="31"/>
      <c r="O238" s="31"/>
    </row>
    <row r="239" spans="1:40">
      <c r="A239" s="295" t="s">
        <v>747</v>
      </c>
      <c r="B239" t="s">
        <v>540</v>
      </c>
      <c r="C239" t="s">
        <v>541</v>
      </c>
      <c r="D239">
        <v>25</v>
      </c>
      <c r="E239">
        <v>1200</v>
      </c>
      <c r="F239">
        <v>0</v>
      </c>
      <c r="G239">
        <v>11910</v>
      </c>
      <c r="H239">
        <v>0.6</v>
      </c>
      <c r="K239" s="204" t="s">
        <v>297</v>
      </c>
      <c r="L239" s="204" t="s">
        <v>442</v>
      </c>
      <c r="M239" s="31">
        <v>567</v>
      </c>
      <c r="N239" s="31"/>
      <c r="O239" s="31">
        <v>2013</v>
      </c>
      <c r="Q239" s="208" t="s">
        <v>337</v>
      </c>
      <c r="R239" s="208" t="s">
        <v>180</v>
      </c>
      <c r="S239" s="208" t="s">
        <v>353</v>
      </c>
      <c r="T239" s="208" t="s">
        <v>179</v>
      </c>
      <c r="U239" s="208" t="s">
        <v>344</v>
      </c>
      <c r="V239" s="208" t="s">
        <v>713</v>
      </c>
      <c r="W239" s="208" t="s">
        <v>356</v>
      </c>
      <c r="X239" s="208"/>
      <c r="Y239" s="208"/>
      <c r="AA239" s="208">
        <v>1</v>
      </c>
      <c r="AB239" s="208">
        <v>1.2</v>
      </c>
      <c r="AC239" s="208">
        <v>2</v>
      </c>
      <c r="AD239" s="208">
        <v>2.5</v>
      </c>
      <c r="AE239" s="208">
        <v>2.7</v>
      </c>
      <c r="AF239" s="208">
        <v>3</v>
      </c>
      <c r="AG239" s="208">
        <v>6</v>
      </c>
      <c r="AK239" s="208">
        <v>1.39</v>
      </c>
      <c r="AL239" s="30">
        <v>1.83</v>
      </c>
      <c r="AM239" s="30">
        <v>0.45</v>
      </c>
      <c r="AN239" t="s">
        <v>719</v>
      </c>
    </row>
    <row r="240" spans="1:40">
      <c r="A240" s="295" t="s">
        <v>747</v>
      </c>
      <c r="B240" t="s">
        <v>542</v>
      </c>
      <c r="C240" s="204" t="s">
        <v>541</v>
      </c>
      <c r="D240">
        <v>10</v>
      </c>
      <c r="E240">
        <v>200</v>
      </c>
      <c r="F240">
        <v>0</v>
      </c>
      <c r="G240">
        <v>2610</v>
      </c>
      <c r="H240">
        <v>0.89</v>
      </c>
      <c r="K240" s="204" t="s">
        <v>297</v>
      </c>
      <c r="L240" s="204" t="s">
        <v>442</v>
      </c>
      <c r="M240" s="31">
        <v>567</v>
      </c>
      <c r="N240" s="31"/>
      <c r="O240" s="31">
        <v>2013</v>
      </c>
      <c r="Q240" s="208" t="s">
        <v>337</v>
      </c>
      <c r="R240" s="208" t="s">
        <v>180</v>
      </c>
      <c r="S240" s="208" t="s">
        <v>353</v>
      </c>
      <c r="T240" s="208" t="s">
        <v>179</v>
      </c>
      <c r="U240" s="208" t="s">
        <v>344</v>
      </c>
      <c r="V240" s="208" t="s">
        <v>713</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720</v>
      </c>
    </row>
    <row r="241" spans="1:44">
      <c r="A241" s="295" t="s">
        <v>747</v>
      </c>
      <c r="B241" t="s">
        <v>543</v>
      </c>
      <c r="C241" s="204" t="s">
        <v>541</v>
      </c>
      <c r="D241">
        <v>20</v>
      </c>
      <c r="E241">
        <v>300</v>
      </c>
      <c r="F241">
        <v>0</v>
      </c>
      <c r="G241">
        <v>2041</v>
      </c>
      <c r="H241">
        <v>1.05</v>
      </c>
      <c r="K241" s="204" t="s">
        <v>297</v>
      </c>
      <c r="L241" s="204" t="s">
        <v>442</v>
      </c>
      <c r="M241" s="31">
        <v>567</v>
      </c>
      <c r="N241" s="31"/>
      <c r="O241" s="31">
        <v>2013</v>
      </c>
      <c r="Q241" s="208" t="s">
        <v>337</v>
      </c>
      <c r="R241" s="208" t="s">
        <v>180</v>
      </c>
      <c r="S241" s="208" t="s">
        <v>353</v>
      </c>
      <c r="T241" s="208" t="s">
        <v>179</v>
      </c>
      <c r="U241" s="208" t="s">
        <v>344</v>
      </c>
      <c r="V241" s="208" t="s">
        <v>713</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721</v>
      </c>
    </row>
    <row r="242" spans="1:44">
      <c r="A242" s="295" t="s">
        <v>747</v>
      </c>
      <c r="B242" t="s">
        <v>544</v>
      </c>
      <c r="C242" s="204" t="s">
        <v>541</v>
      </c>
      <c r="D242">
        <v>2</v>
      </c>
      <c r="E242">
        <v>200</v>
      </c>
      <c r="F242">
        <v>0</v>
      </c>
      <c r="G242">
        <v>4310</v>
      </c>
      <c r="H242">
        <v>0.78</v>
      </c>
      <c r="K242" s="204" t="s">
        <v>297</v>
      </c>
      <c r="L242" s="204" t="s">
        <v>442</v>
      </c>
      <c r="M242" s="31">
        <v>567</v>
      </c>
      <c r="N242" s="31"/>
      <c r="O242" s="31">
        <v>2013</v>
      </c>
      <c r="Q242" s="208" t="s">
        <v>337</v>
      </c>
      <c r="R242" s="208" t="s">
        <v>180</v>
      </c>
      <c r="S242" s="208" t="s">
        <v>353</v>
      </c>
      <c r="T242" s="208" t="s">
        <v>179</v>
      </c>
      <c r="U242" s="208" t="s">
        <v>344</v>
      </c>
      <c r="V242" s="208" t="s">
        <v>713</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722</v>
      </c>
    </row>
    <row r="243" spans="1:44">
      <c r="A243" s="295" t="s">
        <v>747</v>
      </c>
      <c r="B243" t="s">
        <v>545</v>
      </c>
      <c r="C243" s="204" t="s">
        <v>541</v>
      </c>
      <c r="D243">
        <v>1</v>
      </c>
      <c r="E243">
        <v>30</v>
      </c>
      <c r="F243">
        <v>0</v>
      </c>
      <c r="G243" s="204">
        <v>64640</v>
      </c>
      <c r="H243" s="204">
        <v>0.69</v>
      </c>
      <c r="K243" s="204" t="s">
        <v>297</v>
      </c>
      <c r="L243" s="204" t="s">
        <v>442</v>
      </c>
      <c r="M243" s="31">
        <v>567</v>
      </c>
      <c r="N243" s="31"/>
      <c r="O243" s="31">
        <v>2013</v>
      </c>
      <c r="Q243" s="208" t="s">
        <v>337</v>
      </c>
      <c r="R243" s="208" t="s">
        <v>180</v>
      </c>
      <c r="S243" s="208" t="s">
        <v>353</v>
      </c>
      <c r="T243" s="208" t="s">
        <v>179</v>
      </c>
      <c r="U243" s="208" t="s">
        <v>344</v>
      </c>
      <c r="V243" s="208" t="s">
        <v>713</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723</v>
      </c>
    </row>
    <row r="244" spans="1:44">
      <c r="A244" s="295" t="s">
        <v>747</v>
      </c>
      <c r="B244" t="s">
        <v>546</v>
      </c>
      <c r="C244" s="204" t="s">
        <v>541</v>
      </c>
      <c r="D244">
        <v>1</v>
      </c>
      <c r="E244">
        <v>5</v>
      </c>
      <c r="F244">
        <v>0</v>
      </c>
      <c r="G244">
        <v>38560</v>
      </c>
      <c r="H244">
        <v>0.39</v>
      </c>
      <c r="K244" s="204" t="s">
        <v>297</v>
      </c>
      <c r="L244" s="204" t="s">
        <v>442</v>
      </c>
      <c r="M244" s="31">
        <v>567</v>
      </c>
      <c r="N244" s="31"/>
      <c r="O244" s="31">
        <v>2013</v>
      </c>
      <c r="Q244" s="208" t="s">
        <v>337</v>
      </c>
      <c r="R244" s="208" t="s">
        <v>180</v>
      </c>
      <c r="S244" s="208" t="s">
        <v>353</v>
      </c>
      <c r="T244" s="208" t="s">
        <v>179</v>
      </c>
      <c r="U244" s="208" t="s">
        <v>344</v>
      </c>
      <c r="V244" s="208" t="s">
        <v>713</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724</v>
      </c>
    </row>
    <row r="245" spans="1:44" s="214" customFormat="1">
      <c r="M245" s="31"/>
      <c r="N245" s="31"/>
      <c r="O245" s="31"/>
      <c r="AR245" s="217"/>
    </row>
    <row r="246" spans="1:44" s="214" customFormat="1">
      <c r="B246" s="214" t="s">
        <v>793</v>
      </c>
      <c r="M246" s="31"/>
      <c r="N246" s="31"/>
      <c r="O246" s="31"/>
      <c r="AR246" s="217"/>
    </row>
    <row r="247" spans="1:44" s="29" customFormat="1">
      <c r="A247" s="295" t="s">
        <v>793</v>
      </c>
      <c r="B247" s="29" t="s">
        <v>242</v>
      </c>
      <c r="C247" s="29" t="s">
        <v>243</v>
      </c>
      <c r="D247" s="29">
        <v>30</v>
      </c>
      <c r="E247" s="29">
        <v>400</v>
      </c>
      <c r="F247" s="29">
        <v>68400</v>
      </c>
      <c r="G247" s="29">
        <v>730</v>
      </c>
      <c r="H247" s="29">
        <v>1</v>
      </c>
      <c r="I247" s="207"/>
      <c r="J247" s="207"/>
      <c r="K247" s="29" t="s">
        <v>297</v>
      </c>
      <c r="L247" s="200" t="s">
        <v>443</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793</v>
      </c>
      <c r="B248" s="29" t="s">
        <v>244</v>
      </c>
      <c r="C248" s="29" t="s">
        <v>245</v>
      </c>
      <c r="D248" s="29">
        <v>200</v>
      </c>
      <c r="E248" s="29">
        <v>4000</v>
      </c>
      <c r="F248" s="29">
        <v>16000</v>
      </c>
      <c r="G248" s="29">
        <v>670</v>
      </c>
      <c r="H248" s="29">
        <v>0.5</v>
      </c>
      <c r="I248" s="207"/>
      <c r="J248" s="207"/>
      <c r="K248" s="29" t="s">
        <v>297</v>
      </c>
      <c r="L248" s="200" t="s">
        <v>443</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793</v>
      </c>
      <c r="B249" s="29" t="s">
        <v>246</v>
      </c>
      <c r="C249" s="29" t="s">
        <v>243</v>
      </c>
      <c r="D249" s="29">
        <v>100</v>
      </c>
      <c r="E249" s="29">
        <v>600</v>
      </c>
      <c r="F249" s="29">
        <v>-8000</v>
      </c>
      <c r="G249" s="29">
        <v>62000</v>
      </c>
      <c r="H249" s="29">
        <v>0.5</v>
      </c>
      <c r="I249" s="207"/>
      <c r="J249" s="207"/>
      <c r="K249" s="29" t="s">
        <v>297</v>
      </c>
      <c r="L249" s="200" t="s">
        <v>443</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793</v>
      </c>
      <c r="B250" s="29" t="s">
        <v>247</v>
      </c>
      <c r="C250" s="29" t="s">
        <v>243</v>
      </c>
      <c r="D250" s="29">
        <v>200</v>
      </c>
      <c r="E250" s="29">
        <v>3000</v>
      </c>
      <c r="F250" s="29">
        <v>5000</v>
      </c>
      <c r="G250" s="29">
        <v>5100</v>
      </c>
      <c r="H250" s="29">
        <v>0.7</v>
      </c>
      <c r="I250" s="207"/>
      <c r="J250" s="207"/>
      <c r="K250" s="29" t="s">
        <v>297</v>
      </c>
      <c r="L250" s="200" t="s">
        <v>443</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793</v>
      </c>
      <c r="B251" s="29" t="s">
        <v>248</v>
      </c>
      <c r="C251" s="29" t="s">
        <v>243</v>
      </c>
      <c r="D251" s="29">
        <v>0.7</v>
      </c>
      <c r="E251" s="29">
        <v>60</v>
      </c>
      <c r="F251" s="29">
        <v>-23000</v>
      </c>
      <c r="G251" s="29">
        <v>242000</v>
      </c>
      <c r="H251" s="29">
        <v>0.4</v>
      </c>
      <c r="I251" s="207"/>
      <c r="J251" s="207"/>
      <c r="K251" s="29" t="s">
        <v>297</v>
      </c>
      <c r="L251" s="200" t="s">
        <v>443</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770</v>
      </c>
    </row>
    <row r="254" spans="1:44">
      <c r="A254" s="295" t="s">
        <v>770</v>
      </c>
      <c r="B254" t="s">
        <v>547</v>
      </c>
      <c r="C254" t="s">
        <v>554</v>
      </c>
      <c r="D254">
        <v>80</v>
      </c>
      <c r="E254">
        <v>8000</v>
      </c>
      <c r="F254">
        <v>0</v>
      </c>
      <c r="G254">
        <v>3810</v>
      </c>
      <c r="H254">
        <v>0.57999999999999996</v>
      </c>
      <c r="K254" s="204" t="s">
        <v>297</v>
      </c>
      <c r="L254" s="204" t="s">
        <v>442</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770</v>
      </c>
      <c r="B255" t="s">
        <v>548</v>
      </c>
      <c r="C255" s="204" t="s">
        <v>554</v>
      </c>
      <c r="D255">
        <v>8000</v>
      </c>
      <c r="E255">
        <v>125000</v>
      </c>
      <c r="F255">
        <v>0</v>
      </c>
      <c r="G255">
        <v>2720</v>
      </c>
      <c r="H255">
        <v>0.57999999999999996</v>
      </c>
      <c r="K255" s="204" t="s">
        <v>297</v>
      </c>
      <c r="L255" s="204" t="s">
        <v>442</v>
      </c>
      <c r="M255" s="31">
        <v>567</v>
      </c>
      <c r="N255" s="31"/>
      <c r="O255" s="31">
        <v>2013</v>
      </c>
      <c r="Q255" s="208" t="s">
        <v>556</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556</v>
      </c>
    </row>
    <row r="256" spans="1:44">
      <c r="A256" s="295" t="s">
        <v>770</v>
      </c>
      <c r="B256" t="s">
        <v>549</v>
      </c>
      <c r="C256" s="204" t="s">
        <v>554</v>
      </c>
      <c r="D256">
        <v>80</v>
      </c>
      <c r="E256">
        <v>8000</v>
      </c>
      <c r="F256">
        <v>0</v>
      </c>
      <c r="G256" s="204">
        <v>3460</v>
      </c>
      <c r="H256">
        <v>0.57999999999999996</v>
      </c>
      <c r="K256" s="204" t="s">
        <v>297</v>
      </c>
      <c r="L256" s="204" t="s">
        <v>442</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770</v>
      </c>
      <c r="B257" t="s">
        <v>550</v>
      </c>
      <c r="C257" s="204" t="s">
        <v>554</v>
      </c>
      <c r="D257">
        <v>8000</v>
      </c>
      <c r="E257">
        <v>125000</v>
      </c>
      <c r="F257">
        <v>0</v>
      </c>
      <c r="G257" s="204">
        <v>2450</v>
      </c>
      <c r="H257" s="204">
        <v>0.57999999999999996</v>
      </c>
      <c r="K257" s="204" t="s">
        <v>297</v>
      </c>
      <c r="L257" s="204" t="s">
        <v>442</v>
      </c>
      <c r="M257" s="31">
        <v>567</v>
      </c>
      <c r="N257" s="31"/>
      <c r="O257" s="31">
        <v>2013</v>
      </c>
      <c r="Q257" s="208" t="s">
        <v>556</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556</v>
      </c>
    </row>
    <row r="258" spans="1:44">
      <c r="A258" s="295" t="s">
        <v>770</v>
      </c>
      <c r="B258" t="s">
        <v>769</v>
      </c>
      <c r="C258" t="s">
        <v>555</v>
      </c>
      <c r="D258">
        <v>130</v>
      </c>
      <c r="E258">
        <v>800</v>
      </c>
      <c r="F258">
        <v>0</v>
      </c>
      <c r="G258">
        <v>5445</v>
      </c>
      <c r="H258">
        <v>0.52</v>
      </c>
      <c r="K258" s="204" t="s">
        <v>297</v>
      </c>
      <c r="L258" s="204" t="s">
        <v>442</v>
      </c>
      <c r="M258" s="31">
        <v>567</v>
      </c>
      <c r="N258" s="31"/>
      <c r="O258" s="31">
        <v>2013</v>
      </c>
      <c r="P258" s="208" t="s">
        <v>337</v>
      </c>
      <c r="Q258" s="208" t="s">
        <v>337</v>
      </c>
      <c r="R258" s="208" t="s">
        <v>180</v>
      </c>
      <c r="S258" s="208" t="s">
        <v>353</v>
      </c>
      <c r="T258" s="208" t="s">
        <v>179</v>
      </c>
      <c r="U258" s="208" t="s">
        <v>344</v>
      </c>
      <c r="V258" s="208" t="s">
        <v>713</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770</v>
      </c>
      <c r="B259" t="s">
        <v>551</v>
      </c>
      <c r="C259" s="204" t="s">
        <v>555</v>
      </c>
      <c r="D259">
        <v>30</v>
      </c>
      <c r="E259">
        <v>2500</v>
      </c>
      <c r="F259">
        <v>0</v>
      </c>
      <c r="G259" s="204">
        <v>1385</v>
      </c>
      <c r="H259" s="204">
        <v>0.71</v>
      </c>
      <c r="K259" s="204" t="s">
        <v>297</v>
      </c>
      <c r="L259" s="204" t="s">
        <v>442</v>
      </c>
      <c r="M259" s="31">
        <v>567</v>
      </c>
      <c r="N259" s="31"/>
      <c r="O259" s="31">
        <v>2013</v>
      </c>
      <c r="P259" s="208" t="s">
        <v>337</v>
      </c>
      <c r="Q259" s="208" t="s">
        <v>337</v>
      </c>
      <c r="R259" s="208" t="s">
        <v>180</v>
      </c>
      <c r="S259" s="208" t="s">
        <v>353</v>
      </c>
      <c r="T259" s="208" t="s">
        <v>179</v>
      </c>
      <c r="U259" s="208" t="s">
        <v>344</v>
      </c>
      <c r="V259" s="208" t="s">
        <v>713</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770</v>
      </c>
      <c r="B260" t="s">
        <v>552</v>
      </c>
      <c r="C260" s="204" t="s">
        <v>555</v>
      </c>
      <c r="D260">
        <v>10</v>
      </c>
      <c r="E260">
        <v>800</v>
      </c>
      <c r="F260">
        <v>11.795999999999999</v>
      </c>
      <c r="G260">
        <v>-0.1905</v>
      </c>
      <c r="H260">
        <v>5.5399999999999998E-2</v>
      </c>
      <c r="I260" s="207">
        <v>0</v>
      </c>
      <c r="J260" s="207">
        <v>0</v>
      </c>
      <c r="K260" s="204" t="s">
        <v>557</v>
      </c>
      <c r="L260" s="204" t="s">
        <v>442</v>
      </c>
      <c r="M260" s="208">
        <v>567</v>
      </c>
      <c r="N260" s="208"/>
      <c r="O260" s="208">
        <v>2013</v>
      </c>
      <c r="P260" s="208" t="s">
        <v>337</v>
      </c>
      <c r="Q260" s="208" t="s">
        <v>337</v>
      </c>
      <c r="R260" s="208" t="s">
        <v>180</v>
      </c>
      <c r="S260" s="208" t="s">
        <v>353</v>
      </c>
      <c r="T260" s="208" t="s">
        <v>179</v>
      </c>
      <c r="U260" s="208" t="s">
        <v>344</v>
      </c>
      <c r="V260" s="208" t="s">
        <v>713</v>
      </c>
      <c r="W260" s="208" t="s">
        <v>356</v>
      </c>
      <c r="X260" s="363" t="s">
        <v>1720</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770</v>
      </c>
      <c r="B261" t="s">
        <v>553</v>
      </c>
      <c r="C261" s="204" t="s">
        <v>555</v>
      </c>
      <c r="D261">
        <v>100</v>
      </c>
      <c r="E261">
        <v>1100</v>
      </c>
      <c r="F261">
        <v>0</v>
      </c>
      <c r="G261" s="204">
        <v>28010</v>
      </c>
      <c r="H261" s="204">
        <v>0.48</v>
      </c>
      <c r="K261" s="204" t="s">
        <v>297</v>
      </c>
      <c r="L261" s="204" t="s">
        <v>442</v>
      </c>
      <c r="M261" s="208">
        <v>567</v>
      </c>
      <c r="N261" s="208"/>
      <c r="O261" s="208">
        <v>2013</v>
      </c>
      <c r="P261" s="208" t="s">
        <v>337</v>
      </c>
      <c r="Q261" s="208" t="s">
        <v>337</v>
      </c>
      <c r="R261" s="208" t="s">
        <v>180</v>
      </c>
      <c r="S261" s="208" t="s">
        <v>353</v>
      </c>
      <c r="T261" s="208" t="s">
        <v>179</v>
      </c>
      <c r="U261" s="208" t="s">
        <v>344</v>
      </c>
      <c r="V261" s="208" t="s">
        <v>713</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770</v>
      </c>
      <c r="B262" t="s">
        <v>558</v>
      </c>
      <c r="C262" t="s">
        <v>559</v>
      </c>
      <c r="D262">
        <v>8000</v>
      </c>
      <c r="E262">
        <v>800000</v>
      </c>
      <c r="F262">
        <v>0</v>
      </c>
      <c r="G262">
        <v>1.7999999999999999E-2</v>
      </c>
      <c r="H262">
        <v>1.33</v>
      </c>
      <c r="K262" s="204" t="s">
        <v>297</v>
      </c>
      <c r="L262" s="204" t="s">
        <v>442</v>
      </c>
      <c r="M262" s="208">
        <v>567</v>
      </c>
      <c r="N262" s="208"/>
      <c r="O262" s="208">
        <v>2013</v>
      </c>
      <c r="P262" s="208" t="s">
        <v>337</v>
      </c>
      <c r="Q262" s="208" t="s">
        <v>337</v>
      </c>
      <c r="R262" s="208" t="s">
        <v>180</v>
      </c>
      <c r="S262" s="208" t="s">
        <v>353</v>
      </c>
      <c r="T262" s="208" t="s">
        <v>179</v>
      </c>
      <c r="U262" s="208" t="s">
        <v>344</v>
      </c>
      <c r="V262" s="208" t="s">
        <v>713</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770</v>
      </c>
      <c r="B263" t="s">
        <v>560</v>
      </c>
      <c r="C263" t="s">
        <v>561</v>
      </c>
      <c r="D263">
        <v>8</v>
      </c>
      <c r="E263">
        <v>1200</v>
      </c>
      <c r="F263">
        <v>0</v>
      </c>
      <c r="G263">
        <v>275</v>
      </c>
      <c r="H263">
        <v>0.5</v>
      </c>
      <c r="K263" s="204" t="s">
        <v>297</v>
      </c>
      <c r="L263" s="204" t="s">
        <v>442</v>
      </c>
      <c r="M263" s="208">
        <v>567</v>
      </c>
      <c r="N263" s="208"/>
      <c r="O263" s="208">
        <v>2013</v>
      </c>
      <c r="P263" s="208" t="s">
        <v>337</v>
      </c>
      <c r="Q263" s="208" t="s">
        <v>337</v>
      </c>
      <c r="R263" s="208" t="s">
        <v>180</v>
      </c>
      <c r="S263" s="208" t="s">
        <v>353</v>
      </c>
      <c r="T263" s="208" t="s">
        <v>179</v>
      </c>
      <c r="U263" s="208" t="s">
        <v>344</v>
      </c>
      <c r="V263" s="208" t="s">
        <v>713</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770</v>
      </c>
      <c r="B264" t="s">
        <v>562</v>
      </c>
      <c r="C264" t="s">
        <v>568</v>
      </c>
      <c r="D264">
        <v>20</v>
      </c>
      <c r="E264">
        <v>43</v>
      </c>
      <c r="F264">
        <v>0</v>
      </c>
      <c r="G264">
        <v>2270</v>
      </c>
      <c r="H264">
        <v>0.95</v>
      </c>
      <c r="K264" s="204" t="s">
        <v>297</v>
      </c>
      <c r="L264" s="204" t="s">
        <v>442</v>
      </c>
      <c r="M264" s="208">
        <v>567</v>
      </c>
      <c r="N264" s="208"/>
      <c r="O264" s="208">
        <v>2013</v>
      </c>
      <c r="P264" s="208" t="s">
        <v>353</v>
      </c>
      <c r="Q264" s="208" t="s">
        <v>337</v>
      </c>
      <c r="R264" s="208" t="s">
        <v>180</v>
      </c>
      <c r="S264" s="208" t="s">
        <v>353</v>
      </c>
      <c r="T264" s="208" t="s">
        <v>179</v>
      </c>
      <c r="U264" s="208" t="s">
        <v>344</v>
      </c>
      <c r="V264" s="208" t="s">
        <v>713</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770</v>
      </c>
      <c r="B265" t="s">
        <v>563</v>
      </c>
      <c r="C265" s="204" t="s">
        <v>568</v>
      </c>
      <c r="D265">
        <v>20</v>
      </c>
      <c r="E265">
        <v>43</v>
      </c>
      <c r="F265">
        <v>0</v>
      </c>
      <c r="G265">
        <v>975</v>
      </c>
      <c r="H265">
        <v>1</v>
      </c>
      <c r="K265" s="204" t="s">
        <v>297</v>
      </c>
      <c r="L265" s="204" t="s">
        <v>442</v>
      </c>
      <c r="M265" s="208">
        <v>567</v>
      </c>
      <c r="N265" s="208"/>
      <c r="O265" s="208">
        <v>2013</v>
      </c>
      <c r="P265" s="208" t="s">
        <v>353</v>
      </c>
      <c r="Q265" s="208" t="s">
        <v>337</v>
      </c>
      <c r="R265" s="208" t="s">
        <v>180</v>
      </c>
      <c r="S265" s="208" t="s">
        <v>353</v>
      </c>
      <c r="T265" s="208" t="s">
        <v>179</v>
      </c>
      <c r="U265" s="208" t="s">
        <v>344</v>
      </c>
      <c r="V265" s="208" t="s">
        <v>713</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770</v>
      </c>
      <c r="B266" t="s">
        <v>564</v>
      </c>
      <c r="C266" s="204" t="s">
        <v>568</v>
      </c>
      <c r="D266">
        <v>20</v>
      </c>
      <c r="E266">
        <v>70</v>
      </c>
      <c r="F266">
        <v>0</v>
      </c>
      <c r="G266" s="204">
        <v>6180</v>
      </c>
      <c r="H266" s="204">
        <v>0.94</v>
      </c>
      <c r="K266" s="204" t="s">
        <v>297</v>
      </c>
      <c r="L266" s="204" t="s">
        <v>442</v>
      </c>
      <c r="M266" s="208">
        <v>567</v>
      </c>
      <c r="N266" s="208"/>
      <c r="O266" s="208">
        <v>2013</v>
      </c>
      <c r="P266" s="208" t="s">
        <v>353</v>
      </c>
      <c r="Q266" s="208" t="s">
        <v>337</v>
      </c>
      <c r="R266" s="208" t="s">
        <v>180</v>
      </c>
      <c r="S266" s="208" t="s">
        <v>353</v>
      </c>
      <c r="T266" s="208" t="s">
        <v>179</v>
      </c>
      <c r="U266" s="208" t="s">
        <v>344</v>
      </c>
      <c r="V266" s="208" t="s">
        <v>713</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770</v>
      </c>
      <c r="B267" t="s">
        <v>565</v>
      </c>
      <c r="C267" s="204" t="s">
        <v>568</v>
      </c>
      <c r="D267">
        <v>20</v>
      </c>
      <c r="E267">
        <v>43</v>
      </c>
      <c r="F267">
        <v>0</v>
      </c>
      <c r="G267" s="204">
        <v>2440</v>
      </c>
      <c r="H267" s="204">
        <v>1.1100000000000001</v>
      </c>
      <c r="K267" s="204" t="s">
        <v>297</v>
      </c>
      <c r="L267" s="204" t="s">
        <v>442</v>
      </c>
      <c r="M267" s="208">
        <v>567</v>
      </c>
      <c r="N267" s="208"/>
      <c r="O267" s="208">
        <v>2013</v>
      </c>
      <c r="P267" s="208" t="s">
        <v>353</v>
      </c>
      <c r="Q267" s="208" t="s">
        <v>337</v>
      </c>
      <c r="R267" s="208" t="s">
        <v>180</v>
      </c>
      <c r="S267" s="208" t="s">
        <v>353</v>
      </c>
      <c r="T267" s="208" t="s">
        <v>179</v>
      </c>
      <c r="U267" s="208" t="s">
        <v>344</v>
      </c>
      <c r="V267" s="208" t="s">
        <v>713</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770</v>
      </c>
      <c r="B268" t="s">
        <v>566</v>
      </c>
      <c r="C268" t="s">
        <v>569</v>
      </c>
      <c r="D268">
        <v>1</v>
      </c>
      <c r="E268">
        <v>20</v>
      </c>
      <c r="F268">
        <v>0</v>
      </c>
      <c r="G268">
        <v>170100</v>
      </c>
      <c r="H268">
        <v>0.3</v>
      </c>
      <c r="K268" s="204" t="s">
        <v>297</v>
      </c>
      <c r="L268" s="204" t="s">
        <v>442</v>
      </c>
      <c r="M268" s="208">
        <v>567</v>
      </c>
      <c r="N268" s="208"/>
      <c r="O268" s="208">
        <v>2013</v>
      </c>
      <c r="P268" s="208" t="s">
        <v>353</v>
      </c>
      <c r="Q268" s="208" t="s">
        <v>337</v>
      </c>
      <c r="R268" s="208" t="s">
        <v>180</v>
      </c>
      <c r="S268" s="208" t="s">
        <v>353</v>
      </c>
      <c r="T268" s="208" t="s">
        <v>179</v>
      </c>
      <c r="U268" s="208" t="s">
        <v>344</v>
      </c>
      <c r="V268" s="208" t="s">
        <v>713</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770</v>
      </c>
      <c r="B269" t="s">
        <v>567</v>
      </c>
      <c r="C269" s="204" t="s">
        <v>569</v>
      </c>
      <c r="D269">
        <v>2</v>
      </c>
      <c r="E269">
        <v>40</v>
      </c>
      <c r="F269">
        <v>0</v>
      </c>
      <c r="G269">
        <v>68040</v>
      </c>
      <c r="H269">
        <v>0.5</v>
      </c>
      <c r="K269" s="204" t="s">
        <v>297</v>
      </c>
      <c r="L269" s="204" t="s">
        <v>442</v>
      </c>
      <c r="M269" s="208">
        <v>567</v>
      </c>
      <c r="N269" s="208"/>
      <c r="O269" s="208">
        <v>2013</v>
      </c>
      <c r="P269" s="208" t="s">
        <v>353</v>
      </c>
      <c r="Q269" s="208" t="s">
        <v>337</v>
      </c>
      <c r="R269" s="208" t="s">
        <v>180</v>
      </c>
      <c r="S269" s="208" t="s">
        <v>353</v>
      </c>
      <c r="T269" s="208" t="s">
        <v>179</v>
      </c>
      <c r="U269" s="208" t="s">
        <v>344</v>
      </c>
      <c r="V269" s="208" t="s">
        <v>713</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748</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748</v>
      </c>
      <c r="B272" s="29" t="s">
        <v>791</v>
      </c>
      <c r="C272" s="29" t="s">
        <v>304</v>
      </c>
      <c r="D272" s="29">
        <v>0.5</v>
      </c>
      <c r="E272" s="29">
        <v>15</v>
      </c>
      <c r="F272" s="29">
        <v>0</v>
      </c>
      <c r="G272" s="29">
        <v>29380.891365988631</v>
      </c>
      <c r="H272" s="29">
        <v>0.5525481665568498</v>
      </c>
      <c r="I272" s="207"/>
      <c r="J272" s="207"/>
      <c r="K272" s="29" t="s">
        <v>297</v>
      </c>
      <c r="L272" s="29" t="s">
        <v>468</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748</v>
      </c>
      <c r="B273" s="29" t="s">
        <v>792</v>
      </c>
      <c r="C273" s="29" t="s">
        <v>304</v>
      </c>
      <c r="D273" s="29">
        <v>1</v>
      </c>
      <c r="E273" s="29">
        <v>100</v>
      </c>
      <c r="F273" s="29">
        <v>0</v>
      </c>
      <c r="G273" s="29">
        <v>30000.000000000062</v>
      </c>
      <c r="H273" s="29">
        <v>0.44230329064896523</v>
      </c>
      <c r="I273" s="207"/>
      <c r="J273" s="207"/>
      <c r="K273" s="29" t="s">
        <v>297</v>
      </c>
      <c r="L273" s="203" t="s">
        <v>468</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748</v>
      </c>
      <c r="B274" s="29" t="s">
        <v>230</v>
      </c>
      <c r="C274" s="29" t="s">
        <v>231</v>
      </c>
      <c r="D274" s="29">
        <v>0.26</v>
      </c>
      <c r="E274" s="29">
        <v>0.49</v>
      </c>
      <c r="F274" s="29">
        <v>57000</v>
      </c>
      <c r="G274" s="29">
        <v>480000</v>
      </c>
      <c r="H274" s="29">
        <v>0.7</v>
      </c>
      <c r="I274" s="207"/>
      <c r="J274" s="207"/>
      <c r="K274" s="29" t="s">
        <v>297</v>
      </c>
      <c r="L274" s="200" t="s">
        <v>443</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748</v>
      </c>
      <c r="B275" s="29" t="s">
        <v>232</v>
      </c>
      <c r="C275" s="29" t="s">
        <v>233</v>
      </c>
      <c r="D275" s="29">
        <v>2</v>
      </c>
      <c r="E275" s="29">
        <v>20</v>
      </c>
      <c r="F275" s="29">
        <v>65000</v>
      </c>
      <c r="G275" s="29">
        <v>750</v>
      </c>
      <c r="H275" s="29">
        <v>1.5</v>
      </c>
      <c r="I275" s="207"/>
      <c r="J275" s="207"/>
      <c r="K275" s="29" t="s">
        <v>297</v>
      </c>
      <c r="L275" s="200" t="s">
        <v>443</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748</v>
      </c>
      <c r="B276" s="29" t="s">
        <v>768</v>
      </c>
      <c r="C276" s="29" t="s">
        <v>256</v>
      </c>
      <c r="D276" s="29">
        <v>0.4</v>
      </c>
      <c r="E276" s="29">
        <v>1.4</v>
      </c>
      <c r="F276" s="29">
        <v>128000</v>
      </c>
      <c r="G276" s="29">
        <v>89000</v>
      </c>
      <c r="H276" s="29">
        <v>0.5</v>
      </c>
      <c r="I276" s="207"/>
      <c r="J276" s="207"/>
      <c r="K276" s="29" t="s">
        <v>297</v>
      </c>
      <c r="L276" s="200" t="s">
        <v>443</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748</v>
      </c>
      <c r="B277" s="29" t="s">
        <v>790</v>
      </c>
      <c r="C277" s="29" t="s">
        <v>251</v>
      </c>
      <c r="D277" s="29">
        <v>10</v>
      </c>
      <c r="E277" s="29">
        <v>180</v>
      </c>
      <c r="F277" s="29">
        <v>-73000</v>
      </c>
      <c r="G277" s="29">
        <v>93000</v>
      </c>
      <c r="H277" s="29">
        <v>0.3</v>
      </c>
      <c r="I277" s="207"/>
      <c r="J277" s="207"/>
      <c r="K277" s="29" t="s">
        <v>297</v>
      </c>
      <c r="L277" s="200" t="s">
        <v>443</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749</v>
      </c>
    </row>
    <row r="280" spans="1:44">
      <c r="A280" t="s">
        <v>749</v>
      </c>
      <c r="B280" t="s">
        <v>574</v>
      </c>
      <c r="C280" t="s">
        <v>462</v>
      </c>
      <c r="D280">
        <v>10</v>
      </c>
      <c r="E280">
        <v>100000</v>
      </c>
      <c r="F280">
        <v>0</v>
      </c>
      <c r="G280">
        <v>646</v>
      </c>
      <c r="H280">
        <v>0.46</v>
      </c>
      <c r="K280" s="204" t="s">
        <v>297</v>
      </c>
      <c r="L280" s="204" t="s">
        <v>442</v>
      </c>
      <c r="M280" s="208">
        <v>567</v>
      </c>
      <c r="N280" s="208"/>
      <c r="O280" s="208">
        <v>2013</v>
      </c>
      <c r="Q280" s="208" t="s">
        <v>337</v>
      </c>
      <c r="R280" s="208" t="s">
        <v>180</v>
      </c>
      <c r="S280" s="208" t="s">
        <v>353</v>
      </c>
      <c r="T280" s="208" t="s">
        <v>179</v>
      </c>
      <c r="U280" s="208" t="s">
        <v>344</v>
      </c>
      <c r="V280" s="208" t="s">
        <v>713</v>
      </c>
      <c r="W280" s="208" t="s">
        <v>356</v>
      </c>
      <c r="X280" s="208"/>
      <c r="Y280" s="208"/>
      <c r="AA280" s="208">
        <v>1</v>
      </c>
      <c r="AB280" s="208">
        <v>1.2</v>
      </c>
      <c r="AC280" s="208">
        <v>2</v>
      </c>
      <c r="AD280" s="208">
        <v>2.5</v>
      </c>
      <c r="AE280" s="208">
        <v>2.7</v>
      </c>
      <c r="AF280" s="208">
        <v>3</v>
      </c>
      <c r="AG280" s="208">
        <v>6</v>
      </c>
      <c r="AK280" s="29" t="s">
        <v>162</v>
      </c>
      <c r="AL280" s="31">
        <v>1</v>
      </c>
      <c r="AM280" s="30">
        <v>0</v>
      </c>
      <c r="AN280" t="s">
        <v>579</v>
      </c>
    </row>
    <row r="281" spans="1:44">
      <c r="A281" s="295" t="s">
        <v>749</v>
      </c>
      <c r="B281" t="s">
        <v>575</v>
      </c>
      <c r="C281" t="s">
        <v>578</v>
      </c>
      <c r="D281">
        <v>120</v>
      </c>
      <c r="E281">
        <v>500</v>
      </c>
      <c r="F281">
        <v>0</v>
      </c>
      <c r="G281">
        <v>813</v>
      </c>
      <c r="H281">
        <v>0.38</v>
      </c>
      <c r="K281" s="204" t="s">
        <v>297</v>
      </c>
      <c r="L281" s="204" t="s">
        <v>442</v>
      </c>
      <c r="M281" s="208">
        <v>567</v>
      </c>
      <c r="N281" s="208"/>
      <c r="O281" s="208">
        <v>2013</v>
      </c>
      <c r="Q281" s="208" t="s">
        <v>337</v>
      </c>
      <c r="R281" s="208" t="s">
        <v>180</v>
      </c>
      <c r="S281" s="208" t="s">
        <v>353</v>
      </c>
      <c r="T281" s="208" t="s">
        <v>179</v>
      </c>
      <c r="U281" s="208" t="s">
        <v>344</v>
      </c>
      <c r="V281" s="208" t="s">
        <v>713</v>
      </c>
      <c r="W281" s="208" t="s">
        <v>356</v>
      </c>
      <c r="X281" s="208"/>
      <c r="Y281" s="208"/>
      <c r="AA281" s="208">
        <v>1</v>
      </c>
      <c r="AB281" s="208">
        <v>1.2</v>
      </c>
      <c r="AC281" s="208">
        <v>2</v>
      </c>
      <c r="AD281" s="208">
        <v>2.5</v>
      </c>
      <c r="AE281" s="208">
        <v>2.7</v>
      </c>
      <c r="AF281" s="208">
        <v>3</v>
      </c>
      <c r="AG281" s="208">
        <v>6</v>
      </c>
      <c r="AK281" s="208">
        <v>1.74</v>
      </c>
      <c r="AL281" s="31">
        <v>1.72</v>
      </c>
      <c r="AM281" s="30">
        <v>0.1</v>
      </c>
      <c r="AN281" t="s">
        <v>580</v>
      </c>
    </row>
    <row r="282" spans="1:44">
      <c r="A282" s="295" t="s">
        <v>749</v>
      </c>
      <c r="B282" t="s">
        <v>576</v>
      </c>
      <c r="C282" s="204" t="s">
        <v>578</v>
      </c>
      <c r="D282">
        <v>400</v>
      </c>
      <c r="E282">
        <v>10000</v>
      </c>
      <c r="F282">
        <v>0</v>
      </c>
      <c r="G282" s="204">
        <v>1094</v>
      </c>
      <c r="H282" s="204">
        <v>0.22</v>
      </c>
      <c r="K282" s="204" t="s">
        <v>297</v>
      </c>
      <c r="L282" s="204" t="s">
        <v>442</v>
      </c>
      <c r="M282" s="208">
        <v>567</v>
      </c>
      <c r="N282" s="208"/>
      <c r="O282" s="208">
        <v>2013</v>
      </c>
      <c r="Q282" s="208" t="s">
        <v>337</v>
      </c>
      <c r="R282" s="208" t="s">
        <v>180</v>
      </c>
      <c r="S282" s="208" t="s">
        <v>353</v>
      </c>
      <c r="T282" s="208" t="s">
        <v>179</v>
      </c>
      <c r="U282" s="208" t="s">
        <v>344</v>
      </c>
      <c r="V282" s="208" t="s">
        <v>713</v>
      </c>
      <c r="W282" s="208" t="s">
        <v>356</v>
      </c>
      <c r="X282" s="208"/>
      <c r="Y282" s="208"/>
      <c r="AA282" s="208">
        <v>1</v>
      </c>
      <c r="AB282" s="208">
        <v>1.2</v>
      </c>
      <c r="AC282" s="208">
        <v>2</v>
      </c>
      <c r="AD282" s="208">
        <v>2.5</v>
      </c>
      <c r="AE282" s="208">
        <v>2.7</v>
      </c>
      <c r="AF282" s="208">
        <v>3</v>
      </c>
      <c r="AG282" s="208">
        <v>6</v>
      </c>
      <c r="AK282" s="208">
        <v>1.74</v>
      </c>
      <c r="AL282" s="31">
        <v>1.72</v>
      </c>
      <c r="AM282" s="30">
        <v>0.1</v>
      </c>
      <c r="AN282" s="204" t="s">
        <v>580</v>
      </c>
    </row>
    <row r="283" spans="1:44">
      <c r="A283" s="295" t="s">
        <v>749</v>
      </c>
      <c r="B283" t="s">
        <v>577</v>
      </c>
      <c r="C283" s="204" t="s">
        <v>578</v>
      </c>
      <c r="D283">
        <v>40</v>
      </c>
      <c r="E283">
        <v>900</v>
      </c>
      <c r="F283">
        <v>0</v>
      </c>
      <c r="G283">
        <v>46.6</v>
      </c>
      <c r="H283">
        <v>0.9</v>
      </c>
      <c r="K283" s="204" t="s">
        <v>297</v>
      </c>
      <c r="L283" s="204" t="s">
        <v>442</v>
      </c>
      <c r="M283" s="208">
        <v>567</v>
      </c>
      <c r="N283" s="208"/>
      <c r="O283" s="208">
        <v>2013</v>
      </c>
      <c r="Q283" s="208" t="s">
        <v>337</v>
      </c>
      <c r="R283" s="208" t="s">
        <v>180</v>
      </c>
      <c r="S283" s="208" t="s">
        <v>353</v>
      </c>
      <c r="T283" s="208" t="s">
        <v>179</v>
      </c>
      <c r="U283" s="208" t="s">
        <v>344</v>
      </c>
      <c r="V283" s="208" t="s">
        <v>713</v>
      </c>
      <c r="W283" s="208" t="s">
        <v>356</v>
      </c>
      <c r="X283" s="208"/>
      <c r="Y283" s="208"/>
      <c r="AA283" s="208">
        <v>1</v>
      </c>
      <c r="AB283" s="208">
        <v>1.2</v>
      </c>
      <c r="AC283" s="208">
        <v>2</v>
      </c>
      <c r="AD283" s="208">
        <v>2.5</v>
      </c>
      <c r="AE283" s="208">
        <v>2.7</v>
      </c>
      <c r="AF283" s="208">
        <v>3</v>
      </c>
      <c r="AG283" s="208">
        <v>6</v>
      </c>
      <c r="AK283" s="208">
        <v>1.74</v>
      </c>
      <c r="AL283" s="31">
        <v>1.72</v>
      </c>
      <c r="AM283" s="30">
        <v>0.1</v>
      </c>
      <c r="AN283" t="s">
        <v>581</v>
      </c>
    </row>
    <row r="284" spans="1:44">
      <c r="A284" s="295" t="s">
        <v>749</v>
      </c>
      <c r="B284" t="s">
        <v>653</v>
      </c>
      <c r="C284" t="s">
        <v>649</v>
      </c>
      <c r="D284" s="208">
        <v>70</v>
      </c>
      <c r="E284" s="208">
        <v>18000</v>
      </c>
      <c r="F284">
        <v>0</v>
      </c>
      <c r="G284" s="208">
        <v>24.4</v>
      </c>
      <c r="H284" s="208">
        <v>1</v>
      </c>
      <c r="K284" s="208" t="s">
        <v>297</v>
      </c>
      <c r="L284" s="204" t="s">
        <v>442</v>
      </c>
      <c r="M284" s="208">
        <v>567</v>
      </c>
      <c r="N284" s="208"/>
      <c r="O284" s="208">
        <v>2013</v>
      </c>
      <c r="Q284" s="208" t="s">
        <v>337</v>
      </c>
      <c r="R284" s="208" t="s">
        <v>180</v>
      </c>
      <c r="S284" s="208" t="s">
        <v>353</v>
      </c>
      <c r="T284" s="208" t="s">
        <v>179</v>
      </c>
      <c r="U284" s="208" t="s">
        <v>344</v>
      </c>
      <c r="V284" s="208" t="s">
        <v>713</v>
      </c>
      <c r="W284" s="208" t="s">
        <v>356</v>
      </c>
      <c r="X284" s="208"/>
      <c r="Y284" s="208"/>
      <c r="AA284" s="208">
        <v>1</v>
      </c>
      <c r="AB284" s="208">
        <v>1.2</v>
      </c>
      <c r="AC284" s="208">
        <v>2</v>
      </c>
      <c r="AD284" s="208">
        <v>2.5</v>
      </c>
      <c r="AE284" s="208">
        <v>2.7</v>
      </c>
      <c r="AF284" s="208">
        <v>3</v>
      </c>
      <c r="AG284" s="208">
        <v>6</v>
      </c>
      <c r="AK284" s="208">
        <v>1.61</v>
      </c>
      <c r="AL284" s="31">
        <v>1.72</v>
      </c>
      <c r="AM284" s="30">
        <v>0.1</v>
      </c>
      <c r="AN284" t="s">
        <v>725</v>
      </c>
    </row>
    <row r="285" spans="1:44">
      <c r="A285" s="295" t="s">
        <v>749</v>
      </c>
      <c r="B285" t="s">
        <v>654</v>
      </c>
      <c r="C285" t="s">
        <v>652</v>
      </c>
      <c r="D285" s="211">
        <v>15.507562955910631</v>
      </c>
      <c r="E285" s="211">
        <v>578.8040162167373</v>
      </c>
      <c r="F285" s="208">
        <v>0</v>
      </c>
      <c r="G285" s="208">
        <v>80</v>
      </c>
      <c r="H285" s="208">
        <v>1</v>
      </c>
      <c r="I285" s="208"/>
      <c r="J285" s="208"/>
      <c r="K285" s="208" t="s">
        <v>297</v>
      </c>
      <c r="L285" s="204" t="s">
        <v>442</v>
      </c>
      <c r="M285" s="208">
        <v>567</v>
      </c>
      <c r="N285" s="208"/>
      <c r="O285" s="208">
        <v>2013</v>
      </c>
      <c r="P285" s="208"/>
      <c r="Q285" s="208" t="s">
        <v>337</v>
      </c>
      <c r="R285" s="208" t="s">
        <v>180</v>
      </c>
      <c r="S285" s="208" t="s">
        <v>353</v>
      </c>
      <c r="T285" s="208" t="s">
        <v>179</v>
      </c>
      <c r="U285" s="208" t="s">
        <v>344</v>
      </c>
      <c r="V285" s="208" t="s">
        <v>713</v>
      </c>
      <c r="W285" s="208" t="s">
        <v>356</v>
      </c>
      <c r="X285" s="208"/>
      <c r="Y285" s="208"/>
      <c r="AA285" s="208">
        <v>1</v>
      </c>
      <c r="AB285" s="208">
        <v>1.2</v>
      </c>
      <c r="AC285" s="208">
        <v>2</v>
      </c>
      <c r="AD285" s="208">
        <v>2.5</v>
      </c>
      <c r="AE285" s="208">
        <v>2.7</v>
      </c>
      <c r="AF285" s="208">
        <v>3</v>
      </c>
      <c r="AG285" s="208">
        <v>6</v>
      </c>
      <c r="AK285" s="208">
        <v>1.61</v>
      </c>
      <c r="AL285" s="31">
        <v>1.72</v>
      </c>
      <c r="AM285" s="30">
        <v>0.1</v>
      </c>
      <c r="AN285" t="s">
        <v>726</v>
      </c>
    </row>
    <row r="286" spans="1:44">
      <c r="A286" s="295" t="s">
        <v>749</v>
      </c>
      <c r="B286" t="s">
        <v>655</v>
      </c>
      <c r="C286" s="204" t="s">
        <v>651</v>
      </c>
      <c r="D286" s="211">
        <v>139.89734507168316</v>
      </c>
      <c r="E286" s="211">
        <v>40579.108422318401</v>
      </c>
      <c r="F286" s="208">
        <v>0</v>
      </c>
      <c r="G286" s="208">
        <v>92.5</v>
      </c>
      <c r="H286" s="208">
        <v>0.56999999999999995</v>
      </c>
      <c r="I286" s="208"/>
      <c r="J286" s="208"/>
      <c r="K286" s="208" t="s">
        <v>297</v>
      </c>
      <c r="L286" s="204" t="s">
        <v>442</v>
      </c>
      <c r="M286" s="208">
        <v>567</v>
      </c>
      <c r="N286" s="208"/>
      <c r="O286" s="208">
        <v>2013</v>
      </c>
      <c r="P286" s="208"/>
      <c r="Q286" s="208" t="s">
        <v>337</v>
      </c>
      <c r="R286" s="208" t="s">
        <v>180</v>
      </c>
      <c r="S286" s="208" t="s">
        <v>353</v>
      </c>
      <c r="T286" s="208" t="s">
        <v>179</v>
      </c>
      <c r="U286" s="208" t="s">
        <v>344</v>
      </c>
      <c r="V286" s="208" t="s">
        <v>713</v>
      </c>
      <c r="W286" s="208" t="s">
        <v>356</v>
      </c>
      <c r="X286" s="208"/>
      <c r="Y286" s="208"/>
      <c r="AA286" s="208">
        <v>1</v>
      </c>
      <c r="AB286" s="208">
        <v>1.2</v>
      </c>
      <c r="AC286" s="208">
        <v>2</v>
      </c>
      <c r="AD286" s="208">
        <v>2.5</v>
      </c>
      <c r="AE286" s="208">
        <v>2.7</v>
      </c>
      <c r="AF286" s="208">
        <v>3</v>
      </c>
      <c r="AG286" s="208">
        <v>6</v>
      </c>
      <c r="AK286" s="208">
        <v>1.61</v>
      </c>
      <c r="AL286" s="31">
        <v>1.72</v>
      </c>
      <c r="AM286" s="30">
        <v>0.1</v>
      </c>
      <c r="AN286" t="s">
        <v>582</v>
      </c>
    </row>
    <row r="287" spans="1:44">
      <c r="A287" s="295" t="s">
        <v>749</v>
      </c>
      <c r="B287" t="s">
        <v>656</v>
      </c>
      <c r="C287" t="s">
        <v>650</v>
      </c>
      <c r="D287" s="211">
        <v>131.49077518655685</v>
      </c>
      <c r="E287" s="211">
        <v>6050.2599002652823</v>
      </c>
      <c r="F287" s="208">
        <v>0</v>
      </c>
      <c r="G287" s="208">
        <v>692</v>
      </c>
      <c r="H287" s="208">
        <v>0.5</v>
      </c>
      <c r="I287" s="208"/>
      <c r="J287" s="208"/>
      <c r="K287" s="208" t="s">
        <v>297</v>
      </c>
      <c r="L287" s="204" t="s">
        <v>442</v>
      </c>
      <c r="M287" s="208">
        <v>567</v>
      </c>
      <c r="N287" s="208"/>
      <c r="O287" s="208">
        <v>2013</v>
      </c>
      <c r="P287" s="208"/>
      <c r="Q287" s="208" t="s">
        <v>337</v>
      </c>
      <c r="R287" s="208" t="s">
        <v>180</v>
      </c>
      <c r="S287" s="208" t="s">
        <v>353</v>
      </c>
      <c r="T287" s="208" t="s">
        <v>179</v>
      </c>
      <c r="U287" s="208" t="s">
        <v>344</v>
      </c>
      <c r="V287" s="208" t="s">
        <v>713</v>
      </c>
      <c r="W287" s="208" t="s">
        <v>356</v>
      </c>
      <c r="X287" s="208"/>
      <c r="Y287" s="208"/>
      <c r="AA287" s="208">
        <v>1</v>
      </c>
      <c r="AB287" s="208">
        <v>1.2</v>
      </c>
      <c r="AC287" s="208">
        <v>2</v>
      </c>
      <c r="AD287" s="208">
        <v>2.5</v>
      </c>
      <c r="AE287" s="208">
        <v>2.7</v>
      </c>
      <c r="AF287" s="208">
        <v>3</v>
      </c>
      <c r="AG287" s="208">
        <v>6</v>
      </c>
      <c r="AK287" s="208">
        <v>1.74</v>
      </c>
      <c r="AL287" s="31">
        <v>1.72</v>
      </c>
      <c r="AM287" s="30">
        <v>0.1</v>
      </c>
      <c r="AN287" t="s">
        <v>727</v>
      </c>
    </row>
    <row r="288" spans="1:44">
      <c r="A288" s="295" t="s">
        <v>749</v>
      </c>
      <c r="B288" t="s">
        <v>657</v>
      </c>
      <c r="C288" t="s">
        <v>658</v>
      </c>
      <c r="D288" s="211">
        <v>8.8179715330664479</v>
      </c>
      <c r="E288" s="211">
        <v>227.92669916320972</v>
      </c>
      <c r="F288" s="208">
        <v>0</v>
      </c>
      <c r="G288" s="208">
        <v>17240</v>
      </c>
      <c r="H288" s="208">
        <v>0.63</v>
      </c>
      <c r="I288" s="208"/>
      <c r="J288" s="208"/>
      <c r="K288" s="208" t="s">
        <v>297</v>
      </c>
      <c r="L288" s="204" t="s">
        <v>442</v>
      </c>
      <c r="M288" s="208">
        <v>567</v>
      </c>
      <c r="N288" s="208"/>
      <c r="O288" s="208">
        <v>2013</v>
      </c>
      <c r="P288" s="208"/>
      <c r="Q288" s="208" t="s">
        <v>337</v>
      </c>
      <c r="R288" s="208" t="s">
        <v>180</v>
      </c>
      <c r="S288" s="208" t="s">
        <v>353</v>
      </c>
      <c r="T288" s="208" t="s">
        <v>179</v>
      </c>
      <c r="U288" s="208" t="s">
        <v>344</v>
      </c>
      <c r="V288" s="208" t="s">
        <v>713</v>
      </c>
      <c r="W288" s="208" t="s">
        <v>356</v>
      </c>
      <c r="X288" s="208"/>
      <c r="Y288" s="208"/>
      <c r="AA288" s="208">
        <v>1</v>
      </c>
      <c r="AB288" s="208">
        <v>1.2</v>
      </c>
      <c r="AC288" s="208">
        <v>2</v>
      </c>
      <c r="AD288" s="208">
        <v>2.5</v>
      </c>
      <c r="AE288" s="208">
        <v>2.7</v>
      </c>
      <c r="AF288" s="208">
        <v>3</v>
      </c>
      <c r="AG288" s="208">
        <v>6</v>
      </c>
      <c r="AK288" s="208">
        <v>1.74</v>
      </c>
      <c r="AL288" s="31">
        <v>1.72</v>
      </c>
      <c r="AM288" s="30">
        <v>0.1</v>
      </c>
      <c r="AN288" t="s">
        <v>728</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750</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750</v>
      </c>
      <c r="B291" s="29" t="s">
        <v>238</v>
      </c>
      <c r="C291" s="29" t="s">
        <v>239</v>
      </c>
      <c r="D291" s="29">
        <v>10</v>
      </c>
      <c r="E291" s="29">
        <v>500</v>
      </c>
      <c r="F291" s="29">
        <v>41000</v>
      </c>
      <c r="G291" s="29">
        <v>730</v>
      </c>
      <c r="H291" s="29">
        <v>1</v>
      </c>
      <c r="I291" s="207"/>
      <c r="J291" s="207"/>
      <c r="K291" s="29" t="s">
        <v>297</v>
      </c>
      <c r="L291" s="200" t="s">
        <v>443</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750</v>
      </c>
      <c r="B292" s="29" t="s">
        <v>240</v>
      </c>
      <c r="C292" s="29" t="s">
        <v>239</v>
      </c>
      <c r="D292" s="29">
        <v>10</v>
      </c>
      <c r="E292" s="29">
        <v>500</v>
      </c>
      <c r="F292" s="29">
        <v>46000</v>
      </c>
      <c r="G292" s="29">
        <v>1320</v>
      </c>
      <c r="H292" s="29">
        <v>1</v>
      </c>
      <c r="I292" s="207"/>
      <c r="J292" s="207"/>
      <c r="K292" s="29" t="s">
        <v>297</v>
      </c>
      <c r="L292" s="200" t="s">
        <v>443</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750</v>
      </c>
      <c r="B293" s="29" t="s">
        <v>241</v>
      </c>
      <c r="C293" s="29" t="s">
        <v>239</v>
      </c>
      <c r="D293" s="29">
        <v>10</v>
      </c>
      <c r="E293" s="29">
        <v>30</v>
      </c>
      <c r="F293" s="29">
        <v>17000</v>
      </c>
      <c r="G293" s="29">
        <v>2600</v>
      </c>
      <c r="H293" s="29">
        <v>1</v>
      </c>
      <c r="I293" s="207"/>
      <c r="J293" s="207"/>
      <c r="K293" s="29" t="s">
        <v>297</v>
      </c>
      <c r="L293" s="200" t="s">
        <v>443</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583</v>
      </c>
      <c r="C296" t="s">
        <v>587</v>
      </c>
      <c r="D296" s="204">
        <v>1000</v>
      </c>
      <c r="E296" s="204">
        <v>30000</v>
      </c>
      <c r="F296">
        <v>0</v>
      </c>
      <c r="G296">
        <v>18</v>
      </c>
      <c r="H296">
        <v>0.73</v>
      </c>
      <c r="K296" s="204" t="s">
        <v>297</v>
      </c>
      <c r="L296" s="204" t="s">
        <v>442</v>
      </c>
      <c r="M296" s="208">
        <v>567</v>
      </c>
      <c r="N296" s="208"/>
      <c r="O296" s="208">
        <v>2013</v>
      </c>
      <c r="P296" s="208" t="s">
        <v>588</v>
      </c>
      <c r="Q296" s="208" t="s">
        <v>588</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588</v>
      </c>
    </row>
    <row r="297" spans="1:44">
      <c r="A297" s="209" t="s">
        <v>293</v>
      </c>
      <c r="B297" t="s">
        <v>766</v>
      </c>
      <c r="C297" s="204" t="s">
        <v>587</v>
      </c>
      <c r="D297">
        <v>1000</v>
      </c>
      <c r="E297">
        <v>1000000</v>
      </c>
      <c r="F297">
        <v>0</v>
      </c>
      <c r="G297">
        <v>265</v>
      </c>
      <c r="H297">
        <v>0.51300000000000001</v>
      </c>
      <c r="K297" s="204" t="s">
        <v>297</v>
      </c>
      <c r="L297" s="204" t="s">
        <v>442</v>
      </c>
      <c r="M297" s="208">
        <v>567</v>
      </c>
      <c r="N297" s="208"/>
      <c r="O297" s="208">
        <v>2013</v>
      </c>
      <c r="Q297" s="208" t="s">
        <v>337</v>
      </c>
      <c r="R297" s="208" t="s">
        <v>180</v>
      </c>
      <c r="S297" s="208" t="s">
        <v>353</v>
      </c>
      <c r="T297" s="208" t="s">
        <v>179</v>
      </c>
      <c r="U297" s="208" t="s">
        <v>344</v>
      </c>
      <c r="V297" s="208" t="s">
        <v>713</v>
      </c>
      <c r="W297" s="208" t="s">
        <v>356</v>
      </c>
      <c r="X297" s="208"/>
      <c r="Y297" s="208"/>
      <c r="AA297" s="208">
        <v>1</v>
      </c>
      <c r="AB297" s="208">
        <v>1.2</v>
      </c>
      <c r="AC297" s="208">
        <v>2</v>
      </c>
      <c r="AD297" s="208">
        <v>2.5</v>
      </c>
      <c r="AE297" s="208">
        <v>2.7</v>
      </c>
      <c r="AF297" s="208">
        <v>3</v>
      </c>
      <c r="AG297" s="208">
        <v>6</v>
      </c>
      <c r="AK297" s="208" t="s">
        <v>162</v>
      </c>
      <c r="AL297" s="31">
        <v>1.88</v>
      </c>
      <c r="AM297" s="30">
        <v>0</v>
      </c>
      <c r="AN297" t="s">
        <v>589</v>
      </c>
    </row>
    <row r="298" spans="1:44">
      <c r="A298" s="209" t="s">
        <v>293</v>
      </c>
      <c r="B298" t="s">
        <v>767</v>
      </c>
      <c r="C298" s="204" t="s">
        <v>587</v>
      </c>
      <c r="D298">
        <v>30000</v>
      </c>
      <c r="E298">
        <v>1000000</v>
      </c>
      <c r="F298">
        <v>0</v>
      </c>
      <c r="G298">
        <v>475</v>
      </c>
      <c r="H298">
        <v>0.50700000000000001</v>
      </c>
      <c r="K298" s="204" t="s">
        <v>297</v>
      </c>
      <c r="L298" s="204" t="s">
        <v>442</v>
      </c>
      <c r="M298" s="208">
        <v>567</v>
      </c>
      <c r="N298" s="208"/>
      <c r="O298" s="208">
        <v>2013</v>
      </c>
      <c r="Q298" s="208" t="s">
        <v>337</v>
      </c>
      <c r="R298" s="208" t="s">
        <v>180</v>
      </c>
      <c r="S298" s="208" t="s">
        <v>353</v>
      </c>
      <c r="T298" s="208" t="s">
        <v>179</v>
      </c>
      <c r="U298" s="208" t="s">
        <v>344</v>
      </c>
      <c r="V298" s="208" t="s">
        <v>713</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589</v>
      </c>
    </row>
    <row r="299" spans="1:44">
      <c r="A299" s="209" t="s">
        <v>293</v>
      </c>
      <c r="B299" t="s">
        <v>584</v>
      </c>
      <c r="C299" s="204" t="s">
        <v>587</v>
      </c>
      <c r="D299">
        <v>10000</v>
      </c>
      <c r="E299">
        <v>1000000</v>
      </c>
      <c r="F299">
        <v>0</v>
      </c>
      <c r="G299">
        <v>68</v>
      </c>
      <c r="H299">
        <v>0.72</v>
      </c>
      <c r="K299" s="204" t="s">
        <v>297</v>
      </c>
      <c r="L299" s="204" t="s">
        <v>442</v>
      </c>
      <c r="M299" s="208">
        <v>567</v>
      </c>
      <c r="N299" s="208"/>
      <c r="O299" s="208">
        <v>2013</v>
      </c>
      <c r="Q299" s="208" t="s">
        <v>337</v>
      </c>
      <c r="R299" s="208" t="s">
        <v>180</v>
      </c>
      <c r="S299" s="208" t="s">
        <v>353</v>
      </c>
      <c r="T299" s="208" t="s">
        <v>179</v>
      </c>
      <c r="U299" s="208" t="s">
        <v>344</v>
      </c>
      <c r="V299" s="208" t="s">
        <v>713</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585</v>
      </c>
      <c r="C300" s="204" t="s">
        <v>587</v>
      </c>
      <c r="D300">
        <v>10000</v>
      </c>
      <c r="E300">
        <v>750000</v>
      </c>
      <c r="F300">
        <v>0</v>
      </c>
      <c r="G300">
        <v>53</v>
      </c>
      <c r="H300">
        <v>0.78</v>
      </c>
      <c r="K300" s="204" t="s">
        <v>297</v>
      </c>
      <c r="L300" s="204" t="s">
        <v>442</v>
      </c>
      <c r="M300" s="208">
        <v>567</v>
      </c>
      <c r="N300" s="208"/>
      <c r="O300" s="208">
        <v>2013</v>
      </c>
      <c r="Q300" s="208" t="s">
        <v>337</v>
      </c>
      <c r="R300" s="208" t="s">
        <v>180</v>
      </c>
      <c r="S300" s="208" t="s">
        <v>353</v>
      </c>
      <c r="T300" s="208" t="s">
        <v>179</v>
      </c>
      <c r="U300" s="208" t="s">
        <v>344</v>
      </c>
      <c r="V300" s="208" t="s">
        <v>713</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586</v>
      </c>
      <c r="C301" t="s">
        <v>462</v>
      </c>
      <c r="D301">
        <v>4000</v>
      </c>
      <c r="E301">
        <v>400000</v>
      </c>
      <c r="F301">
        <v>0</v>
      </c>
      <c r="G301">
        <v>3595</v>
      </c>
      <c r="H301">
        <v>0.43</v>
      </c>
      <c r="K301" s="204" t="s">
        <v>297</v>
      </c>
      <c r="L301" s="204" t="s">
        <v>442</v>
      </c>
      <c r="M301" s="208">
        <v>567</v>
      </c>
      <c r="N301" s="208"/>
      <c r="O301" s="208">
        <v>2013</v>
      </c>
      <c r="Q301" s="208" t="s">
        <v>337</v>
      </c>
      <c r="R301" s="208" t="s">
        <v>180</v>
      </c>
      <c r="S301" s="208" t="s">
        <v>353</v>
      </c>
      <c r="T301" s="208" t="s">
        <v>179</v>
      </c>
      <c r="U301" s="208" t="s">
        <v>344</v>
      </c>
      <c r="V301" s="208" t="s">
        <v>713</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589</v>
      </c>
    </row>
    <row r="302" spans="1:44" s="29" customFormat="1">
      <c r="A302" s="29" t="s">
        <v>293</v>
      </c>
      <c r="B302" s="29" t="s">
        <v>764</v>
      </c>
      <c r="C302" s="29" t="s">
        <v>256</v>
      </c>
      <c r="D302" s="29">
        <v>100</v>
      </c>
      <c r="E302" s="29">
        <v>10000</v>
      </c>
      <c r="F302" s="29">
        <v>113000</v>
      </c>
      <c r="G302" s="29">
        <v>3250</v>
      </c>
      <c r="H302" s="29">
        <v>0.65</v>
      </c>
      <c r="I302" s="207"/>
      <c r="J302" s="207"/>
      <c r="K302" s="29" t="s">
        <v>297</v>
      </c>
      <c r="L302" s="200" t="s">
        <v>443</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765</v>
      </c>
      <c r="C303" s="29" t="s">
        <v>256</v>
      </c>
      <c r="D303" s="29">
        <v>10</v>
      </c>
      <c r="E303" s="29">
        <v>4000</v>
      </c>
      <c r="F303" s="29">
        <v>5800</v>
      </c>
      <c r="G303" s="29">
        <v>1600</v>
      </c>
      <c r="H303" s="29">
        <v>0.7</v>
      </c>
      <c r="I303" s="207"/>
      <c r="J303" s="207"/>
      <c r="K303" s="29" t="s">
        <v>297</v>
      </c>
      <c r="L303" s="200" t="s">
        <v>443</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443</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443</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443</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590</v>
      </c>
    </row>
    <row r="311" spans="1:44">
      <c r="A311" t="s">
        <v>590</v>
      </c>
      <c r="B311" t="s">
        <v>591</v>
      </c>
      <c r="C311" t="s">
        <v>608</v>
      </c>
      <c r="D311">
        <v>0.1</v>
      </c>
      <c r="E311">
        <v>100</v>
      </c>
      <c r="F311">
        <v>0</v>
      </c>
      <c r="G311">
        <v>1915</v>
      </c>
      <c r="H311">
        <v>0.41</v>
      </c>
      <c r="K311" s="204" t="s">
        <v>297</v>
      </c>
      <c r="L311" s="204" t="s">
        <v>442</v>
      </c>
      <c r="M311" s="208">
        <v>567</v>
      </c>
      <c r="N311" s="208"/>
      <c r="O311" s="208">
        <v>2013</v>
      </c>
      <c r="Q311" s="208" t="s">
        <v>337</v>
      </c>
      <c r="R311" s="208" t="s">
        <v>180</v>
      </c>
      <c r="S311" s="208" t="s">
        <v>353</v>
      </c>
      <c r="T311" s="208" t="s">
        <v>179</v>
      </c>
      <c r="U311" s="208" t="s">
        <v>344</v>
      </c>
      <c r="V311" s="208" t="s">
        <v>713</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602</v>
      </c>
    </row>
    <row r="312" spans="1:44">
      <c r="A312" s="204" t="s">
        <v>590</v>
      </c>
      <c r="B312" t="s">
        <v>592</v>
      </c>
      <c r="C312" t="s">
        <v>596</v>
      </c>
      <c r="D312">
        <v>50</v>
      </c>
      <c r="E312">
        <v>350</v>
      </c>
      <c r="F312">
        <v>0</v>
      </c>
      <c r="G312">
        <v>8250</v>
      </c>
      <c r="H312">
        <v>0.37</v>
      </c>
      <c r="K312" s="204" t="s">
        <v>297</v>
      </c>
      <c r="L312" s="204" t="s">
        <v>442</v>
      </c>
      <c r="M312" s="208">
        <v>567</v>
      </c>
      <c r="N312" s="208"/>
      <c r="O312" s="208">
        <v>2013</v>
      </c>
      <c r="Q312" s="208" t="s">
        <v>337</v>
      </c>
      <c r="R312" s="208" t="s">
        <v>180</v>
      </c>
      <c r="S312" s="208" t="s">
        <v>353</v>
      </c>
      <c r="T312" s="208" t="s">
        <v>179</v>
      </c>
      <c r="U312" s="208" t="s">
        <v>344</v>
      </c>
      <c r="V312" s="208" t="s">
        <v>713</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603</v>
      </c>
    </row>
    <row r="313" spans="1:44">
      <c r="A313" s="204" t="s">
        <v>590</v>
      </c>
      <c r="B313" t="s">
        <v>593</v>
      </c>
      <c r="C313" s="204" t="s">
        <v>596</v>
      </c>
      <c r="D313">
        <v>60</v>
      </c>
      <c r="E313">
        <v>240</v>
      </c>
      <c r="F313">
        <v>0</v>
      </c>
      <c r="G313">
        <v>8075</v>
      </c>
      <c r="H313">
        <v>0.41</v>
      </c>
      <c r="K313" s="204" t="s">
        <v>297</v>
      </c>
      <c r="L313" s="204" t="s">
        <v>442</v>
      </c>
      <c r="M313" s="208">
        <v>567</v>
      </c>
      <c r="N313" s="208"/>
      <c r="O313" s="208">
        <v>2013</v>
      </c>
      <c r="Q313" s="208" t="s">
        <v>337</v>
      </c>
      <c r="R313" s="208" t="s">
        <v>180</v>
      </c>
      <c r="S313" s="208" t="s">
        <v>353</v>
      </c>
      <c r="T313" s="208" t="s">
        <v>179</v>
      </c>
      <c r="U313" s="208" t="s">
        <v>344</v>
      </c>
      <c r="V313" s="208" t="s">
        <v>713</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604</v>
      </c>
    </row>
    <row r="314" spans="1:44">
      <c r="A314" s="204" t="s">
        <v>590</v>
      </c>
      <c r="B314" t="s">
        <v>594</v>
      </c>
      <c r="C314" s="204" t="s">
        <v>596</v>
      </c>
      <c r="D314">
        <v>60</v>
      </c>
      <c r="E314">
        <v>270</v>
      </c>
      <c r="F314">
        <v>0</v>
      </c>
      <c r="G314" s="204">
        <v>9785</v>
      </c>
      <c r="H314" s="204">
        <v>0.36</v>
      </c>
      <c r="K314" s="204" t="s">
        <v>297</v>
      </c>
      <c r="L314" s="204" t="s">
        <v>442</v>
      </c>
      <c r="M314" s="208">
        <v>567</v>
      </c>
      <c r="N314" s="208"/>
      <c r="O314" s="208">
        <v>2013</v>
      </c>
      <c r="Q314" s="208" t="s">
        <v>337</v>
      </c>
      <c r="R314" s="208" t="s">
        <v>180</v>
      </c>
      <c r="S314" s="208" t="s">
        <v>353</v>
      </c>
      <c r="T314" s="208" t="s">
        <v>179</v>
      </c>
      <c r="U314" s="208" t="s">
        <v>344</v>
      </c>
      <c r="V314" s="208" t="s">
        <v>713</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604</v>
      </c>
    </row>
    <row r="315" spans="1:44">
      <c r="A315" s="204" t="s">
        <v>590</v>
      </c>
      <c r="B315" t="s">
        <v>595</v>
      </c>
      <c r="C315" s="204" t="s">
        <v>596</v>
      </c>
      <c r="D315">
        <v>50</v>
      </c>
      <c r="E315">
        <v>350</v>
      </c>
      <c r="F315">
        <v>0</v>
      </c>
      <c r="G315">
        <v>10875</v>
      </c>
      <c r="H315">
        <v>0.38</v>
      </c>
      <c r="K315" s="204" t="s">
        <v>297</v>
      </c>
      <c r="L315" s="204" t="s">
        <v>442</v>
      </c>
      <c r="M315" s="208">
        <v>567</v>
      </c>
      <c r="N315" s="208"/>
      <c r="O315" s="208">
        <v>2013</v>
      </c>
      <c r="Q315" s="208" t="s">
        <v>337</v>
      </c>
      <c r="R315" s="208" t="s">
        <v>180</v>
      </c>
      <c r="S315" s="208" t="s">
        <v>353</v>
      </c>
      <c r="T315" s="208" t="s">
        <v>179</v>
      </c>
      <c r="U315" s="208" t="s">
        <v>344</v>
      </c>
      <c r="V315" s="208" t="s">
        <v>713</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605</v>
      </c>
    </row>
    <row r="317" spans="1:44">
      <c r="B317" t="s">
        <v>600</v>
      </c>
    </row>
    <row r="318" spans="1:44">
      <c r="A318" t="s">
        <v>600</v>
      </c>
      <c r="B318" t="s">
        <v>597</v>
      </c>
      <c r="C318" t="s">
        <v>601</v>
      </c>
      <c r="D318">
        <v>75</v>
      </c>
      <c r="E318">
        <v>75000</v>
      </c>
      <c r="F318">
        <v>0</v>
      </c>
      <c r="G318">
        <v>16785</v>
      </c>
      <c r="H318">
        <v>0.64</v>
      </c>
      <c r="K318" s="204" t="s">
        <v>297</v>
      </c>
      <c r="L318" s="204" t="s">
        <v>442</v>
      </c>
      <c r="M318" s="208">
        <v>567</v>
      </c>
      <c r="N318" s="208"/>
      <c r="O318" s="208">
        <v>2013</v>
      </c>
      <c r="Q318" s="208" t="s">
        <v>337</v>
      </c>
      <c r="R318" s="208" t="s">
        <v>180</v>
      </c>
      <c r="S318" s="208" t="s">
        <v>353</v>
      </c>
      <c r="T318" s="208" t="s">
        <v>179</v>
      </c>
      <c r="U318" s="208" t="s">
        <v>344</v>
      </c>
      <c r="V318" s="208" t="s">
        <v>713</v>
      </c>
      <c r="W318" s="208" t="s">
        <v>356</v>
      </c>
      <c r="X318" s="208"/>
      <c r="Y318" s="208"/>
      <c r="AA318" s="208">
        <v>1</v>
      </c>
      <c r="AB318" s="208">
        <v>1.2</v>
      </c>
      <c r="AC318" s="208">
        <v>2</v>
      </c>
      <c r="AD318" s="208">
        <v>2.5</v>
      </c>
      <c r="AE318" s="208">
        <v>2.7</v>
      </c>
      <c r="AF318" s="208">
        <v>3</v>
      </c>
      <c r="AG318" s="208">
        <v>6</v>
      </c>
      <c r="AK318" s="29">
        <v>1</v>
      </c>
      <c r="AL318" s="27">
        <v>1.62</v>
      </c>
      <c r="AM318" s="30">
        <v>1.3</v>
      </c>
      <c r="AN318" t="s">
        <v>509</v>
      </c>
    </row>
    <row r="319" spans="1:44">
      <c r="A319" s="204" t="s">
        <v>600</v>
      </c>
      <c r="B319" s="204" t="s">
        <v>598</v>
      </c>
      <c r="C319" s="204" t="s">
        <v>601</v>
      </c>
      <c r="D319" s="204">
        <v>75</v>
      </c>
      <c r="E319" s="204">
        <v>75000</v>
      </c>
      <c r="F319">
        <v>0</v>
      </c>
      <c r="G319">
        <v>48760</v>
      </c>
      <c r="H319" s="204">
        <v>0.64</v>
      </c>
      <c r="K319" s="204" t="s">
        <v>297</v>
      </c>
      <c r="L319" s="204" t="s">
        <v>442</v>
      </c>
      <c r="M319" s="208">
        <v>567</v>
      </c>
      <c r="N319" s="208"/>
      <c r="O319" s="208">
        <v>2013</v>
      </c>
      <c r="Q319" s="208" t="s">
        <v>337</v>
      </c>
      <c r="R319" s="208" t="s">
        <v>180</v>
      </c>
      <c r="S319" s="208" t="s">
        <v>353</v>
      </c>
      <c r="T319" s="208" t="s">
        <v>179</v>
      </c>
      <c r="U319" s="208" t="s">
        <v>344</v>
      </c>
      <c r="V319" s="208" t="s">
        <v>713</v>
      </c>
      <c r="W319" s="208" t="s">
        <v>356</v>
      </c>
      <c r="X319" s="208"/>
      <c r="Y319" s="208"/>
      <c r="AA319" s="208">
        <v>1</v>
      </c>
      <c r="AB319" s="208">
        <v>1.2</v>
      </c>
      <c r="AC319" s="208">
        <v>2</v>
      </c>
      <c r="AD319" s="208">
        <v>2.5</v>
      </c>
      <c r="AE319" s="208">
        <v>2.7</v>
      </c>
      <c r="AF319" s="208">
        <v>3</v>
      </c>
      <c r="AG319" s="208">
        <v>6</v>
      </c>
      <c r="AK319" s="29">
        <v>1</v>
      </c>
      <c r="AL319" s="27">
        <v>1.62</v>
      </c>
      <c r="AM319" s="30">
        <v>1.3</v>
      </c>
      <c r="AN319" s="204" t="s">
        <v>509</v>
      </c>
    </row>
    <row r="320" spans="1:44">
      <c r="A320" s="204" t="s">
        <v>600</v>
      </c>
      <c r="B320" s="204" t="s">
        <v>599</v>
      </c>
      <c r="C320" s="204" t="s">
        <v>601</v>
      </c>
      <c r="D320" s="204">
        <v>75</v>
      </c>
      <c r="E320" s="204">
        <v>75000</v>
      </c>
      <c r="F320">
        <v>0</v>
      </c>
      <c r="G320">
        <v>99790</v>
      </c>
      <c r="H320" s="204">
        <v>0.64</v>
      </c>
      <c r="K320" s="204" t="s">
        <v>297</v>
      </c>
      <c r="L320" s="204" t="s">
        <v>442</v>
      </c>
      <c r="M320" s="208">
        <v>567</v>
      </c>
      <c r="N320" s="208"/>
      <c r="O320" s="208">
        <v>2013</v>
      </c>
      <c r="Q320" s="208" t="s">
        <v>337</v>
      </c>
      <c r="R320" s="208" t="s">
        <v>180</v>
      </c>
      <c r="S320" s="208" t="s">
        <v>353</v>
      </c>
      <c r="T320" s="208" t="s">
        <v>179</v>
      </c>
      <c r="U320" s="208" t="s">
        <v>344</v>
      </c>
      <c r="V320" s="208" t="s">
        <v>713</v>
      </c>
      <c r="W320" s="208" t="s">
        <v>356</v>
      </c>
      <c r="X320" s="208"/>
      <c r="Y320" s="208"/>
      <c r="AA320" s="208">
        <v>1</v>
      </c>
      <c r="AB320" s="208">
        <v>1.2</v>
      </c>
      <c r="AC320" s="208">
        <v>2</v>
      </c>
      <c r="AD320" s="208">
        <v>2.5</v>
      </c>
      <c r="AE320" s="208">
        <v>2.7</v>
      </c>
      <c r="AF320" s="208">
        <v>3</v>
      </c>
      <c r="AG320" s="208">
        <v>6</v>
      </c>
      <c r="AK320" s="29">
        <v>1</v>
      </c>
      <c r="AL320" s="27">
        <v>1.62</v>
      </c>
      <c r="AM320" s="30">
        <v>1.3</v>
      </c>
      <c r="AN320" s="204" t="s">
        <v>509</v>
      </c>
    </row>
    <row r="321" spans="1:40" s="417" customFormat="1">
      <c r="AL321" s="27"/>
    </row>
    <row r="322" spans="1:40" s="417" customFormat="1">
      <c r="B322" s="417" t="s">
        <v>1856</v>
      </c>
      <c r="AL322" s="27"/>
    </row>
    <row r="323" spans="1:40" s="417" customFormat="1">
      <c r="A323" s="417" t="s">
        <v>1856</v>
      </c>
      <c r="B323" s="417" t="s">
        <v>1859</v>
      </c>
      <c r="C323" s="417" t="s">
        <v>1855</v>
      </c>
      <c r="D323" s="417">
        <v>1</v>
      </c>
      <c r="E323" s="417">
        <v>50</v>
      </c>
      <c r="F323" s="417">
        <v>13.8330137696361</v>
      </c>
      <c r="G323" s="417">
        <v>0.47583311356122399</v>
      </c>
      <c r="H323" s="417">
        <v>1.1802524046126899E-2</v>
      </c>
      <c r="I323" s="417">
        <v>2.8134588781736299E-2</v>
      </c>
      <c r="J323" s="417">
        <v>-3.8560427016310198E-3</v>
      </c>
      <c r="K323" s="417" t="s">
        <v>557</v>
      </c>
      <c r="L323" s="417" t="s">
        <v>1732</v>
      </c>
      <c r="O323" s="417">
        <v>2016</v>
      </c>
      <c r="Q323" s="31" t="s">
        <v>785</v>
      </c>
      <c r="R323" s="31"/>
      <c r="S323" s="31"/>
      <c r="T323" s="31"/>
      <c r="U323" s="31"/>
      <c r="V323" s="31"/>
      <c r="W323" s="31"/>
      <c r="X323" s="31"/>
      <c r="Y323" s="31"/>
      <c r="Z323" s="31"/>
      <c r="AA323" s="31">
        <v>1</v>
      </c>
      <c r="AL323" s="27">
        <v>1.62</v>
      </c>
      <c r="AM323" s="417">
        <v>0</v>
      </c>
      <c r="AN323" s="417" t="s">
        <v>1864</v>
      </c>
    </row>
    <row r="324" spans="1:40" s="417" customFormat="1">
      <c r="A324" s="417" t="s">
        <v>1856</v>
      </c>
      <c r="B324" s="417" t="s">
        <v>1860</v>
      </c>
      <c r="C324" s="417" t="s">
        <v>1855</v>
      </c>
      <c r="D324" s="417">
        <v>1</v>
      </c>
      <c r="E324" s="417">
        <v>50</v>
      </c>
      <c r="F324" s="417">
        <v>13.545341785185901</v>
      </c>
      <c r="G324" s="417">
        <v>0.47594958831026701</v>
      </c>
      <c r="H324" s="417">
        <v>1.1634229276244299E-2</v>
      </c>
      <c r="I324" s="417">
        <v>2.82019341788457E-2</v>
      </c>
      <c r="J324" s="417">
        <v>-3.8642765556182001E-3</v>
      </c>
      <c r="K324" s="417" t="s">
        <v>557</v>
      </c>
      <c r="L324" s="417" t="s">
        <v>1732</v>
      </c>
      <c r="O324" s="417">
        <v>2016</v>
      </c>
      <c r="Q324" s="31" t="s">
        <v>785</v>
      </c>
      <c r="R324" s="31"/>
      <c r="S324" s="31"/>
      <c r="T324" s="31"/>
      <c r="U324" s="31"/>
      <c r="V324" s="31"/>
      <c r="W324" s="31"/>
      <c r="X324" s="31"/>
      <c r="Y324" s="31"/>
      <c r="Z324" s="31"/>
      <c r="AA324" s="31">
        <v>1</v>
      </c>
      <c r="AL324" s="27">
        <v>1.62</v>
      </c>
      <c r="AM324" s="417">
        <v>0</v>
      </c>
      <c r="AN324" s="417" t="s">
        <v>1867</v>
      </c>
    </row>
    <row r="325" spans="1:40" s="418" customFormat="1">
      <c r="A325" s="418" t="s">
        <v>1856</v>
      </c>
      <c r="B325" s="418" t="s">
        <v>1861</v>
      </c>
      <c r="C325" s="418" t="s">
        <v>1855</v>
      </c>
      <c r="D325" s="418">
        <v>1</v>
      </c>
      <c r="E325" s="418">
        <v>50</v>
      </c>
      <c r="F325" s="418">
        <v>14.0922875826611</v>
      </c>
      <c r="G325" s="418">
        <v>0.48626227417759599</v>
      </c>
      <c r="H325" s="418">
        <v>-1.2977207620386001E-2</v>
      </c>
      <c r="I325" s="418">
        <v>4.1280156063513797E-2</v>
      </c>
      <c r="J325" s="418">
        <v>-5.5931858305121396E-3</v>
      </c>
      <c r="K325" s="418" t="s">
        <v>557</v>
      </c>
      <c r="L325" s="418" t="s">
        <v>1732</v>
      </c>
      <c r="O325" s="418">
        <v>2016</v>
      </c>
      <c r="Q325" s="31" t="s">
        <v>785</v>
      </c>
      <c r="R325" s="31"/>
      <c r="S325" s="31"/>
      <c r="T325" s="31"/>
      <c r="U325" s="31"/>
      <c r="V325" s="31"/>
      <c r="W325" s="31"/>
      <c r="X325" s="31"/>
      <c r="Y325" s="31"/>
      <c r="Z325" s="31"/>
      <c r="AA325" s="31">
        <v>1</v>
      </c>
      <c r="AL325" s="27">
        <v>1.66</v>
      </c>
      <c r="AM325" s="418">
        <v>0</v>
      </c>
      <c r="AN325" s="418" t="s">
        <v>1866</v>
      </c>
    </row>
    <row r="326" spans="1:40" s="418" customFormat="1">
      <c r="A326" s="418" t="s">
        <v>1856</v>
      </c>
      <c r="B326" s="418" t="s">
        <v>1862</v>
      </c>
      <c r="C326" s="418" t="s">
        <v>1855</v>
      </c>
      <c r="D326" s="418">
        <v>1</v>
      </c>
      <c r="E326" s="418">
        <v>50</v>
      </c>
      <c r="F326" s="418">
        <v>13.804603775376</v>
      </c>
      <c r="G326" s="418">
        <v>0.48627057934662299</v>
      </c>
      <c r="H326" s="418">
        <v>-1.29849974871912E-2</v>
      </c>
      <c r="I326" s="418">
        <v>4.12827109433863E-2</v>
      </c>
      <c r="J326" s="418">
        <v>-5.5934614894726196E-3</v>
      </c>
      <c r="K326" s="418" t="s">
        <v>557</v>
      </c>
      <c r="L326" s="418" t="s">
        <v>1732</v>
      </c>
      <c r="O326" s="418">
        <v>2016</v>
      </c>
      <c r="Q326" s="31" t="s">
        <v>785</v>
      </c>
      <c r="R326" s="31"/>
      <c r="S326" s="31"/>
      <c r="T326" s="31"/>
      <c r="U326" s="31"/>
      <c r="V326" s="31"/>
      <c r="W326" s="31"/>
      <c r="X326" s="31"/>
      <c r="Y326" s="31"/>
      <c r="Z326" s="31"/>
      <c r="AA326" s="31">
        <v>1</v>
      </c>
      <c r="AL326" s="27">
        <v>1.66</v>
      </c>
      <c r="AM326" s="418">
        <v>0</v>
      </c>
      <c r="AN326" s="418" t="s">
        <v>1865</v>
      </c>
    </row>
    <row r="327" spans="1:40">
      <c r="K327" s="29"/>
      <c r="L327" s="29"/>
    </row>
    <row r="328" spans="1:40">
      <c r="B328" t="s">
        <v>777</v>
      </c>
      <c r="C328" s="1" t="s">
        <v>779</v>
      </c>
    </row>
    <row r="329" spans="1:40">
      <c r="C329" s="212"/>
      <c r="M329" s="31"/>
      <c r="N329" s="31"/>
      <c r="O329" s="31"/>
    </row>
    <row r="330" spans="1:40">
      <c r="C330" s="212"/>
      <c r="P330" s="208"/>
    </row>
    <row r="331" spans="1:40">
      <c r="B331" s="209"/>
      <c r="C331" s="212"/>
      <c r="P331" s="208"/>
    </row>
    <row r="332" spans="1:40">
      <c r="B332" s="209"/>
      <c r="C332" s="212"/>
      <c r="P332" s="208"/>
    </row>
    <row r="333" spans="1:40">
      <c r="B333" s="209"/>
      <c r="C333" s="209"/>
      <c r="P333" s="208"/>
    </row>
    <row r="334" spans="1:40">
      <c r="B334" s="209"/>
      <c r="C334" s="209"/>
    </row>
    <row r="335" spans="1:40">
      <c r="B335" s="209"/>
      <c r="C335" s="209"/>
    </row>
    <row r="336" spans="1:40">
      <c r="B336" s="209"/>
      <c r="C336" s="209"/>
    </row>
    <row r="337" spans="2:40">
      <c r="B337" s="209"/>
      <c r="C337" s="209"/>
    </row>
    <row r="338" spans="2:40">
      <c r="B338" s="209"/>
      <c r="C338" s="209"/>
    </row>
    <row r="339" spans="2:40">
      <c r="B339" s="209"/>
      <c r="C339" s="209"/>
      <c r="D339" s="211"/>
      <c r="E339" s="211"/>
      <c r="AN339" s="208"/>
    </row>
    <row r="340" spans="2:40">
      <c r="B340" s="209"/>
      <c r="C340" s="209"/>
      <c r="AN340" s="208"/>
    </row>
    <row r="341" spans="2:40">
      <c r="B341" s="209"/>
      <c r="C341" s="209"/>
      <c r="AN341" s="208"/>
    </row>
    <row r="342" spans="2:40">
      <c r="B342" s="209"/>
      <c r="C342" s="209"/>
    </row>
    <row r="343" spans="2:40">
      <c r="B343" s="209"/>
      <c r="C343" s="209"/>
    </row>
    <row r="344" spans="2:40">
      <c r="B344" s="209"/>
      <c r="C344" s="209"/>
    </row>
    <row r="345" spans="2:40">
      <c r="B345" s="209"/>
      <c r="C345" s="209"/>
    </row>
    <row r="346" spans="2:40">
      <c r="B346" s="209"/>
      <c r="C346" s="209"/>
    </row>
    <row r="347" spans="2:40">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40">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40">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40">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40">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40">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row r="624" spans="2:39">
      <c r="B624" s="209"/>
      <c r="C624" s="209"/>
      <c r="I624"/>
      <c r="J624"/>
      <c r="K624"/>
      <c r="L624"/>
      <c r="M624"/>
      <c r="N624"/>
      <c r="Q624"/>
      <c r="R624"/>
      <c r="S624"/>
      <c r="T624"/>
      <c r="U624"/>
      <c r="V624"/>
      <c r="W624"/>
      <c r="X624"/>
      <c r="Y624"/>
      <c r="Z624"/>
      <c r="AA624"/>
      <c r="AB624"/>
      <c r="AC624"/>
      <c r="AD624"/>
      <c r="AE624"/>
      <c r="AF624"/>
      <c r="AG624"/>
      <c r="AH624"/>
      <c r="AI624"/>
      <c r="AJ624"/>
      <c r="AK624"/>
      <c r="AL624"/>
      <c r="AM624"/>
    </row>
    <row r="625" spans="2:39">
      <c r="B625" s="209"/>
      <c r="C625" s="209"/>
      <c r="I625"/>
      <c r="J625"/>
      <c r="K625"/>
      <c r="L625"/>
      <c r="M625"/>
      <c r="N625"/>
      <c r="Q625"/>
      <c r="R625"/>
      <c r="S625"/>
      <c r="T625"/>
      <c r="U625"/>
      <c r="V625"/>
      <c r="W625"/>
      <c r="X625"/>
      <c r="Y625"/>
      <c r="Z625"/>
      <c r="AA625"/>
      <c r="AB625"/>
      <c r="AC625"/>
      <c r="AD625"/>
      <c r="AE625"/>
      <c r="AF625"/>
      <c r="AG625"/>
      <c r="AH625"/>
      <c r="AI625"/>
      <c r="AJ625"/>
      <c r="AK625"/>
      <c r="AL625"/>
      <c r="AM625"/>
    </row>
    <row r="626" spans="2:39">
      <c r="B626" s="209"/>
      <c r="C626" s="209"/>
      <c r="I626"/>
      <c r="J626"/>
      <c r="K626"/>
      <c r="L626"/>
      <c r="M626"/>
      <c r="N626"/>
      <c r="Q626"/>
      <c r="R626"/>
      <c r="S626"/>
      <c r="T626"/>
      <c r="U626"/>
      <c r="V626"/>
      <c r="W626"/>
      <c r="X626"/>
      <c r="Y626"/>
      <c r="Z626"/>
      <c r="AA626"/>
      <c r="AB626"/>
      <c r="AC626"/>
      <c r="AD626"/>
      <c r="AE626"/>
      <c r="AF626"/>
      <c r="AG626"/>
      <c r="AH626"/>
      <c r="AI626"/>
      <c r="AJ626"/>
      <c r="AK626"/>
      <c r="AL626"/>
      <c r="AM626"/>
    </row>
    <row r="627" spans="2:39">
      <c r="B627" s="209"/>
      <c r="C627" s="209"/>
      <c r="I627"/>
      <c r="J627"/>
      <c r="K627"/>
      <c r="L627"/>
      <c r="M627"/>
      <c r="N627"/>
      <c r="Q627"/>
      <c r="R627"/>
      <c r="S627"/>
      <c r="T627"/>
      <c r="U627"/>
      <c r="V627"/>
      <c r="W627"/>
      <c r="X627"/>
      <c r="Y627"/>
      <c r="Z627"/>
      <c r="AA627"/>
      <c r="AB627"/>
      <c r="AC627"/>
      <c r="AD627"/>
      <c r="AE627"/>
      <c r="AF627"/>
      <c r="AG627"/>
      <c r="AH627"/>
      <c r="AI627"/>
      <c r="AJ627"/>
      <c r="AK627"/>
      <c r="AL627"/>
      <c r="AM627"/>
    </row>
    <row r="628" spans="2:39">
      <c r="B628" s="209"/>
      <c r="C628" s="209"/>
      <c r="I628"/>
      <c r="J628"/>
      <c r="K628"/>
      <c r="L628"/>
      <c r="M628"/>
      <c r="N628"/>
      <c r="Q628"/>
      <c r="R628"/>
      <c r="S628"/>
      <c r="T628"/>
      <c r="U628"/>
      <c r="V628"/>
      <c r="W628"/>
      <c r="X628"/>
      <c r="Y628"/>
      <c r="Z628"/>
      <c r="AA628"/>
      <c r="AB628"/>
      <c r="AC628"/>
      <c r="AD628"/>
      <c r="AE628"/>
      <c r="AF628"/>
      <c r="AG628"/>
      <c r="AH628"/>
      <c r="AI628"/>
      <c r="AJ628"/>
      <c r="AK628"/>
      <c r="AL628"/>
      <c r="AM628"/>
    </row>
    <row r="629" spans="2:39">
      <c r="B629" s="209"/>
      <c r="C629" s="209"/>
      <c r="I629"/>
      <c r="J629"/>
      <c r="K629"/>
      <c r="L629"/>
      <c r="M629"/>
      <c r="N629"/>
      <c r="Q629"/>
      <c r="R629"/>
      <c r="S629"/>
      <c r="T629"/>
      <c r="U629"/>
      <c r="V629"/>
      <c r="W629"/>
      <c r="X629"/>
      <c r="Y629"/>
      <c r="Z629"/>
      <c r="AA629"/>
      <c r="AB629"/>
      <c r="AC629"/>
      <c r="AD629"/>
      <c r="AE629"/>
      <c r="AF629"/>
      <c r="AG629"/>
      <c r="AH629"/>
      <c r="AI629"/>
      <c r="AJ629"/>
      <c r="AK629"/>
      <c r="AL629"/>
      <c r="AM629"/>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defaultColWidth="10.875" defaultRowHeight="15.75"/>
  <cols>
    <col min="1" max="1" width="38" style="221" customWidth="1"/>
    <col min="2" max="2" width="37.5" style="221" bestFit="1" customWidth="1"/>
    <col min="3" max="3" width="38.375" style="221" bestFit="1" customWidth="1"/>
    <col min="4" max="4" width="38.5" style="221" bestFit="1" customWidth="1"/>
    <col min="5" max="5" width="40.375" style="221" bestFit="1" customWidth="1"/>
    <col min="6" max="6" width="36.625" style="221" bestFit="1" customWidth="1"/>
    <col min="7" max="7" width="36.125" style="221" bestFit="1" customWidth="1"/>
    <col min="8" max="8" width="46" style="221" bestFit="1" customWidth="1"/>
    <col min="9" max="9" width="46.5" style="221" bestFit="1" customWidth="1"/>
    <col min="10" max="10" width="46" style="221" bestFit="1" customWidth="1"/>
    <col min="11" max="11" width="44.625" style="221" bestFit="1" customWidth="1"/>
    <col min="12" max="12" width="45.125" style="221" bestFit="1" customWidth="1"/>
    <col min="13" max="13" width="44.625" style="221" bestFit="1" customWidth="1"/>
    <col min="14" max="14" width="25.375" style="221" bestFit="1" customWidth="1"/>
    <col min="15" max="15" width="25.875" style="221" bestFit="1" customWidth="1"/>
    <col min="16" max="16" width="25.375" style="221" bestFit="1" customWidth="1"/>
    <col min="17" max="17" width="23.625" style="221" bestFit="1" customWidth="1"/>
    <col min="18" max="18" width="24.375" style="221" bestFit="1" customWidth="1"/>
    <col min="19" max="19" width="23.625" style="221" bestFit="1" customWidth="1"/>
    <col min="20" max="20" width="32.125" style="221" bestFit="1" customWidth="1"/>
    <col min="21" max="21" width="32.625" style="221" bestFit="1" customWidth="1"/>
    <col min="22" max="22" width="32.125" style="221" bestFit="1" customWidth="1"/>
    <col min="23" max="16384" width="10.875" style="221"/>
  </cols>
  <sheetData>
    <row r="1" spans="1:24">
      <c r="A1" s="221" t="s">
        <v>991</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833</v>
      </c>
      <c r="P3" s="294"/>
    </row>
    <row r="4" spans="1:24">
      <c r="A4" s="182" t="s">
        <v>161</v>
      </c>
      <c r="B4" s="182" t="s">
        <v>1033</v>
      </c>
      <c r="C4" s="182" t="s">
        <v>1034</v>
      </c>
      <c r="D4" s="182" t="s">
        <v>1035</v>
      </c>
      <c r="E4" s="182" t="s">
        <v>1036</v>
      </c>
      <c r="F4" s="182" t="s">
        <v>1037</v>
      </c>
      <c r="G4" s="182" t="s">
        <v>1041</v>
      </c>
      <c r="H4" s="182" t="s">
        <v>1038</v>
      </c>
      <c r="I4" s="182" t="s">
        <v>1039</v>
      </c>
      <c r="J4" s="182" t="s">
        <v>1040</v>
      </c>
      <c r="K4" s="182" t="s">
        <v>1042</v>
      </c>
      <c r="L4" s="182" t="s">
        <v>1043</v>
      </c>
      <c r="M4" s="182" t="s">
        <v>1044</v>
      </c>
      <c r="N4" s="182" t="s">
        <v>834</v>
      </c>
      <c r="O4" s="182" t="s">
        <v>835</v>
      </c>
      <c r="P4" s="182" t="s">
        <v>836</v>
      </c>
      <c r="Q4" s="182" t="s">
        <v>837</v>
      </c>
      <c r="R4" s="182" t="s">
        <v>838</v>
      </c>
      <c r="S4" s="182" t="s">
        <v>839</v>
      </c>
      <c r="T4" s="182" t="s">
        <v>840</v>
      </c>
      <c r="U4" s="182" t="s">
        <v>841</v>
      </c>
      <c r="V4" s="182" t="s">
        <v>842</v>
      </c>
      <c r="X4" s="294"/>
    </row>
    <row r="5" spans="1:24">
      <c r="A5" s="221" t="s">
        <v>843</v>
      </c>
      <c r="B5" s="321" t="s">
        <v>1046</v>
      </c>
      <c r="C5" s="321" t="s">
        <v>1046</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844</v>
      </c>
      <c r="B6" s="321" t="s">
        <v>1046</v>
      </c>
      <c r="C6" s="321" t="s">
        <v>1046</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845</v>
      </c>
      <c r="B7" s="321" t="s">
        <v>1046</v>
      </c>
      <c r="C7" s="321" t="s">
        <v>1046</v>
      </c>
      <c r="D7" s="321">
        <v>5</v>
      </c>
      <c r="E7" s="321" t="s">
        <v>1046</v>
      </c>
      <c r="F7" s="321" t="s">
        <v>1046</v>
      </c>
      <c r="G7" s="321">
        <v>5</v>
      </c>
      <c r="H7" s="321" t="s">
        <v>1046</v>
      </c>
      <c r="I7" s="321" t="s">
        <v>1046</v>
      </c>
      <c r="J7" s="321">
        <v>5</v>
      </c>
      <c r="K7" s="321" t="s">
        <v>1046</v>
      </c>
      <c r="L7" s="321" t="s">
        <v>1046</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388</v>
      </c>
      <c r="B8" s="321" t="s">
        <v>1046</v>
      </c>
      <c r="C8" s="321" t="s">
        <v>1046</v>
      </c>
      <c r="D8" s="321">
        <v>5</v>
      </c>
      <c r="E8" s="321" t="s">
        <v>1046</v>
      </c>
      <c r="F8" s="321" t="s">
        <v>1046</v>
      </c>
      <c r="G8" s="321">
        <v>5</v>
      </c>
      <c r="H8" s="321" t="s">
        <v>1046</v>
      </c>
      <c r="I8" s="321" t="s">
        <v>1046</v>
      </c>
      <c r="J8" s="321">
        <v>5</v>
      </c>
      <c r="K8" s="321" t="s">
        <v>1046</v>
      </c>
      <c r="L8" s="321" t="s">
        <v>1046</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846</v>
      </c>
      <c r="B9" s="321" t="s">
        <v>1046</v>
      </c>
      <c r="C9" s="321" t="s">
        <v>1046</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847</v>
      </c>
      <c r="B10" s="321" t="s">
        <v>1046</v>
      </c>
      <c r="C10" s="321" t="s">
        <v>1046</v>
      </c>
      <c r="D10" s="321" t="s">
        <v>1046</v>
      </c>
      <c r="E10" s="321" t="s">
        <v>1046</v>
      </c>
      <c r="F10" s="321" t="s">
        <v>1046</v>
      </c>
      <c r="G10" s="321">
        <v>5</v>
      </c>
      <c r="H10" s="321" t="s">
        <v>1046</v>
      </c>
      <c r="I10" s="321" t="s">
        <v>1046</v>
      </c>
      <c r="J10" s="321" t="s">
        <v>1046</v>
      </c>
      <c r="K10" s="321" t="s">
        <v>1046</v>
      </c>
      <c r="L10" s="321" t="s">
        <v>1046</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848</v>
      </c>
      <c r="B11" s="321" t="s">
        <v>1046</v>
      </c>
      <c r="C11" s="321" t="s">
        <v>1046</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849</v>
      </c>
      <c r="B12" s="321" t="s">
        <v>1046</v>
      </c>
      <c r="C12" s="321" t="s">
        <v>1046</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850</v>
      </c>
    </row>
    <row r="15" spans="1:24">
      <c r="A15" s="182" t="s">
        <v>171</v>
      </c>
      <c r="B15" s="182" t="s">
        <v>988</v>
      </c>
      <c r="C15" s="182" t="s">
        <v>989</v>
      </c>
      <c r="D15" s="182" t="s">
        <v>990</v>
      </c>
      <c r="E15" s="182" t="s">
        <v>851</v>
      </c>
      <c r="F15" s="182" t="s">
        <v>907</v>
      </c>
      <c r="G15" s="182" t="s">
        <v>207</v>
      </c>
      <c r="H15" s="182" t="s">
        <v>172</v>
      </c>
      <c r="I15" s="182" t="s">
        <v>18</v>
      </c>
      <c r="J15" s="182" t="s">
        <v>109</v>
      </c>
      <c r="K15" s="182" t="s">
        <v>173</v>
      </c>
      <c r="L15" s="182" t="s">
        <v>174</v>
      </c>
      <c r="M15" s="182" t="s">
        <v>982</v>
      </c>
      <c r="N15" s="182" t="s">
        <v>175</v>
      </c>
    </row>
    <row r="16" spans="1:24">
      <c r="A16" s="221" t="s">
        <v>181</v>
      </c>
      <c r="B16" s="322" t="s">
        <v>1046</v>
      </c>
      <c r="C16" s="322" t="s">
        <v>1046</v>
      </c>
      <c r="D16" s="322">
        <v>70</v>
      </c>
      <c r="E16" s="321"/>
      <c r="F16" s="318" t="s">
        <v>57</v>
      </c>
      <c r="G16" s="221" t="s">
        <v>852</v>
      </c>
      <c r="H16" s="211">
        <v>0.96</v>
      </c>
      <c r="I16" s="221" t="s">
        <v>20</v>
      </c>
      <c r="J16" s="221">
        <v>2018</v>
      </c>
      <c r="K16" s="358" t="s">
        <v>1105</v>
      </c>
      <c r="L16" s="7">
        <f>Spent2[[#This Row],[Spot Price ($)]]*VLOOKUP(OutMassUnit,UnitConv[],5,FALSE)/VLOOKUP(Spent2[[#This Row],[Unit]],UnitConv[],5,FALSE)</f>
        <v>0.96</v>
      </c>
      <c r="M16" s="7">
        <f>Spent2[[#This Row],[Price $ / Model Mass Unit]]/VLOOKUP(Spent2[[#This Row],[Year]],ChemPPI[],14,FALSE)*VLOOKUP(BasisYear,ChemPPI[],14,FALSE)</f>
        <v>0.89194378739390567</v>
      </c>
      <c r="N16" s="221" t="str">
        <f t="shared" ref="N16:N29" si="4">CurrencySymbol&amp;"/"&amp;OutMassUnit&amp;" ("&amp;BasisYear&amp;")"</f>
        <v>$/lb (2016)</v>
      </c>
      <c r="T16" s="223"/>
    </row>
    <row r="17" spans="1:14">
      <c r="A17" s="221" t="s">
        <v>177</v>
      </c>
      <c r="B17" s="322" t="s">
        <v>1046</v>
      </c>
      <c r="C17" s="322" t="s">
        <v>1046</v>
      </c>
      <c r="D17" s="322">
        <v>20</v>
      </c>
      <c r="E17" s="321"/>
      <c r="F17" s="318" t="s">
        <v>57</v>
      </c>
      <c r="H17" s="211">
        <v>29.6</v>
      </c>
      <c r="I17" s="221" t="s">
        <v>20</v>
      </c>
      <c r="J17" s="221">
        <v>2018</v>
      </c>
      <c r="K17" s="358" t="s">
        <v>1105</v>
      </c>
      <c r="L17" s="224">
        <f>Spent2[[#This Row],[Spot Price ($)]]*VLOOKUP(OutMassUnit,UnitConv[],5,FALSE)/VLOOKUP(Spent2[[#This Row],[Unit]],UnitConv[],5,FALSE)</f>
        <v>29.6</v>
      </c>
      <c r="M17" s="224">
        <f>Spent2[[#This Row],[Price $ / Model Mass Unit]]/VLOOKUP(Spent2[[#This Row],[Year]],ChemPPI[],14,FALSE)*VLOOKUP(BasisYear,ChemPPI[],14,FALSE)</f>
        <v>27.501600111312094</v>
      </c>
      <c r="N17" s="221" t="str">
        <f t="shared" si="4"/>
        <v>$/lb (2016)</v>
      </c>
    </row>
    <row r="18" spans="1:14">
      <c r="A18" s="221" t="s">
        <v>180</v>
      </c>
      <c r="B18" s="322">
        <v>15</v>
      </c>
      <c r="C18" s="322">
        <v>25</v>
      </c>
      <c r="D18" s="322">
        <v>20</v>
      </c>
      <c r="E18" s="321"/>
      <c r="F18" s="318" t="s">
        <v>57</v>
      </c>
      <c r="G18" s="221" t="s">
        <v>853</v>
      </c>
      <c r="H18" s="211">
        <v>2.75</v>
      </c>
      <c r="I18" s="221" t="s">
        <v>20</v>
      </c>
      <c r="J18" s="221">
        <v>2018</v>
      </c>
      <c r="K18" s="358" t="s">
        <v>1105</v>
      </c>
      <c r="L18" s="224">
        <f>Spent2[[#This Row],[Spot Price ($)]]*VLOOKUP(OutMassUnit,UnitConv[],5,FALSE)/VLOOKUP(Spent2[[#This Row],[Unit]],UnitConv[],5,FALSE)</f>
        <v>2.75</v>
      </c>
      <c r="M18" s="224">
        <f>Spent2[[#This Row],[Price $ / Model Mass Unit]]/VLOOKUP(Spent2[[#This Row],[Year]],ChemPPI[],14,FALSE)*VLOOKUP(BasisYear,ChemPPI[],14,FALSE)</f>
        <v>2.5550473076387923</v>
      </c>
      <c r="N18" s="221" t="str">
        <f t="shared" si="4"/>
        <v>$/lb (2016)</v>
      </c>
    </row>
    <row r="19" spans="1:14">
      <c r="A19" s="221" t="s">
        <v>190</v>
      </c>
      <c r="B19" s="322" t="s">
        <v>1046</v>
      </c>
      <c r="C19" s="322" t="s">
        <v>1046</v>
      </c>
      <c r="D19" s="322">
        <v>10</v>
      </c>
      <c r="E19" s="321">
        <v>11</v>
      </c>
      <c r="F19" s="318" t="s">
        <v>56</v>
      </c>
      <c r="H19" s="8">
        <v>1200.8</v>
      </c>
      <c r="I19" s="221" t="s">
        <v>62</v>
      </c>
      <c r="J19" s="221">
        <v>2018</v>
      </c>
      <c r="K19" s="221" t="s">
        <v>1105</v>
      </c>
      <c r="L19" s="224">
        <f>Spent2[[#This Row],[Spot Price ($)]]*VLOOKUP(OutMassUnit,UnitConv[],5,FALSE)/VLOOKUP(Spent2[[#This Row],[Unit]],UnitConv[],5,FALSE)</f>
        <v>17511.666666666668</v>
      </c>
      <c r="M19" s="224">
        <f>Spent2[[#This Row],[Price $ / Model Mass Unit]]/VLOOKUP(Spent2[[#This Row],[Year]],ChemPPI[],14,FALSE)*VLOOKUP(BasisYear,ChemPPI[],14,FALSE)</f>
        <v>16270.231552339874</v>
      </c>
      <c r="N19" s="221" t="str">
        <f t="shared" si="4"/>
        <v>$/lb (2016)</v>
      </c>
    </row>
    <row r="20" spans="1:14">
      <c r="A20" s="221" t="s">
        <v>187</v>
      </c>
      <c r="B20" s="322" t="s">
        <v>1046</v>
      </c>
      <c r="C20" s="322" t="s">
        <v>1046</v>
      </c>
      <c r="D20" s="322">
        <v>10</v>
      </c>
      <c r="E20" s="321">
        <v>25</v>
      </c>
      <c r="F20" s="318" t="s">
        <v>56</v>
      </c>
      <c r="H20" s="8">
        <v>1440</v>
      </c>
      <c r="I20" s="221" t="s">
        <v>62</v>
      </c>
      <c r="J20" s="358">
        <v>2018</v>
      </c>
      <c r="K20" s="358" t="s">
        <v>1105</v>
      </c>
      <c r="L20" s="224">
        <f>Spent2[[#This Row],[Spot Price ($)]]*VLOOKUP(OutMassUnit,UnitConv[],5,FALSE)/VLOOKUP(Spent2[[#This Row],[Unit]],UnitConv[],5,FALSE)</f>
        <v>21000.000000000004</v>
      </c>
      <c r="M20" s="224">
        <f>Spent2[[#This Row],[Price $ / Model Mass Unit]]/VLOOKUP(Spent2[[#This Row],[Year]],ChemPPI[],14,FALSE)*VLOOKUP(BasisYear,ChemPPI[],14,FALSE)</f>
        <v>19511.270349241691</v>
      </c>
      <c r="N20" s="221" t="str">
        <f t="shared" si="4"/>
        <v>$/lb (2016)</v>
      </c>
    </row>
    <row r="21" spans="1:14">
      <c r="A21" s="221" t="s">
        <v>176</v>
      </c>
      <c r="B21" s="322" t="s">
        <v>1046</v>
      </c>
      <c r="C21" s="322" t="s">
        <v>1046</v>
      </c>
      <c r="D21" s="322">
        <v>40</v>
      </c>
      <c r="E21" s="321"/>
      <c r="F21" s="318" t="s">
        <v>57</v>
      </c>
      <c r="H21" s="211">
        <v>95</v>
      </c>
      <c r="I21" s="221" t="s">
        <v>406</v>
      </c>
      <c r="J21" s="221">
        <v>2018</v>
      </c>
      <c r="K21" s="221" t="s">
        <v>1717</v>
      </c>
      <c r="L21" s="224">
        <f>Spent2[[#This Row],[Spot Price ($)]]*VLOOKUP(OutMassUnit,UnitConv[],5,FALSE)/VLOOKUP(Spent2[[#This Row],[Unit]],UnitConv[],5,FALSE)</f>
        <v>4.7500000000000001E-2</v>
      </c>
      <c r="M21" s="224">
        <f>Spent2[[#This Row],[Price $ / Model Mass Unit]]/VLOOKUP(Spent2[[#This Row],[Year]],ChemPPI[],14,FALSE)*VLOOKUP(BasisYear,ChemPPI[],14,FALSE)</f>
        <v>4.4132635313760958E-2</v>
      </c>
      <c r="N21" s="221" t="str">
        <f t="shared" si="4"/>
        <v>$/lb (2016)</v>
      </c>
    </row>
    <row r="22" spans="1:14">
      <c r="A22" s="221" t="s">
        <v>182</v>
      </c>
      <c r="B22" s="322">
        <v>20</v>
      </c>
      <c r="C22" s="322">
        <v>30</v>
      </c>
      <c r="D22" s="322">
        <v>25</v>
      </c>
      <c r="E22" s="321"/>
      <c r="F22" s="318" t="s">
        <v>57</v>
      </c>
      <c r="H22" s="211">
        <v>24000</v>
      </c>
      <c r="I22" s="221" t="s">
        <v>1123</v>
      </c>
      <c r="J22" s="221">
        <v>2018</v>
      </c>
      <c r="K22" s="221" t="s">
        <v>1106</v>
      </c>
      <c r="L22" s="224">
        <f>Spent2[[#This Row],[Spot Price ($)]]*VLOOKUP(OutMassUnit,UnitConv[],5,FALSE)/VLOOKUP(Spent2[[#This Row],[Unit]],UnitConv[],5,FALSE)</f>
        <v>10.886216879999999</v>
      </c>
      <c r="M22" s="224">
        <f>Spent2[[#This Row],[Price $ / Model Mass Unit]]/VLOOKUP(Spent2[[#This Row],[Year]],ChemPPI[],14,FALSE)*VLOOKUP(BasisYear,ChemPPI[],14,FALSE)</f>
        <v>10.114472410769443</v>
      </c>
      <c r="N22" s="221" t="str">
        <f t="shared" si="4"/>
        <v>$/lb (2016)</v>
      </c>
    </row>
    <row r="23" spans="1:14">
      <c r="A23" s="221" t="s">
        <v>179</v>
      </c>
      <c r="B23" s="322" t="s">
        <v>1046</v>
      </c>
      <c r="C23" s="322" t="s">
        <v>1046</v>
      </c>
      <c r="D23" s="322">
        <v>20</v>
      </c>
      <c r="E23" s="321"/>
      <c r="F23" s="318" t="s">
        <v>57</v>
      </c>
      <c r="H23" s="211">
        <v>6.08</v>
      </c>
      <c r="I23" s="221" t="s">
        <v>20</v>
      </c>
      <c r="J23" s="358">
        <v>2018</v>
      </c>
      <c r="K23" s="358" t="s">
        <v>1105</v>
      </c>
      <c r="L23" s="224">
        <f>Spent2[[#This Row],[Spot Price ($)]]*VLOOKUP(OutMassUnit,UnitConv[],5,FALSE)/VLOOKUP(Spent2[[#This Row],[Unit]],UnitConv[],5,FALSE)</f>
        <v>6.08</v>
      </c>
      <c r="M23" s="224">
        <f>Spent2[[#This Row],[Price $ / Model Mass Unit]]/VLOOKUP(Spent2[[#This Row],[Year]],ChemPPI[],14,FALSE)*VLOOKUP(BasisYear,ChemPPI[],14,FALSE)</f>
        <v>5.6489773201614026</v>
      </c>
      <c r="N23" s="221" t="str">
        <f t="shared" si="4"/>
        <v>$/lb (2016)</v>
      </c>
    </row>
    <row r="24" spans="1:14">
      <c r="A24" s="221" t="s">
        <v>185</v>
      </c>
      <c r="B24" s="322">
        <v>1</v>
      </c>
      <c r="C24" s="322">
        <v>4</v>
      </c>
      <c r="D24" s="323">
        <v>2.5</v>
      </c>
      <c r="E24" s="321">
        <v>12.5</v>
      </c>
      <c r="F24" s="318" t="s">
        <v>56</v>
      </c>
      <c r="H24" s="211">
        <v>975</v>
      </c>
      <c r="I24" s="221" t="s">
        <v>62</v>
      </c>
      <c r="J24" s="358">
        <v>2018</v>
      </c>
      <c r="K24" s="358" t="s">
        <v>1105</v>
      </c>
      <c r="L24" s="224">
        <f>Spent2[[#This Row],[Spot Price ($)]]*VLOOKUP(OutMassUnit,UnitConv[],5,FALSE)/VLOOKUP(Spent2[[#This Row],[Unit]],UnitConv[],5,FALSE)</f>
        <v>14218.750000000002</v>
      </c>
      <c r="M24" s="224">
        <f>Spent2[[#This Row],[Price $ / Model Mass Unit]]/VLOOKUP(Spent2[[#This Row],[Year]],ChemPPI[],14,FALSE)*VLOOKUP(BasisYear,ChemPPI[],14,FALSE)</f>
        <v>13210.755965632394</v>
      </c>
      <c r="N24" s="221" t="str">
        <f t="shared" si="4"/>
        <v>$/lb (2016)</v>
      </c>
    </row>
    <row r="25" spans="1:14">
      <c r="A25" s="221" t="s">
        <v>188</v>
      </c>
      <c r="B25" s="322">
        <v>1</v>
      </c>
      <c r="C25" s="322">
        <v>3</v>
      </c>
      <c r="D25" s="322">
        <v>2</v>
      </c>
      <c r="E25" s="321">
        <v>14.5</v>
      </c>
      <c r="F25" s="318" t="s">
        <v>56</v>
      </c>
      <c r="H25" s="211">
        <v>793.5</v>
      </c>
      <c r="I25" s="221" t="s">
        <v>62</v>
      </c>
      <c r="J25" s="358">
        <v>2018</v>
      </c>
      <c r="K25" s="358" t="s">
        <v>1105</v>
      </c>
      <c r="L25" s="224">
        <f>Spent2[[#This Row],[Spot Price ($)]]*VLOOKUP(OutMassUnit,UnitConv[],5,FALSE)/VLOOKUP(Spent2[[#This Row],[Unit]],UnitConv[],5,FALSE)</f>
        <v>11571.875000000002</v>
      </c>
      <c r="M25" s="224">
        <f>Spent2[[#This Row],[Price $ / Model Mass Unit]]/VLOOKUP(Spent2[[#This Row],[Year]],ChemPPI[],14,FALSE)*VLOOKUP(BasisYear,ChemPPI[],14,FALSE)</f>
        <v>10751.522932030057</v>
      </c>
      <c r="N25" s="221" t="str">
        <f t="shared" si="4"/>
        <v>$/lb (2016)</v>
      </c>
    </row>
    <row r="26" spans="1:14">
      <c r="A26" s="221" t="s">
        <v>184</v>
      </c>
      <c r="B26" s="322">
        <v>5</v>
      </c>
      <c r="C26" s="322">
        <v>10</v>
      </c>
      <c r="D26" s="323">
        <v>7.5</v>
      </c>
      <c r="E26" s="321">
        <v>16</v>
      </c>
      <c r="F26" s="318" t="s">
        <v>56</v>
      </c>
      <c r="G26" s="223"/>
      <c r="H26" s="211">
        <v>2390</v>
      </c>
      <c r="I26" s="223" t="s">
        <v>62</v>
      </c>
      <c r="J26" s="358">
        <v>2018</v>
      </c>
      <c r="K26" s="358" t="s">
        <v>1105</v>
      </c>
      <c r="L26" s="224">
        <f>Spent2[[#This Row],[Spot Price ($)]]*VLOOKUP(OutMassUnit,UnitConv[],5,FALSE)/VLOOKUP(Spent2[[#This Row],[Unit]],UnitConv[],5,FALSE)</f>
        <v>34854.166666666672</v>
      </c>
      <c r="M26" s="224">
        <f>Spent2[[#This Row],[Price $ / Model Mass Unit]]/VLOOKUP(Spent2[[#This Row],[Year]],ChemPPI[],14,FALSE)*VLOOKUP(BasisYear,ChemPPI[],14,FALSE)</f>
        <v>32383.288982421971</v>
      </c>
      <c r="N26" s="221" t="str">
        <f t="shared" si="4"/>
        <v>$/lb (2016)</v>
      </c>
    </row>
    <row r="27" spans="1:14">
      <c r="A27" s="221" t="s">
        <v>183</v>
      </c>
      <c r="B27" s="324">
        <v>15</v>
      </c>
      <c r="C27" s="324">
        <v>25</v>
      </c>
      <c r="D27" s="324">
        <v>20</v>
      </c>
      <c r="E27" s="325">
        <v>20</v>
      </c>
      <c r="F27" s="318" t="s">
        <v>56</v>
      </c>
      <c r="G27" s="223"/>
      <c r="H27" s="211">
        <v>260</v>
      </c>
      <c r="I27" s="223" t="s">
        <v>62</v>
      </c>
      <c r="J27" s="358">
        <v>2018</v>
      </c>
      <c r="K27" s="358" t="s">
        <v>1105</v>
      </c>
      <c r="L27" s="224">
        <f>Spent2[[#This Row],[Spot Price ($)]]*VLOOKUP(OutMassUnit,UnitConv[],5,FALSE)/VLOOKUP(Spent2[[#This Row],[Unit]],UnitConv[],5,FALSE)</f>
        <v>3791.666666666667</v>
      </c>
      <c r="M27" s="224">
        <f>Spent2[[#This Row],[Price $ / Model Mass Unit]]/VLOOKUP(Spent2[[#This Row],[Year]],ChemPPI[],14,FALSE)*VLOOKUP(BasisYear,ChemPPI[],14,FALSE)</f>
        <v>3522.8682575019716</v>
      </c>
      <c r="N27" s="221" t="str">
        <f t="shared" si="4"/>
        <v>$/lb (2016)</v>
      </c>
    </row>
    <row r="28" spans="1:14">
      <c r="A28" s="221" t="s">
        <v>189</v>
      </c>
      <c r="B28" s="326">
        <v>2</v>
      </c>
      <c r="C28" s="326">
        <v>3</v>
      </c>
      <c r="D28" s="326">
        <v>2.5</v>
      </c>
      <c r="E28" s="325">
        <v>11.5</v>
      </c>
      <c r="F28" s="318" t="s">
        <v>56</v>
      </c>
      <c r="G28" s="223"/>
      <c r="H28" s="211">
        <v>14.58</v>
      </c>
      <c r="I28" s="223" t="s">
        <v>62</v>
      </c>
      <c r="J28" s="358">
        <v>2018</v>
      </c>
      <c r="K28" s="358" t="s">
        <v>1105</v>
      </c>
      <c r="L28" s="224">
        <f>Spent2[[#This Row],[Spot Price ($)]]*VLOOKUP(OutMassUnit,UnitConv[],5,FALSE)/VLOOKUP(Spent2[[#This Row],[Unit]],UnitConv[],5,FALSE)</f>
        <v>212.625</v>
      </c>
      <c r="M28" s="224">
        <f>Spent2[[#This Row],[Price $ / Model Mass Unit]]/VLOOKUP(Spent2[[#This Row],[Year]],ChemPPI[],14,FALSE)*VLOOKUP(BasisYear,ChemPPI[],14,FALSE)</f>
        <v>197.55161228607207</v>
      </c>
      <c r="N28" s="221" t="str">
        <f t="shared" si="4"/>
        <v>$/lb (2016)</v>
      </c>
    </row>
    <row r="29" spans="1:14">
      <c r="A29" s="221" t="s">
        <v>186</v>
      </c>
      <c r="B29" s="322">
        <v>15</v>
      </c>
      <c r="C29" s="322">
        <v>25</v>
      </c>
      <c r="D29" s="322">
        <v>20</v>
      </c>
      <c r="E29" s="321"/>
      <c r="F29" s="318" t="s">
        <v>57</v>
      </c>
      <c r="G29" s="223" t="s">
        <v>854</v>
      </c>
      <c r="H29" s="8">
        <v>24.04</v>
      </c>
      <c r="I29" s="223" t="s">
        <v>71</v>
      </c>
      <c r="J29" s="221">
        <v>2016</v>
      </c>
      <c r="K29" s="223" t="s">
        <v>178</v>
      </c>
      <c r="L29" s="224">
        <f>Spent2[[#This Row],[Spot Price ($)]]*VLOOKUP(OutMassUnit,UnitConv[],5,FALSE)/VLOOKUP(Spent2[[#This Row],[Unit]],UnitConv[],5,FALSE)</f>
        <v>10.9043605748</v>
      </c>
      <c r="M29" s="224">
        <f>Spent2[[#This Row],[Price $ / Model Mass Unit]]/VLOOKUP(Spent2[[#This Row],[Year]],ChemPPI[],14,FALSE)*VLOOKUP(BasisYear,ChemPPI[],14,FALSE)</f>
        <v>10.9043605748</v>
      </c>
      <c r="N29" s="221" t="str">
        <f t="shared" si="4"/>
        <v>$/lb (2016)</v>
      </c>
    </row>
    <row r="31" spans="1:14">
      <c r="A31" s="183" t="s">
        <v>855</v>
      </c>
    </row>
    <row r="32" spans="1:14">
      <c r="A32" s="182" t="s">
        <v>856</v>
      </c>
      <c r="B32" s="182" t="s">
        <v>857</v>
      </c>
      <c r="C32" s="182" t="s">
        <v>858</v>
      </c>
      <c r="D32" s="182" t="s">
        <v>859</v>
      </c>
      <c r="E32" s="182" t="s">
        <v>860</v>
      </c>
      <c r="F32" s="182" t="s">
        <v>861</v>
      </c>
      <c r="G32" s="182" t="s">
        <v>862</v>
      </c>
      <c r="H32" s="182" t="s">
        <v>207</v>
      </c>
    </row>
    <row r="33" spans="1:12">
      <c r="A33" s="221" t="s">
        <v>863</v>
      </c>
      <c r="B33" s="221">
        <v>0.15</v>
      </c>
      <c r="C33" s="221">
        <v>0.2</v>
      </c>
      <c r="D33" s="221">
        <f>AVERAGE(B33:C33)</f>
        <v>0.17499999999999999</v>
      </c>
      <c r="G33" s="221">
        <v>0.05</v>
      </c>
      <c r="H33" s="221" t="s">
        <v>864</v>
      </c>
    </row>
    <row r="34" spans="1:12">
      <c r="A34" s="221" t="s">
        <v>865</v>
      </c>
      <c r="D34" s="221">
        <v>0.75</v>
      </c>
    </row>
    <row r="35" spans="1:12">
      <c r="A35" s="221" t="s">
        <v>866</v>
      </c>
      <c r="B35" s="221">
        <v>1</v>
      </c>
      <c r="C35" s="221">
        <v>3</v>
      </c>
      <c r="D35" s="221">
        <f>AVERAGE(B35:C35)</f>
        <v>2</v>
      </c>
      <c r="E35" s="221">
        <v>1</v>
      </c>
      <c r="F35" s="221">
        <v>1.3</v>
      </c>
      <c r="G35" s="221">
        <f>AVERAGE(E35:F35)</f>
        <v>1.1499999999999999</v>
      </c>
      <c r="H35" s="221" t="s">
        <v>867</v>
      </c>
    </row>
    <row r="36" spans="1:12">
      <c r="A36" s="221" t="s">
        <v>868</v>
      </c>
      <c r="B36" s="221">
        <v>1</v>
      </c>
      <c r="C36" s="221">
        <v>3</v>
      </c>
      <c r="D36" s="221">
        <f>AVERAGE(B36:C36)</f>
        <v>2</v>
      </c>
    </row>
    <row r="38" spans="1:12">
      <c r="A38" s="183" t="s">
        <v>869</v>
      </c>
    </row>
    <row r="39" spans="1:12">
      <c r="A39" s="182" t="s">
        <v>870</v>
      </c>
      <c r="B39" s="182" t="s">
        <v>871</v>
      </c>
      <c r="C39" s="182" t="s">
        <v>899</v>
      </c>
      <c r="D39" s="182" t="s">
        <v>207</v>
      </c>
      <c r="F39" s="222"/>
      <c r="G39" s="222"/>
      <c r="H39" s="222"/>
      <c r="I39" s="222"/>
      <c r="J39" s="222"/>
      <c r="K39" s="222"/>
      <c r="L39" s="222"/>
    </row>
    <row r="40" spans="1:12">
      <c r="A40" s="221" t="s">
        <v>873</v>
      </c>
      <c r="B40" s="221">
        <v>46</v>
      </c>
      <c r="C40" s="8">
        <f>Spent4[[#This Row],[ρ (lb/ft3)]]*0.45359237/28.31684659*1000</f>
        <v>736.84931525420961</v>
      </c>
      <c r="D40" s="221" t="s">
        <v>891</v>
      </c>
      <c r="F40" s="222"/>
      <c r="G40" s="222"/>
      <c r="H40" s="222"/>
      <c r="I40" s="222"/>
      <c r="J40" s="222"/>
      <c r="K40" s="222"/>
      <c r="L40" s="222"/>
    </row>
    <row r="41" spans="1:12">
      <c r="A41" s="221" t="s">
        <v>872</v>
      </c>
      <c r="B41" s="221">
        <v>42</v>
      </c>
      <c r="C41" s="8">
        <f>Spent4[[#This Row],[ρ (lb/ft3)]]*0.45359237/28.31684659*1000</f>
        <v>672.7754617538435</v>
      </c>
      <c r="D41" s="221" t="s">
        <v>891</v>
      </c>
      <c r="F41" s="222"/>
      <c r="G41" s="222"/>
      <c r="H41" s="222"/>
      <c r="I41" s="222"/>
      <c r="J41" s="222"/>
      <c r="K41" s="222"/>
      <c r="L41" s="222"/>
    </row>
    <row r="42" spans="1:12">
      <c r="A42" s="221" t="s">
        <v>878</v>
      </c>
      <c r="B42" s="221">
        <v>50</v>
      </c>
      <c r="C42" s="8">
        <f>Spent4[[#This Row],[ρ (lb/ft3)]]*0.45359237/28.31684659*1000</f>
        <v>800.92316875457561</v>
      </c>
      <c r="D42" s="221" t="s">
        <v>875</v>
      </c>
      <c r="F42" s="222"/>
      <c r="G42" s="222"/>
      <c r="H42" s="222"/>
      <c r="I42" s="222"/>
      <c r="J42" s="222"/>
      <c r="K42" s="222"/>
      <c r="L42" s="222"/>
    </row>
    <row r="43" spans="1:12">
      <c r="A43" s="221" t="s">
        <v>874</v>
      </c>
      <c r="B43" s="221">
        <v>45</v>
      </c>
      <c r="C43" s="8">
        <f>Spent4[[#This Row],[ρ (lb/ft3)]]*0.45359237/28.31684659*1000</f>
        <v>720.83085187911809</v>
      </c>
      <c r="D43" s="221" t="s">
        <v>875</v>
      </c>
      <c r="F43" s="222"/>
      <c r="G43" s="222"/>
      <c r="H43" s="222"/>
      <c r="I43" s="222"/>
      <c r="J43" s="222"/>
      <c r="K43" s="222"/>
      <c r="L43" s="222"/>
    </row>
    <row r="44" spans="1:12">
      <c r="A44" s="221" t="s">
        <v>876</v>
      </c>
      <c r="B44" s="221">
        <v>65</v>
      </c>
      <c r="C44" s="8">
        <f>Spent4[[#This Row],[ρ (lb/ft3)]]*0.45359237/28.31684659*1000</f>
        <v>1041.2001193809483</v>
      </c>
      <c r="D44" s="221" t="s">
        <v>875</v>
      </c>
      <c r="F44" s="222"/>
      <c r="G44" s="222"/>
      <c r="H44" s="222"/>
      <c r="I44" s="222"/>
      <c r="J44" s="222"/>
      <c r="K44" s="222"/>
      <c r="L44" s="222"/>
    </row>
    <row r="45" spans="1:12">
      <c r="A45" s="221" t="s">
        <v>877</v>
      </c>
      <c r="B45" s="221">
        <v>66</v>
      </c>
      <c r="C45" s="8">
        <f>Spent4[[#This Row],[ρ (lb/ft3)]]*0.45359237/28.31684659*1000</f>
        <v>1057.21858275604</v>
      </c>
      <c r="D45" s="221" t="s">
        <v>875</v>
      </c>
      <c r="F45" s="222"/>
      <c r="G45" s="222"/>
      <c r="H45" s="222"/>
      <c r="I45" s="222"/>
      <c r="J45" s="222"/>
      <c r="K45" s="222"/>
      <c r="L45" s="222"/>
    </row>
    <row r="46" spans="1:12">
      <c r="A46" s="221" t="s">
        <v>879</v>
      </c>
      <c r="B46" s="221">
        <v>30</v>
      </c>
      <c r="C46" s="8">
        <f>Spent4[[#This Row],[ρ (lb/ft3)]]*0.45359237/28.31684659*1000</f>
        <v>480.55390125274539</v>
      </c>
      <c r="D46" s="221" t="s">
        <v>880</v>
      </c>
      <c r="F46" s="222"/>
      <c r="G46" s="222"/>
      <c r="H46" s="222"/>
      <c r="I46" s="222"/>
      <c r="J46" s="222"/>
      <c r="K46" s="222"/>
      <c r="L46" s="222"/>
    </row>
    <row r="47" spans="1:12">
      <c r="A47" s="221" t="s">
        <v>902</v>
      </c>
      <c r="B47" s="221">
        <v>39</v>
      </c>
      <c r="C47" s="8">
        <f>Spent4[[#This Row],[ρ (lb/ft3)]]*0.45359237/28.31684659*1000</f>
        <v>624.72007162856903</v>
      </c>
      <c r="D47" s="221" t="s">
        <v>901</v>
      </c>
      <c r="F47" s="222"/>
      <c r="G47" s="222"/>
      <c r="H47" s="222"/>
      <c r="I47" s="222"/>
      <c r="J47" s="222"/>
      <c r="K47" s="222"/>
      <c r="L47" s="222"/>
    </row>
    <row r="48" spans="1:12">
      <c r="A48" s="221" t="s">
        <v>903</v>
      </c>
      <c r="B48" s="221">
        <v>22</v>
      </c>
      <c r="C48" s="8">
        <f>Spent4[[#This Row],[ρ (lb/ft3)]]*0.45359237/28.31684659*1000</f>
        <v>352.40619425201328</v>
      </c>
      <c r="D48" s="221" t="s">
        <v>901</v>
      </c>
      <c r="F48" s="222"/>
      <c r="G48" s="222"/>
      <c r="H48" s="222"/>
      <c r="I48" s="222"/>
      <c r="J48" s="222"/>
      <c r="K48" s="222"/>
      <c r="L48" s="222"/>
    </row>
    <row r="49" spans="1:12">
      <c r="A49" s="221" t="s">
        <v>881</v>
      </c>
      <c r="B49" s="221">
        <v>71.25</v>
      </c>
      <c r="C49" s="8">
        <f>Spent4[[#This Row],[ρ (lb/ft3)]]*0.45359237/28.31684659*1000</f>
        <v>1141.3155154752703</v>
      </c>
      <c r="D49" s="221" t="s">
        <v>892</v>
      </c>
      <c r="F49" s="222"/>
      <c r="G49" s="222"/>
      <c r="H49" s="222"/>
      <c r="I49" s="222"/>
      <c r="J49" s="222"/>
      <c r="K49" s="222"/>
      <c r="L49" s="222"/>
    </row>
    <row r="50" spans="1:12">
      <c r="A50" s="221" t="s">
        <v>904</v>
      </c>
      <c r="B50" s="221">
        <v>55</v>
      </c>
      <c r="C50" s="8">
        <f>Spent4[[#This Row],[ρ (lb/ft3)]]*0.45359237/28.31684659*1000</f>
        <v>881.01548563003325</v>
      </c>
      <c r="D50" s="221" t="s">
        <v>905</v>
      </c>
      <c r="F50" s="222"/>
      <c r="G50" s="222"/>
      <c r="H50" s="222"/>
      <c r="I50" s="222"/>
      <c r="J50" s="222"/>
      <c r="K50" s="222"/>
      <c r="L50" s="222"/>
    </row>
    <row r="51" spans="1:12">
      <c r="F51" s="222"/>
      <c r="G51" s="222"/>
      <c r="H51" s="222"/>
      <c r="I51" s="222"/>
      <c r="J51" s="222"/>
      <c r="K51" s="222"/>
      <c r="L51" s="222"/>
    </row>
    <row r="52" spans="1:12">
      <c r="A52" s="183" t="s">
        <v>992</v>
      </c>
      <c r="F52" s="222"/>
      <c r="G52" s="222"/>
      <c r="H52" s="222"/>
      <c r="I52" s="222"/>
      <c r="J52" s="222"/>
      <c r="K52" s="222"/>
      <c r="L52" s="222"/>
    </row>
    <row r="53" spans="1:12">
      <c r="A53" s="182" t="s">
        <v>171</v>
      </c>
      <c r="B53" s="182" t="s">
        <v>882</v>
      </c>
      <c r="C53" s="182" t="s">
        <v>984</v>
      </c>
      <c r="F53" s="222"/>
      <c r="G53" s="222"/>
      <c r="H53" s="222"/>
      <c r="I53" s="222"/>
    </row>
    <row r="54" spans="1:12">
      <c r="A54" s="221" t="s">
        <v>883</v>
      </c>
      <c r="B54" s="221">
        <v>5</v>
      </c>
      <c r="C54" s="221">
        <v>0.01</v>
      </c>
      <c r="F54" s="222"/>
      <c r="G54" s="222"/>
      <c r="H54" s="222"/>
      <c r="I54" s="222"/>
    </row>
    <row r="55" spans="1:12">
      <c r="A55" s="221" t="s">
        <v>884</v>
      </c>
      <c r="B55" s="221">
        <v>100</v>
      </c>
      <c r="C55" s="221">
        <v>0.2</v>
      </c>
      <c r="F55" s="222"/>
      <c r="G55" s="222"/>
      <c r="H55" s="222"/>
      <c r="I55" s="222"/>
    </row>
    <row r="56" spans="1:12">
      <c r="A56" s="221" t="s">
        <v>885</v>
      </c>
      <c r="B56" s="221">
        <v>1</v>
      </c>
      <c r="C56" s="221">
        <v>2E-3</v>
      </c>
      <c r="F56" s="222"/>
      <c r="G56" s="222"/>
      <c r="H56" s="222"/>
      <c r="I56" s="222"/>
    </row>
    <row r="57" spans="1:12">
      <c r="A57" s="221" t="s">
        <v>886</v>
      </c>
      <c r="B57" s="221">
        <v>5</v>
      </c>
      <c r="C57" s="221">
        <v>0.01</v>
      </c>
      <c r="F57" s="222"/>
      <c r="G57" s="222"/>
      <c r="H57" s="222"/>
      <c r="I57" s="222"/>
    </row>
    <row r="58" spans="1:12">
      <c r="A58" s="221" t="s">
        <v>887</v>
      </c>
      <c r="B58" s="221">
        <v>5</v>
      </c>
      <c r="C58" s="221">
        <v>0.01</v>
      </c>
      <c r="F58" s="222"/>
      <c r="G58" s="222"/>
      <c r="H58" s="222"/>
      <c r="I58" s="222"/>
    </row>
    <row r="59" spans="1:12">
      <c r="A59" s="221" t="s">
        <v>888</v>
      </c>
      <c r="B59" s="221">
        <v>0.2</v>
      </c>
      <c r="C59" s="221">
        <v>3.9999999999999996E-4</v>
      </c>
    </row>
    <row r="60" spans="1:12">
      <c r="A60" s="221" t="s">
        <v>889</v>
      </c>
      <c r="B60" s="221">
        <v>1</v>
      </c>
      <c r="C60" s="221">
        <v>2E-3</v>
      </c>
    </row>
    <row r="61" spans="1:12">
      <c r="A61" s="221" t="s">
        <v>890</v>
      </c>
      <c r="B61" s="221">
        <v>5</v>
      </c>
      <c r="C61" s="221">
        <v>0.01</v>
      </c>
    </row>
  </sheetData>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H9" sqref="H9"/>
    </sheetView>
  </sheetViews>
  <sheetFormatPr defaultColWidth="11" defaultRowHeight="15.75"/>
  <cols>
    <col min="2" max="2" width="16.625" bestFit="1" customWidth="1"/>
    <col min="3" max="3" width="12" customWidth="1"/>
    <col min="4" max="4" width="20.625" customWidth="1"/>
    <col min="5" max="5" width="11.375" customWidth="1"/>
    <col min="6" max="6" width="16.125" customWidth="1"/>
    <col min="8" max="8" width="14" bestFit="1" customWidth="1"/>
    <col min="9" max="9" width="12.375" bestFit="1" customWidth="1"/>
  </cols>
  <sheetData>
    <row r="1" spans="1:9">
      <c r="A1" t="s">
        <v>47</v>
      </c>
    </row>
    <row r="3" spans="1:9" ht="16.5" thickBot="1">
      <c r="A3" s="257" t="s">
        <v>18</v>
      </c>
      <c r="B3" s="258" t="s">
        <v>48</v>
      </c>
      <c r="C3" s="258" t="s">
        <v>49</v>
      </c>
      <c r="D3" s="258" t="s">
        <v>50</v>
      </c>
      <c r="E3" s="258" t="s">
        <v>51</v>
      </c>
      <c r="F3" s="258" t="s">
        <v>52</v>
      </c>
      <c r="G3" s="258" t="s">
        <v>53</v>
      </c>
      <c r="H3" s="258" t="s">
        <v>164</v>
      </c>
      <c r="I3" s="297" t="s">
        <v>165</v>
      </c>
    </row>
    <row r="4" spans="1:9" ht="16.5"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406</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1122</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1123</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994</v>
      </c>
      <c r="B12" s="301" t="s">
        <v>995</v>
      </c>
      <c r="C12" s="301" t="s">
        <v>996</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900</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defaultColWidth="11" defaultRowHeight="15.75"/>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c r="A7" s="442" t="s">
        <v>98</v>
      </c>
      <c r="B7" s="440"/>
      <c r="C7" s="440"/>
      <c r="D7" s="440"/>
      <c r="E7" s="440"/>
      <c r="F7" s="440"/>
    </row>
    <row r="8" spans="1:14">
      <c r="A8" s="442" t="s">
        <v>99</v>
      </c>
      <c r="B8" s="440"/>
      <c r="C8" s="440"/>
      <c r="D8" s="440"/>
      <c r="E8" s="440"/>
      <c r="F8" s="440"/>
    </row>
    <row r="9" spans="1:14">
      <c r="A9" s="440"/>
      <c r="B9" s="440"/>
      <c r="C9" s="440"/>
      <c r="D9" s="440"/>
      <c r="E9" s="440"/>
      <c r="F9" s="440"/>
    </row>
    <row r="10" spans="1:14">
      <c r="A10" s="2" t="s">
        <v>100</v>
      </c>
      <c r="B10" s="439" t="s">
        <v>101</v>
      </c>
      <c r="C10" s="440"/>
      <c r="D10" s="440"/>
      <c r="E10" s="440"/>
      <c r="F10" s="440"/>
    </row>
    <row r="11" spans="1:14">
      <c r="A11" s="2" t="s">
        <v>102</v>
      </c>
      <c r="B11" s="439" t="s">
        <v>103</v>
      </c>
      <c r="C11" s="440"/>
      <c r="D11" s="440"/>
      <c r="E11" s="440"/>
      <c r="F11" s="440"/>
    </row>
    <row r="12" spans="1:14">
      <c r="A12" s="2" t="s">
        <v>104</v>
      </c>
      <c r="B12" s="439" t="s">
        <v>103</v>
      </c>
      <c r="C12" s="440"/>
      <c r="D12" s="440"/>
      <c r="E12" s="440"/>
      <c r="F12" s="440"/>
    </row>
    <row r="13" spans="1:14">
      <c r="A13" s="2" t="s">
        <v>105</v>
      </c>
      <c r="B13" s="439" t="s">
        <v>106</v>
      </c>
      <c r="C13" s="440"/>
      <c r="D13" s="440"/>
      <c r="E13" s="440"/>
      <c r="F13" s="440"/>
    </row>
    <row r="14" spans="1:14">
      <c r="A14" s="2" t="s">
        <v>107</v>
      </c>
      <c r="B14" s="441" t="s">
        <v>108</v>
      </c>
      <c r="C14" s="440"/>
      <c r="D14" s="440"/>
      <c r="E14" s="440"/>
      <c r="F14" s="440"/>
    </row>
    <row r="16" spans="1:14" ht="16.5"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6.5"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defaultColWidth="11" defaultRowHeight="15.75"/>
  <sheetData>
    <row r="1" spans="1:8">
      <c r="A1" t="s">
        <v>298</v>
      </c>
    </row>
    <row r="2" spans="1:8">
      <c r="A2" t="s">
        <v>684</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Andy Young</cp:lastModifiedBy>
  <dcterms:created xsi:type="dcterms:W3CDTF">2017-01-04T16:59:03Z</dcterms:created>
  <dcterms:modified xsi:type="dcterms:W3CDTF">2021-02-11T06:25:22Z</dcterms:modified>
</cp:coreProperties>
</file>