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ruzekow/dw-tap-lom-anl/bergey/"/>
    </mc:Choice>
  </mc:AlternateContent>
  <xr:revisionPtr revIDLastSave="0" documentId="13_ncr:1_{0040225B-9540-1143-99C2-48A5E9A7A7F0}" xr6:coauthVersionLast="47" xr6:coauthVersionMax="47" xr10:uidLastSave="{00000000-0000-0000-0000-000000000000}"/>
  <bookViews>
    <workbookView xWindow="16460" yWindow="1380" windowWidth="18300" windowHeight="15460" firstSheet="1" activeTab="2" xr2:uid="{4581E5B3-60B3-9B40-BEDE-F190A6E576DF}"/>
  </bookViews>
  <sheets>
    <sheet name="VI vs no-VI Analysis" sheetId="1" r:id="rId1"/>
    <sheet name="height change analysis" sheetId="2" r:id="rId2"/>
    <sheet name="Buildings by building footprnt" sheetId="3" r:id="rId3"/>
  </sheets>
  <definedNames>
    <definedName name="_xlchart.v1.0" hidden="1">'height change analysis'!$AP$46:$AP$50</definedName>
    <definedName name="_xlchart.v1.1" hidden="1">'height change analysis'!$AQ$45</definedName>
    <definedName name="_xlchart.v1.10" hidden="1">'height change analysis'!$AU$46:$AU$50</definedName>
    <definedName name="_xlchart.v1.11" hidden="1">'height change analysis'!$AV$45</definedName>
    <definedName name="_xlchart.v1.12" hidden="1">'height change analysis'!$AV$46:$AV$50</definedName>
    <definedName name="_xlchart.v1.2" hidden="1">'height change analysis'!$AQ$46:$AQ$50</definedName>
    <definedName name="_xlchart.v1.28" hidden="1">'height change analysis'!$AP$46</definedName>
    <definedName name="_xlchart.v1.29" hidden="1">'height change analysis'!$AP$47</definedName>
    <definedName name="_xlchart.v1.3" hidden="1">'height change analysis'!$AR$45</definedName>
    <definedName name="_xlchart.v1.30" hidden="1">'height change analysis'!$AP$48</definedName>
    <definedName name="_xlchart.v1.31" hidden="1">'height change analysis'!$AP$49</definedName>
    <definedName name="_xlchart.v1.32" hidden="1">'height change analysis'!$AP$50</definedName>
    <definedName name="_xlchart.v1.33" hidden="1">'height change analysis'!$AQ$45:$AV$45</definedName>
    <definedName name="_xlchart.v1.34" hidden="1">'height change analysis'!$AQ$46:$AV$46</definedName>
    <definedName name="_xlchart.v1.35" hidden="1">'height change analysis'!$AQ$47:$AV$47</definedName>
    <definedName name="_xlchart.v1.36" hidden="1">'height change analysis'!$AQ$48:$AV$48</definedName>
    <definedName name="_xlchart.v1.37" hidden="1">'height change analysis'!$AQ$49:$AV$49</definedName>
    <definedName name="_xlchart.v1.38" hidden="1">'height change analysis'!$AQ$50:$AV$50</definedName>
    <definedName name="_xlchart.v1.4" hidden="1">'height change analysis'!$AR$46:$AR$50</definedName>
    <definedName name="_xlchart.v1.5" hidden="1">'height change analysis'!$AS$45</definedName>
    <definedName name="_xlchart.v1.6" hidden="1">'height change analysis'!$AS$46:$AS$50</definedName>
    <definedName name="_xlchart.v1.7" hidden="1">'height change analysis'!$AT$45</definedName>
    <definedName name="_xlchart.v1.8" hidden="1">'height change analysis'!$AT$46:$AT$50</definedName>
    <definedName name="_xlchart.v1.9" hidden="1">'height change analysis'!$AU$45</definedName>
    <definedName name="_xlchart.v2.17" hidden="1">'height change analysis'!$AP$46</definedName>
    <definedName name="_xlchart.v2.18" hidden="1">'height change analysis'!$AP$47</definedName>
    <definedName name="_xlchart.v2.19" hidden="1">'height change analysis'!$AP$48</definedName>
    <definedName name="_xlchart.v2.20" hidden="1">'height change analysis'!$AP$49</definedName>
    <definedName name="_xlchart.v2.21" hidden="1">'height change analysis'!$AP$50</definedName>
    <definedName name="_xlchart.v2.22" hidden="1">'height change analysis'!$AQ$45:$AV$45</definedName>
    <definedName name="_xlchart.v2.23" hidden="1">'height change analysis'!$AQ$46:$AV$46</definedName>
    <definedName name="_xlchart.v2.24" hidden="1">'height change analysis'!$AQ$47:$AV$47</definedName>
    <definedName name="_xlchart.v2.25" hidden="1">'height change analysis'!$AQ$48:$AV$48</definedName>
    <definedName name="_xlchart.v2.26" hidden="1">'height change analysis'!$AQ$49:$AV$49</definedName>
    <definedName name="_xlchart.v2.27" hidden="1">'height change analysis'!$AQ$50:$AV$50</definedName>
    <definedName name="_xlchart.v2.39" hidden="1">'height change analysis'!$AP$46:$AP$50</definedName>
    <definedName name="_xlchart.v2.40" hidden="1">'height change analysis'!$AQ$45</definedName>
    <definedName name="_xlchart.v2.41" hidden="1">'height change analysis'!$AQ$46:$AQ$50</definedName>
    <definedName name="_xlchart.v2.42" hidden="1">'height change analysis'!$AR$45</definedName>
    <definedName name="_xlchart.v2.43" hidden="1">'height change analysis'!$AR$46:$AR$50</definedName>
    <definedName name="_xlchart.v2.44" hidden="1">'height change analysis'!$AS$45</definedName>
    <definedName name="_xlchart.v2.45" hidden="1">'height change analysis'!$AS$46:$AS$50</definedName>
    <definedName name="_xlchart.v2.46" hidden="1">'height change analysis'!$AT$45</definedName>
    <definedName name="_xlchart.v2.47" hidden="1">'height change analysis'!$AT$46:$AT$50</definedName>
    <definedName name="_xlchart.v2.48" hidden="1">'height change analysis'!$AU$45</definedName>
    <definedName name="_xlchart.v2.49" hidden="1">'height change analysis'!$AU$46:$AU$50</definedName>
    <definedName name="_xlchart.v2.50" hidden="1">'height change analysis'!$AV$45</definedName>
    <definedName name="_xlchart.v2.51" hidden="1">'height change analysis'!$AV$46:$AV$50</definedName>
    <definedName name="_xlchart.v5.13" hidden="1">'height change analysis'!$AP$45</definedName>
    <definedName name="_xlchart.v5.14" hidden="1">'height change analysis'!$AP$46</definedName>
    <definedName name="_xlchart.v5.15" hidden="1">'height change analysis'!$AQ$45:$AV$45</definedName>
    <definedName name="_xlchart.v5.16" hidden="1">'height change analysis'!$AQ$46:$AV$46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9" i="3" l="1"/>
  <c r="D28" i="3"/>
  <c r="D27" i="3"/>
  <c r="H14" i="3"/>
  <c r="H15" i="3"/>
  <c r="H16" i="3"/>
  <c r="H17" i="3"/>
  <c r="H18" i="3"/>
  <c r="H19" i="3"/>
  <c r="H20" i="3"/>
  <c r="H21" i="3"/>
  <c r="H22" i="3"/>
  <c r="H23" i="3"/>
  <c r="H31" i="3"/>
  <c r="F33" i="3"/>
  <c r="H33" i="3" s="1"/>
  <c r="G33" i="3"/>
  <c r="H8" i="3"/>
  <c r="H11" i="3"/>
  <c r="H9" i="3"/>
  <c r="H5" i="3"/>
  <c r="H2" i="3"/>
  <c r="H3" i="3"/>
  <c r="D24" i="3"/>
  <c r="D23" i="3"/>
  <c r="D22" i="3"/>
  <c r="D19" i="3"/>
  <c r="D18" i="3"/>
  <c r="D17" i="3"/>
  <c r="D14" i="3"/>
  <c r="D13" i="3"/>
  <c r="D12" i="3"/>
  <c r="D9" i="3"/>
  <c r="D8" i="3"/>
  <c r="D7" i="3"/>
  <c r="D4" i="3"/>
  <c r="D3" i="3"/>
  <c r="D2" i="3"/>
  <c r="AV82" i="2" l="1"/>
  <c r="AU82" i="2"/>
  <c r="AT82" i="2"/>
  <c r="AS82" i="2"/>
  <c r="AR82" i="2"/>
  <c r="AV50" i="2"/>
  <c r="AU50" i="2"/>
  <c r="AT50" i="2"/>
  <c r="AS50" i="2"/>
  <c r="AR50" i="2"/>
  <c r="AV8" i="2"/>
  <c r="AU8" i="2"/>
  <c r="AT8" i="2"/>
  <c r="AS8" i="2"/>
  <c r="AR8" i="2"/>
  <c r="AQ82" i="2"/>
  <c r="AQ50" i="2"/>
  <c r="AQ8" i="2"/>
  <c r="AQ80" i="2"/>
  <c r="AR80" i="2"/>
  <c r="AS80" i="2"/>
  <c r="AT80" i="2"/>
  <c r="AU80" i="2"/>
  <c r="AV80" i="2"/>
  <c r="AV48" i="2"/>
  <c r="AU48" i="2"/>
  <c r="AT48" i="2"/>
  <c r="AS48" i="2"/>
  <c r="AR48" i="2"/>
  <c r="AQ48" i="2"/>
  <c r="T40" i="2"/>
  <c r="S40" i="2"/>
  <c r="R40" i="2"/>
  <c r="Q40" i="2"/>
  <c r="P40" i="2"/>
  <c r="O40" i="2"/>
  <c r="AB40" i="2"/>
  <c r="AA40" i="2"/>
  <c r="Z40" i="2"/>
  <c r="Y40" i="2"/>
  <c r="X40" i="2"/>
  <c r="W40" i="2"/>
  <c r="AB11" i="2"/>
  <c r="AA11" i="2"/>
  <c r="Z11" i="2"/>
  <c r="Y11" i="2"/>
  <c r="X11" i="2"/>
  <c r="W11" i="2"/>
  <c r="AV6" i="2"/>
  <c r="AU6" i="2"/>
  <c r="AT6" i="2"/>
  <c r="AS6" i="2"/>
  <c r="AR6" i="2"/>
  <c r="AQ6" i="2"/>
  <c r="W7" i="2" l="1"/>
  <c r="X7" i="2"/>
  <c r="Y7" i="2"/>
  <c r="Z7" i="2"/>
  <c r="AB7" i="2"/>
  <c r="AB10" i="2"/>
  <c r="AB39" i="2"/>
  <c r="AB38" i="2"/>
  <c r="AB36" i="2"/>
  <c r="AB33" i="2"/>
  <c r="Z36" i="2"/>
  <c r="Y36" i="2"/>
  <c r="X36" i="2"/>
  <c r="W37" i="2"/>
  <c r="W36" i="2"/>
  <c r="S36" i="2"/>
  <c r="R37" i="2"/>
  <c r="R36" i="2"/>
  <c r="Q36" i="2"/>
  <c r="P36" i="2"/>
  <c r="O38" i="2"/>
  <c r="O36" i="2"/>
  <c r="T29" i="2"/>
  <c r="T28" i="2"/>
  <c r="T27" i="2"/>
  <c r="T39" i="2" s="1"/>
  <c r="R29" i="2"/>
  <c r="Z10" i="2" s="1"/>
  <c r="R28" i="2"/>
  <c r="Z39" i="2" s="1"/>
  <c r="R27" i="2"/>
  <c r="R39" i="2" s="1"/>
  <c r="Q29" i="2"/>
  <c r="Y10" i="2" s="1"/>
  <c r="Q28" i="2"/>
  <c r="Y39" i="2" s="1"/>
  <c r="Q27" i="2"/>
  <c r="Q39" i="2" s="1"/>
  <c r="P29" i="2"/>
  <c r="X10" i="2" s="1"/>
  <c r="P28" i="2"/>
  <c r="X39" i="2" s="1"/>
  <c r="P27" i="2"/>
  <c r="P39" i="2" s="1"/>
  <c r="O29" i="2"/>
  <c r="W10" i="2" s="1"/>
  <c r="O28" i="2"/>
  <c r="W39" i="2" s="1"/>
  <c r="O27" i="2"/>
  <c r="O39" i="2" s="1"/>
  <c r="T25" i="2"/>
  <c r="AB9" i="2" s="1"/>
  <c r="T24" i="2"/>
  <c r="T23" i="2"/>
  <c r="T38" i="2" s="1"/>
  <c r="S25" i="2"/>
  <c r="S24" i="2"/>
  <c r="S23" i="2"/>
  <c r="R25" i="2"/>
  <c r="Z9" i="2" s="1"/>
  <c r="R24" i="2"/>
  <c r="Z38" i="2" s="1"/>
  <c r="R23" i="2"/>
  <c r="R38" i="2" s="1"/>
  <c r="Q25" i="2"/>
  <c r="Y9" i="2" s="1"/>
  <c r="Q24" i="2"/>
  <c r="Y38" i="2" s="1"/>
  <c r="Q23" i="2"/>
  <c r="Q38" i="2" s="1"/>
  <c r="P25" i="2"/>
  <c r="X9" i="2" s="1"/>
  <c r="P24" i="2"/>
  <c r="X38" i="2" s="1"/>
  <c r="P23" i="2"/>
  <c r="P38" i="2" s="1"/>
  <c r="O25" i="2"/>
  <c r="W9" i="2" s="1"/>
  <c r="O24" i="2"/>
  <c r="W38" i="2" s="1"/>
  <c r="O23" i="2"/>
  <c r="T21" i="2"/>
  <c r="AB8" i="2" s="1"/>
  <c r="T20" i="2"/>
  <c r="AB37" i="2" s="1"/>
  <c r="T19" i="2"/>
  <c r="T37" i="2" s="1"/>
  <c r="S21" i="2"/>
  <c r="S20" i="2"/>
  <c r="S19" i="2"/>
  <c r="R21" i="2"/>
  <c r="Z8" i="2" s="1"/>
  <c r="R20" i="2"/>
  <c r="Z37" i="2" s="1"/>
  <c r="R19" i="2"/>
  <c r="Q21" i="2"/>
  <c r="Y8" i="2" s="1"/>
  <c r="Q20" i="2"/>
  <c r="Y37" i="2" s="1"/>
  <c r="Q19" i="2"/>
  <c r="Q37" i="2" s="1"/>
  <c r="P21" i="2"/>
  <c r="X8" i="2" s="1"/>
  <c r="P20" i="2"/>
  <c r="X37" i="2" s="1"/>
  <c r="P19" i="2"/>
  <c r="P37" i="2" s="1"/>
  <c r="O21" i="2"/>
  <c r="W8" i="2" s="1"/>
  <c r="O20" i="2"/>
  <c r="O19" i="2"/>
  <c r="O37" i="2" s="1"/>
  <c r="T13" i="2"/>
  <c r="AB6" i="2" s="1"/>
  <c r="T12" i="2"/>
  <c r="AB35" i="2" s="1"/>
  <c r="T11" i="2"/>
  <c r="T35" i="2" s="1"/>
  <c r="S13" i="2"/>
  <c r="AA6" i="2" s="1"/>
  <c r="S12" i="2"/>
  <c r="AA35" i="2" s="1"/>
  <c r="S11" i="2"/>
  <c r="S35" i="2" s="1"/>
  <c r="R13" i="2"/>
  <c r="Z6" i="2" s="1"/>
  <c r="R12" i="2"/>
  <c r="Z35" i="2" s="1"/>
  <c r="R11" i="2"/>
  <c r="R35" i="2" s="1"/>
  <c r="Q13" i="2"/>
  <c r="Y6" i="2" s="1"/>
  <c r="Q12" i="2"/>
  <c r="Y35" i="2" s="1"/>
  <c r="Q11" i="2"/>
  <c r="Q35" i="2" s="1"/>
  <c r="P13" i="2"/>
  <c r="X6" i="2" s="1"/>
  <c r="P12" i="2"/>
  <c r="X35" i="2" s="1"/>
  <c r="P11" i="2"/>
  <c r="P35" i="2" s="1"/>
  <c r="O13" i="2"/>
  <c r="W6" i="2" s="1"/>
  <c r="O12" i="2"/>
  <c r="W35" i="2" s="1"/>
  <c r="O11" i="2"/>
  <c r="O35" i="2" s="1"/>
  <c r="T9" i="2"/>
  <c r="AB5" i="2" s="1"/>
  <c r="T8" i="2"/>
  <c r="AB34" i="2" s="1"/>
  <c r="T7" i="2"/>
  <c r="T34" i="2" s="1"/>
  <c r="S9" i="2"/>
  <c r="AA5" i="2" s="1"/>
  <c r="S8" i="2"/>
  <c r="AA34" i="2" s="1"/>
  <c r="S7" i="2"/>
  <c r="S34" i="2" s="1"/>
  <c r="R9" i="2"/>
  <c r="Z5" i="2" s="1"/>
  <c r="R8" i="2"/>
  <c r="Z34" i="2" s="1"/>
  <c r="R7" i="2"/>
  <c r="R34" i="2" s="1"/>
  <c r="Q9" i="2"/>
  <c r="Y5" i="2" s="1"/>
  <c r="Q8" i="2"/>
  <c r="Y34" i="2" s="1"/>
  <c r="Q7" i="2"/>
  <c r="Q34" i="2" s="1"/>
  <c r="P9" i="2"/>
  <c r="X5" i="2" s="1"/>
  <c r="P8" i="2"/>
  <c r="X34" i="2" s="1"/>
  <c r="P7" i="2"/>
  <c r="P34" i="2" s="1"/>
  <c r="O9" i="2"/>
  <c r="W5" i="2" s="1"/>
  <c r="O8" i="2"/>
  <c r="W34" i="2" s="1"/>
  <c r="O7" i="2"/>
  <c r="O34" i="2" s="1"/>
  <c r="T5" i="2"/>
  <c r="AB4" i="2" s="1"/>
  <c r="T4" i="2"/>
  <c r="T3" i="2"/>
  <c r="T33" i="2" s="1"/>
  <c r="S5" i="2"/>
  <c r="AA4" i="2" s="1"/>
  <c r="S4" i="2"/>
  <c r="AA33" i="2" s="1"/>
  <c r="S3" i="2"/>
  <c r="S33" i="2" s="1"/>
  <c r="R5" i="2"/>
  <c r="Z4" i="2" s="1"/>
  <c r="R4" i="2"/>
  <c r="Z33" i="2" s="1"/>
  <c r="R3" i="2"/>
  <c r="R33" i="2" s="1"/>
  <c r="Q5" i="2"/>
  <c r="Y4" i="2" s="1"/>
  <c r="Q4" i="2"/>
  <c r="Y33" i="2" s="1"/>
  <c r="Q3" i="2"/>
  <c r="Q33" i="2" s="1"/>
  <c r="P5" i="2"/>
  <c r="X4" i="2" s="1"/>
  <c r="P4" i="2"/>
  <c r="X33" i="2" s="1"/>
  <c r="P3" i="2"/>
  <c r="P33" i="2" s="1"/>
  <c r="O5" i="2"/>
  <c r="W4" i="2" s="1"/>
  <c r="O4" i="2"/>
  <c r="W33" i="2" s="1"/>
  <c r="O3" i="2"/>
  <c r="O33" i="2" s="1"/>
  <c r="G22" i="1"/>
  <c r="F22" i="1"/>
  <c r="E22" i="1"/>
  <c r="D22" i="1"/>
  <c r="C22" i="1"/>
  <c r="B22" i="1"/>
  <c r="G16" i="1"/>
  <c r="F16" i="1"/>
  <c r="E16" i="1"/>
  <c r="D16" i="1"/>
  <c r="C16" i="1"/>
  <c r="G19" i="1"/>
  <c r="B19" i="1"/>
  <c r="C19" i="1"/>
  <c r="D19" i="1"/>
  <c r="E19" i="1"/>
  <c r="F19" i="1"/>
  <c r="G17" i="1"/>
  <c r="F17" i="1"/>
  <c r="E17" i="1"/>
  <c r="D17" i="1"/>
  <c r="C17" i="1"/>
  <c r="B17" i="1"/>
  <c r="B16" i="1"/>
</calcChain>
</file>

<file path=xl/sharedStrings.xml><?xml version="1.0" encoding="utf-8"?>
<sst xmlns="http://schemas.openxmlformats.org/spreadsheetml/2006/main" count="188" uniqueCount="103">
  <si>
    <t>Point</t>
  </si>
  <si>
    <t>2013-VI</t>
  </si>
  <si>
    <t>2012-VI</t>
  </si>
  <si>
    <t>2011-VI</t>
  </si>
  <si>
    <t>2013 Measured</t>
  </si>
  <si>
    <t>2012 Measured</t>
  </si>
  <si>
    <t>2011 Measured</t>
  </si>
  <si>
    <t>Hub height</t>
  </si>
  <si>
    <t>2013-NoVI (assume 40m)</t>
  </si>
  <si>
    <t>2012-NoVI (assume 40m)</t>
  </si>
  <si>
    <t>2011-NoVI (assume 40m)</t>
  </si>
  <si>
    <t>NA</t>
  </si>
  <si>
    <t>Interpolation Length</t>
  </si>
  <si>
    <t>Percent Difference of no-VI from VI 2013</t>
  </si>
  <si>
    <t>Percent Difference of no-VI from VI 2012</t>
  </si>
  <si>
    <t>Percent Difference of no-VI from VI 2011</t>
  </si>
  <si>
    <t>Gross gen</t>
  </si>
  <si>
    <t>including wake loss (obstacle modeling)</t>
  </si>
  <si>
    <t>missing avail, offline loss, weather events</t>
  </si>
  <si>
    <t>what do we know about site?</t>
  </si>
  <si>
    <t>how much data is missing?</t>
  </si>
  <si>
    <t xml:space="preserve">keep sign </t>
  </si>
  <si>
    <t>above or below</t>
  </si>
  <si>
    <t>offline percentages</t>
  </si>
  <si>
    <t xml:space="preserve">gives context </t>
  </si>
  <si>
    <t>Height</t>
  </si>
  <si>
    <t>Ratio 7m/10m</t>
  </si>
  <si>
    <t>Ratio 8m/10m</t>
  </si>
  <si>
    <t xml:space="preserve">Ratio 9m/10m </t>
  </si>
  <si>
    <t>Ratio 10m/10m</t>
  </si>
  <si>
    <t>Ratio 11m/10m</t>
  </si>
  <si>
    <t>Ratio 12m/10m</t>
  </si>
  <si>
    <t>Ratio 13m/10m</t>
  </si>
  <si>
    <t>Ratio 9m/10m</t>
  </si>
  <si>
    <t xml:space="preserve">Absolutes: </t>
  </si>
  <si>
    <t>3d buildings</t>
  </si>
  <si>
    <t>Manual Buildings</t>
  </si>
  <si>
    <t>IL1</t>
  </si>
  <si>
    <t>IL2</t>
  </si>
  <si>
    <t>IL3</t>
  </si>
  <si>
    <t>IL4</t>
  </si>
  <si>
    <t>3d Buildings</t>
  </si>
  <si>
    <t>200m radius</t>
  </si>
  <si>
    <t>hh:40</t>
  </si>
  <si>
    <t>Ratio 0m/10m</t>
  </si>
  <si>
    <t>3D Buildings-2013</t>
  </si>
  <si>
    <t>Manual Map-2013</t>
  </si>
  <si>
    <t>hh:40m, building height: 10m</t>
  </si>
  <si>
    <t>(3D - MM)/MM</t>
  </si>
  <si>
    <t>3D Buildings-2012</t>
  </si>
  <si>
    <t>Manual Map-2012</t>
  </si>
  <si>
    <t>3D Buildings-2011</t>
  </si>
  <si>
    <t>Manual Map-2011</t>
  </si>
  <si>
    <t>3dBuildingsEdit</t>
  </si>
  <si>
    <t>Maunal Buildings</t>
  </si>
  <si>
    <t>3D BuildingsEdit-2013</t>
  </si>
  <si>
    <t>(3DE - MM)/MM</t>
  </si>
  <si>
    <t>3D BuildingsEdit-2012</t>
  </si>
  <si>
    <t>3D Buildings Edit-2011</t>
  </si>
  <si>
    <t>Manual</t>
  </si>
  <si>
    <t>Percent Difference</t>
  </si>
  <si>
    <t xml:space="preserve">3dBuildings </t>
  </si>
  <si>
    <t>Building 1</t>
  </si>
  <si>
    <t>7 Years</t>
  </si>
  <si>
    <t>90 to 180</t>
  </si>
  <si>
    <t>0 to 90</t>
  </si>
  <si>
    <t>180 to 270</t>
  </si>
  <si>
    <t>270 to 360</t>
  </si>
  <si>
    <t>7 years</t>
  </si>
  <si>
    <t>45 to 135</t>
  </si>
  <si>
    <t>135 to 225</t>
  </si>
  <si>
    <t>225 to 315</t>
  </si>
  <si>
    <t>315 to 45</t>
  </si>
  <si>
    <t>0 to 20</t>
  </si>
  <si>
    <t>20 to 40</t>
  </si>
  <si>
    <t>40 to 60</t>
  </si>
  <si>
    <t>60 to 80</t>
  </si>
  <si>
    <t>80 to 100</t>
  </si>
  <si>
    <t>100 to 120</t>
  </si>
  <si>
    <t>120 to 140</t>
  </si>
  <si>
    <t>140 to 160</t>
  </si>
  <si>
    <t>160 to 180</t>
  </si>
  <si>
    <t>180 to 200</t>
  </si>
  <si>
    <t>220 to 240</t>
  </si>
  <si>
    <t>240 to 260</t>
  </si>
  <si>
    <t>260 to 280</t>
  </si>
  <si>
    <t>280 to 300</t>
  </si>
  <si>
    <t>300 to 320</t>
  </si>
  <si>
    <t xml:space="preserve">320 to 340 </t>
  </si>
  <si>
    <t>340 to 360</t>
  </si>
  <si>
    <t>200 to 220</t>
  </si>
  <si>
    <t>Degrees Range (math)</t>
  </si>
  <si>
    <t>Sum</t>
  </si>
  <si>
    <t>Total Percent Difference</t>
  </si>
  <si>
    <t>3dBuildings kw output</t>
  </si>
  <si>
    <t>anual kw output</t>
  </si>
  <si>
    <t>Manual kw output</t>
  </si>
  <si>
    <t>Buildings 1</t>
  </si>
  <si>
    <t>Building 2</t>
  </si>
  <si>
    <t>Building 3</t>
  </si>
  <si>
    <t>Building 4</t>
  </si>
  <si>
    <t>Building 5</t>
  </si>
  <si>
    <t>Building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</si>
</sst>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16" fontId="2" fillId="0" borderId="0" xfId="0" applyNumberFormat="1" applyFont="1"/>
    <xf numFmtId="0" fontId="0" fillId="2" borderId="0" xfId="0" applyFill="1"/>
    <xf numFmtId="0" fontId="0" fillId="0" borderId="0" xfId="0" applyFill="1"/>
    <xf numFmtId="0" fontId="3" fillId="0" borderId="0" xfId="0" applyFont="1" applyAlignment="1">
      <alignment horizontal="left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2013</a:t>
            </a:r>
            <a:r>
              <a:rPr lang="en-US" baseline="0"/>
              <a:t> VI to no-VI percent difference wrt interpolation height difference from 40m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2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73E-E24F-B68A-2D5BA938E762}"/>
                </c:ext>
              </c:extLst>
            </c:dLbl>
            <c:dLbl>
              <c:idx val="5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573E-E24F-B68A-2D5BA938E76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'VI vs no-VI Analysis'!$B$17:$G$17</c:f>
              <c:numCache>
                <c:formatCode>General</c:formatCode>
                <c:ptCount val="6"/>
                <c:pt idx="0">
                  <c:v>3</c:v>
                </c:pt>
                <c:pt idx="1">
                  <c:v>10</c:v>
                </c:pt>
                <c:pt idx="2">
                  <c:v>1</c:v>
                </c:pt>
                <c:pt idx="3">
                  <c:v>16</c:v>
                </c:pt>
                <c:pt idx="4">
                  <c:v>13</c:v>
                </c:pt>
                <c:pt idx="5">
                  <c:v>3</c:v>
                </c:pt>
              </c:numCache>
            </c:numRef>
          </c:xVal>
          <c:yVal>
            <c:numRef>
              <c:f>'VI vs no-VI Analysis'!$B$16:$G$16</c:f>
              <c:numCache>
                <c:formatCode>General</c:formatCode>
                <c:ptCount val="6"/>
                <c:pt idx="0">
                  <c:v>5.629653499047147</c:v>
                </c:pt>
                <c:pt idx="1">
                  <c:v>3.1607545243588291</c:v>
                </c:pt>
                <c:pt idx="2">
                  <c:v>3.5793504891664045</c:v>
                </c:pt>
                <c:pt idx="3">
                  <c:v>31.681558701624478</c:v>
                </c:pt>
                <c:pt idx="4">
                  <c:v>26.258373961640363</c:v>
                </c:pt>
                <c:pt idx="5">
                  <c:v>3.2516459556823425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3E-E24F-B68A-2D5BA938E762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axId val="1994665520"/>
        <c:axId val="1994580848"/>
      </c:scatterChart>
      <c:valAx>
        <c:axId val="1994665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Difference</a:t>
                </a:r>
                <a:r>
                  <a:rPr lang="en-US" baseline="0"/>
                  <a:t> from 40m base height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580848"/>
        <c:crosses val="autoZero"/>
        <c:crossBetween val="midCat"/>
      </c:valAx>
      <c:valAx>
        <c:axId val="199458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</a:t>
                </a:r>
                <a:r>
                  <a:rPr lang="en-US" baseline="0"/>
                  <a:t> Difference no-VI from VI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665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Building</a:t>
            </a:r>
            <a:r>
              <a:rPr lang="en-US" baseline="0"/>
              <a:t> Footprints from 3D Bulidings vs. Manually Drawn 2013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'height change analysis'!$AP$4</c:f>
              <c:strCache>
                <c:ptCount val="1"/>
                <c:pt idx="0">
                  <c:v>3D Buildings-2013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'height change analysis'!$AQ$3:$AV$3</c:f>
              <c:strCache>
                <c:ptCount val="6"/>
                <c:pt idx="0">
                  <c:v>112</c:v>
                </c:pt>
                <c:pt idx="1">
                  <c:v>180</c:v>
                </c:pt>
                <c:pt idx="2">
                  <c:v>IL1</c:v>
                </c:pt>
                <c:pt idx="3">
                  <c:v>IL2</c:v>
                </c:pt>
                <c:pt idx="4">
                  <c:v>IL3</c:v>
                </c:pt>
                <c:pt idx="5">
                  <c:v>IL4</c:v>
                </c:pt>
              </c:strCache>
            </c:strRef>
          </c:cat>
          <c:val>
            <c:numRef>
              <c:f>'height change analysis'!$AQ$4:$AV$4</c:f>
              <c:numCache>
                <c:formatCode>General</c:formatCode>
                <c:ptCount val="6"/>
                <c:pt idx="0">
                  <c:v>7794.83</c:v>
                </c:pt>
                <c:pt idx="1">
                  <c:v>6614.29</c:v>
                </c:pt>
                <c:pt idx="2">
                  <c:v>8571.73</c:v>
                </c:pt>
                <c:pt idx="3">
                  <c:v>15198.77</c:v>
                </c:pt>
                <c:pt idx="4">
                  <c:v>5125.05</c:v>
                </c:pt>
                <c:pt idx="5">
                  <c:v>4373.17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58-D249-B018-2DE4B7A446AE}"/>
            </c:ext>
          </c:extLst>
        </c:ser>
        <c:ser>
          <c:idx val="1"/>
          <c:order val="1"/>
          <c:tx>
            <c:strRef>
              <c:f>'height change analysis'!$AP$5</c:f>
              <c:strCache>
                <c:ptCount val="1"/>
                <c:pt idx="0">
                  <c:v>Manual Map-2013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'height change analysis'!$AQ$3:$AV$3</c:f>
              <c:strCache>
                <c:ptCount val="6"/>
                <c:pt idx="0">
                  <c:v>112</c:v>
                </c:pt>
                <c:pt idx="1">
                  <c:v>180</c:v>
                </c:pt>
                <c:pt idx="2">
                  <c:v>IL1</c:v>
                </c:pt>
                <c:pt idx="3">
                  <c:v>IL2</c:v>
                </c:pt>
                <c:pt idx="4">
                  <c:v>IL3</c:v>
                </c:pt>
                <c:pt idx="5">
                  <c:v>IL4</c:v>
                </c:pt>
              </c:strCache>
            </c:strRef>
          </c:cat>
          <c:val>
            <c:numRef>
              <c:f>'height change analysis'!$AQ$5:$AV$5</c:f>
              <c:numCache>
                <c:formatCode>General</c:formatCode>
                <c:ptCount val="6"/>
                <c:pt idx="0">
                  <c:v>8627.9500000000007</c:v>
                </c:pt>
                <c:pt idx="1">
                  <c:v>8361.7900000000009</c:v>
                </c:pt>
                <c:pt idx="2">
                  <c:v>9114.69</c:v>
                </c:pt>
                <c:pt idx="3">
                  <c:v>14659.28</c:v>
                </c:pt>
                <c:pt idx="4">
                  <c:v>4752.4799999999996</c:v>
                </c:pt>
                <c:pt idx="5">
                  <c:v>4358.8500000000004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58-D249-B018-2DE4B7A446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88127824"/>
        <c:axId val="1988129472"/>
      </c:barChart>
      <c:catAx>
        <c:axId val="1988127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8129472"/>
        <c:crosses val="autoZero"/>
        <c:auto val="1"/>
        <c:lblAlgn val="ctr"/>
        <c:lblOffset val="100"/>
        <c:noMultiLvlLbl val="0"/>
      </c:catAx>
      <c:valAx>
        <c:axId val="198812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8127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 Difference 2013: (3D - Manual)/Manual* 100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'height change analysis'!$AP$6</c:f>
              <c:strCache>
                <c:ptCount val="1"/>
                <c:pt idx="0">
                  <c:v>(3D - MM)/MM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'height change analysis'!$AQ$2:$AV$3</c:f>
              <c:strCache>
                <c:ptCount val="6"/>
                <c:pt idx="0">
                  <c:v>112</c:v>
                </c:pt>
                <c:pt idx="1">
                  <c:v>180</c:v>
                </c:pt>
                <c:pt idx="2">
                  <c:v>IL1</c:v>
                </c:pt>
                <c:pt idx="3">
                  <c:v>IL2</c:v>
                </c:pt>
                <c:pt idx="4">
                  <c:v>IL3</c:v>
                </c:pt>
                <c:pt idx="5">
                  <c:v>IL4</c:v>
                </c:pt>
              </c:strCache>
            </c:strRef>
          </c:cat>
          <c:val>
            <c:numRef>
              <c:f>'height change analysis'!$AQ$6:$AV$6</c:f>
              <c:numCache>
                <c:formatCode>General</c:formatCode>
                <c:ptCount val="6"/>
                <c:pt idx="0">
                  <c:v>-9.6560596665488418</c:v>
                </c:pt>
                <c:pt idx="1">
                  <c:v>-20.898635340040837</c:v>
                </c:pt>
                <c:pt idx="2">
                  <c:v>-5.956977143490354</c:v>
                </c:pt>
                <c:pt idx="3">
                  <c:v>3.6801943888103628</c:v>
                </c:pt>
                <c:pt idx="4">
                  <c:v>7.839485910514103</c:v>
                </c:pt>
                <c:pt idx="5">
                  <c:v>0.32852701974143883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6F-5D46-886C-579E4C88B09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89516608"/>
        <c:axId val="1998954112"/>
      </c:barChart>
      <c:catAx>
        <c:axId val="1989516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954112"/>
        <c:crosses val="autoZero"/>
        <c:auto val="1"/>
        <c:lblAlgn val="ctr"/>
        <c:lblOffset val="100"/>
        <c:noMultiLvlLbl val="0"/>
      </c:catAx>
      <c:valAx>
        <c:axId val="199895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9516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Percent Difference 2012: (3D - Manual)/Manual* 100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'height change analysis'!$AP$48</c:f>
              <c:strCache>
                <c:ptCount val="1"/>
                <c:pt idx="0">
                  <c:v>(3D - MM)/MM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'height change analysis'!$AQ$45:$AV$45</c:f>
              <c:strCache>
                <c:ptCount val="6"/>
                <c:pt idx="0">
                  <c:v>112</c:v>
                </c:pt>
                <c:pt idx="1">
                  <c:v>180</c:v>
                </c:pt>
                <c:pt idx="2">
                  <c:v>IL1</c:v>
                </c:pt>
                <c:pt idx="3">
                  <c:v>IL2</c:v>
                </c:pt>
                <c:pt idx="4">
                  <c:v>IL3</c:v>
                </c:pt>
                <c:pt idx="5">
                  <c:v>IL4</c:v>
                </c:pt>
              </c:strCache>
            </c:strRef>
          </c:cat>
          <c:val>
            <c:numRef>
              <c:f>'height change analysis'!$AQ$48:$AV$48</c:f>
              <c:numCache>
                <c:formatCode>General</c:formatCode>
                <c:ptCount val="6"/>
                <c:pt idx="0">
                  <c:v>-9.471361394863326</c:v>
                </c:pt>
                <c:pt idx="1">
                  <c:v>-16.790238261294611</c:v>
                </c:pt>
                <c:pt idx="2">
                  <c:v>-4.5776034649225705</c:v>
                </c:pt>
                <c:pt idx="3">
                  <c:v>3.579723490092948</c:v>
                </c:pt>
                <c:pt idx="4">
                  <c:v>7.5782979008785389</c:v>
                </c:pt>
                <c:pt idx="5">
                  <c:v>0.34815706851319317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A8-774D-ABDD-C75DE7A7FF7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98835904"/>
        <c:axId val="1928329248"/>
      </c:barChart>
      <c:catAx>
        <c:axId val="1998835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329248"/>
        <c:crosses val="autoZero"/>
        <c:auto val="1"/>
        <c:lblAlgn val="ctr"/>
        <c:lblOffset val="100"/>
        <c:noMultiLvlLbl val="0"/>
      </c:catAx>
      <c:valAx>
        <c:axId val="192832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835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Building Footprints from 3D Bulidings vs. Manually Drawn 2012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'height change analysis'!$AP$46</c:f>
              <c:strCache>
                <c:ptCount val="1"/>
                <c:pt idx="0">
                  <c:v>3D Buildings-2012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'height change analysis'!$AQ$45:$AV$45</c:f>
              <c:strCache>
                <c:ptCount val="6"/>
                <c:pt idx="0">
                  <c:v>112</c:v>
                </c:pt>
                <c:pt idx="1">
                  <c:v>180</c:v>
                </c:pt>
                <c:pt idx="2">
                  <c:v>IL1</c:v>
                </c:pt>
                <c:pt idx="3">
                  <c:v>IL2</c:v>
                </c:pt>
                <c:pt idx="4">
                  <c:v>IL3</c:v>
                </c:pt>
                <c:pt idx="5">
                  <c:v>IL4</c:v>
                </c:pt>
              </c:strCache>
            </c:strRef>
          </c:cat>
          <c:val>
            <c:numRef>
              <c:f>'height change analysis'!$AQ$46:$AV$46</c:f>
              <c:numCache>
                <c:formatCode>General</c:formatCode>
                <c:ptCount val="6"/>
                <c:pt idx="0">
                  <c:v>7987.55</c:v>
                </c:pt>
                <c:pt idx="1">
                  <c:v>6979.51</c:v>
                </c:pt>
                <c:pt idx="2">
                  <c:v>8746.56</c:v>
                </c:pt>
                <c:pt idx="3">
                  <c:v>15635.67</c:v>
                </c:pt>
                <c:pt idx="4">
                  <c:v>5293.53</c:v>
                </c:pt>
                <c:pt idx="5">
                  <c:v>4666.3900000000003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33-7F4F-A9F9-8D2010D7951B}"/>
            </c:ext>
          </c:extLst>
        </c:ser>
        <c:ser>
          <c:idx val="1"/>
          <c:order val="1"/>
          <c:tx>
            <c:strRef>
              <c:f>'height change analysis'!$AP$47</c:f>
              <c:strCache>
                <c:ptCount val="1"/>
                <c:pt idx="0">
                  <c:v>Manual Map-2012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'height change analysis'!$AQ$45:$AV$45</c:f>
              <c:strCache>
                <c:ptCount val="6"/>
                <c:pt idx="0">
                  <c:v>112</c:v>
                </c:pt>
                <c:pt idx="1">
                  <c:v>180</c:v>
                </c:pt>
                <c:pt idx="2">
                  <c:v>IL1</c:v>
                </c:pt>
                <c:pt idx="3">
                  <c:v>IL2</c:v>
                </c:pt>
                <c:pt idx="4">
                  <c:v>IL3</c:v>
                </c:pt>
                <c:pt idx="5">
                  <c:v>IL4</c:v>
                </c:pt>
              </c:strCache>
            </c:strRef>
          </c:cat>
          <c:val>
            <c:numRef>
              <c:f>'height change analysis'!$AQ$47:$AV$47</c:f>
              <c:numCache>
                <c:formatCode>General</c:formatCode>
                <c:ptCount val="6"/>
                <c:pt idx="0">
                  <c:v>8823.23</c:v>
                </c:pt>
                <c:pt idx="1">
                  <c:v>8387.85</c:v>
                </c:pt>
                <c:pt idx="2">
                  <c:v>9166.15</c:v>
                </c:pt>
                <c:pt idx="3">
                  <c:v>15095.3</c:v>
                </c:pt>
                <c:pt idx="4">
                  <c:v>4920.63</c:v>
                </c:pt>
                <c:pt idx="5">
                  <c:v>4650.2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33-7F4F-A9F9-8D2010D795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06091248"/>
        <c:axId val="2002264384"/>
      </c:barChart>
      <c:catAx>
        <c:axId val="2006091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2264384"/>
        <c:crosses val="autoZero"/>
        <c:auto val="1"/>
        <c:lblAlgn val="ctr"/>
        <c:lblOffset val="100"/>
        <c:noMultiLvlLbl val="0"/>
      </c:catAx>
      <c:valAx>
        <c:axId val="200226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6091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Building Footprints from 3D Bulidings vs. Manually Drawn 2011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'height change analysis'!$AP$78</c:f>
              <c:strCache>
                <c:ptCount val="1"/>
                <c:pt idx="0">
                  <c:v>3D Buildings-2011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'height change analysis'!$AQ$77:$AV$77</c:f>
              <c:strCache>
                <c:ptCount val="6"/>
                <c:pt idx="0">
                  <c:v>112</c:v>
                </c:pt>
                <c:pt idx="1">
                  <c:v>180</c:v>
                </c:pt>
                <c:pt idx="2">
                  <c:v>IL1</c:v>
                </c:pt>
                <c:pt idx="3">
                  <c:v>IL2</c:v>
                </c:pt>
                <c:pt idx="4">
                  <c:v>IL3</c:v>
                </c:pt>
                <c:pt idx="5">
                  <c:v>IL4</c:v>
                </c:pt>
              </c:strCache>
            </c:strRef>
          </c:cat>
          <c:val>
            <c:numRef>
              <c:f>'height change analysis'!$AQ$78:$AV$78</c:f>
              <c:numCache>
                <c:formatCode>General</c:formatCode>
                <c:ptCount val="6"/>
                <c:pt idx="0">
                  <c:v>7788.37</c:v>
                </c:pt>
                <c:pt idx="1">
                  <c:v>7208.14</c:v>
                </c:pt>
                <c:pt idx="2">
                  <c:v>8815.31</c:v>
                </c:pt>
                <c:pt idx="3">
                  <c:v>16668.07</c:v>
                </c:pt>
                <c:pt idx="4">
                  <c:v>5247.49</c:v>
                </c:pt>
                <c:pt idx="5">
                  <c:v>5323.25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86-DD48-8ACE-19F33B8E0775}"/>
            </c:ext>
          </c:extLst>
        </c:ser>
        <c:ser>
          <c:idx val="1"/>
          <c:order val="1"/>
          <c:tx>
            <c:strRef>
              <c:f>'height change analysis'!$AP$79</c:f>
              <c:strCache>
                <c:ptCount val="1"/>
                <c:pt idx="0">
                  <c:v>Manual Map-2011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'height change analysis'!$AQ$77:$AV$77</c:f>
              <c:strCache>
                <c:ptCount val="6"/>
                <c:pt idx="0">
                  <c:v>112</c:v>
                </c:pt>
                <c:pt idx="1">
                  <c:v>180</c:v>
                </c:pt>
                <c:pt idx="2">
                  <c:v>IL1</c:v>
                </c:pt>
                <c:pt idx="3">
                  <c:v>IL2</c:v>
                </c:pt>
                <c:pt idx="4">
                  <c:v>IL3</c:v>
                </c:pt>
                <c:pt idx="5">
                  <c:v>IL4</c:v>
                </c:pt>
              </c:strCache>
            </c:strRef>
          </c:cat>
          <c:val>
            <c:numRef>
              <c:f>'height change analysis'!$AQ$79:$AV$79</c:f>
              <c:numCache>
                <c:formatCode>General</c:formatCode>
                <c:ptCount val="6"/>
                <c:pt idx="0">
                  <c:v>8636.24</c:v>
                </c:pt>
                <c:pt idx="1">
                  <c:v>9023.51</c:v>
                </c:pt>
                <c:pt idx="2">
                  <c:v>9132.08</c:v>
                </c:pt>
                <c:pt idx="3">
                  <c:v>16073.89</c:v>
                </c:pt>
                <c:pt idx="4">
                  <c:v>4867.01</c:v>
                </c:pt>
                <c:pt idx="5">
                  <c:v>5305.86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86-DD48-8ACE-19F33B8E0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98798640"/>
        <c:axId val="1998890224"/>
      </c:barChart>
      <c:catAx>
        <c:axId val="1998798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890224"/>
        <c:crosses val="autoZero"/>
        <c:auto val="1"/>
        <c:lblAlgn val="ctr"/>
        <c:lblOffset val="100"/>
        <c:noMultiLvlLbl val="0"/>
      </c:catAx>
      <c:valAx>
        <c:axId val="199889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798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Percent Difference 2011: (3D - Manual)/Manual* 100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'height change analysis'!$AP$80</c:f>
              <c:strCache>
                <c:ptCount val="1"/>
                <c:pt idx="0">
                  <c:v>(3D - MM)/MM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'height change analysis'!$AQ$77:$AV$77</c:f>
              <c:strCache>
                <c:ptCount val="6"/>
                <c:pt idx="0">
                  <c:v>112</c:v>
                </c:pt>
                <c:pt idx="1">
                  <c:v>180</c:v>
                </c:pt>
                <c:pt idx="2">
                  <c:v>IL1</c:v>
                </c:pt>
                <c:pt idx="3">
                  <c:v>IL2</c:v>
                </c:pt>
                <c:pt idx="4">
                  <c:v>IL3</c:v>
                </c:pt>
                <c:pt idx="5">
                  <c:v>IL4</c:v>
                </c:pt>
              </c:strCache>
            </c:strRef>
          </c:cat>
          <c:val>
            <c:numRef>
              <c:f>'height change analysis'!$AQ$80:$AV$80</c:f>
              <c:numCache>
                <c:formatCode>General</c:formatCode>
                <c:ptCount val="6"/>
                <c:pt idx="0">
                  <c:v>-9.8175826517095395</c:v>
                </c:pt>
                <c:pt idx="1">
                  <c:v>-20.118224504655061</c:v>
                </c:pt>
                <c:pt idx="2">
                  <c:v>-3.4687606766476033</c:v>
                </c:pt>
                <c:pt idx="3">
                  <c:v>3.696553852241121</c:v>
                </c:pt>
                <c:pt idx="4">
                  <c:v>7.8175306810546834</c:v>
                </c:pt>
                <c:pt idx="5">
                  <c:v>0.32775082644472958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1C-4346-8BC9-C970DD042C9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07168048"/>
        <c:axId val="1994035104"/>
      </c:barChart>
      <c:catAx>
        <c:axId val="2007168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035104"/>
        <c:crosses val="autoZero"/>
        <c:auto val="1"/>
        <c:lblAlgn val="ctr"/>
        <c:lblOffset val="100"/>
        <c:noMultiLvlLbl val="0"/>
      </c:catAx>
      <c:valAx>
        <c:axId val="199403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7168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2012</a:t>
            </a:r>
            <a:r>
              <a:rPr lang="en-US" baseline="0"/>
              <a:t> VI to no-VI percent difference wrt interpolation height difference from 40m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5.6763998250218696E-2"/>
                  <c:y val="-5.782407407407407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C0B-274A-81AF-B6F7282642A8}"/>
                </c:ext>
              </c:extLst>
            </c:dLbl>
            <c:dLbl>
              <c:idx val="5"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C0B-274A-81AF-B6F7282642A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'VI vs no-VI Analysis'!$B$20:$G$20</c:f>
              <c:numCache>
                <c:formatCode>General</c:formatCode>
                <c:ptCount val="6"/>
                <c:pt idx="0">
                  <c:v>3</c:v>
                </c:pt>
                <c:pt idx="1">
                  <c:v>10</c:v>
                </c:pt>
                <c:pt idx="2">
                  <c:v>1</c:v>
                </c:pt>
                <c:pt idx="3">
                  <c:v>16</c:v>
                </c:pt>
                <c:pt idx="4">
                  <c:v>13</c:v>
                </c:pt>
                <c:pt idx="5">
                  <c:v>3</c:v>
                </c:pt>
              </c:numCache>
            </c:numRef>
          </c:xVal>
          <c:yVal>
            <c:numRef>
              <c:f>'VI vs no-VI Analysis'!$B$19:$G$19</c:f>
              <c:numCache>
                <c:formatCode>General</c:formatCode>
                <c:ptCount val="6"/>
                <c:pt idx="0">
                  <c:v>5.3699639909459318</c:v>
                </c:pt>
                <c:pt idx="1">
                  <c:v>3.3993305913109984</c:v>
                </c:pt>
                <c:pt idx="2">
                  <c:v>3.7108836364226274</c:v>
                </c:pt>
                <c:pt idx="3">
                  <c:v>30.401420848566179</c:v>
                </c:pt>
                <c:pt idx="4">
                  <c:v>26.246178083657551</c:v>
                </c:pt>
                <c:pt idx="5">
                  <c:v>3.6268987530638266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0B-274A-81AF-B6F7282642A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984013456"/>
        <c:axId val="1961284992"/>
      </c:scatterChart>
      <c:valAx>
        <c:axId val="1984013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Difference</a:t>
                </a:r>
                <a:r>
                  <a:rPr lang="en-US" baseline="0"/>
                  <a:t> from 40m base height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1284992"/>
        <c:crosses val="autoZero"/>
        <c:crossBetween val="midCat"/>
      </c:valAx>
      <c:valAx>
        <c:axId val="196128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</a:t>
                </a:r>
                <a:r>
                  <a:rPr lang="en-US" baseline="0"/>
                  <a:t> Difference no-VI from VI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4013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2011</a:t>
            </a:r>
            <a:r>
              <a:rPr lang="en-US" baseline="0"/>
              <a:t> VI to no-VI percent difference wrt interpolation height difference from 40m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'VI vs no-VI Analysis'!$B$23:$G$23</c:f>
              <c:numCache>
                <c:formatCode>General</c:formatCode>
                <c:ptCount val="6"/>
                <c:pt idx="0">
                  <c:v>3</c:v>
                </c:pt>
                <c:pt idx="1">
                  <c:v>10</c:v>
                </c:pt>
                <c:pt idx="2">
                  <c:v>1</c:v>
                </c:pt>
                <c:pt idx="3">
                  <c:v>16</c:v>
                </c:pt>
                <c:pt idx="4">
                  <c:v>13</c:v>
                </c:pt>
                <c:pt idx="5">
                  <c:v>3</c:v>
                </c:pt>
              </c:numCache>
            </c:numRef>
          </c:xVal>
          <c:yVal>
            <c:numRef>
              <c:f>'VI vs no-VI Analysis'!$B$22:$G$22</c:f>
              <c:numCache>
                <c:formatCode>General</c:formatCode>
                <c:ptCount val="6"/>
                <c:pt idx="0">
                  <c:v>5.4589258432248249</c:v>
                </c:pt>
                <c:pt idx="1">
                  <c:v>1.9402019376479169</c:v>
                </c:pt>
                <c:pt idx="2">
                  <c:v>1.719666363711184</c:v>
                </c:pt>
                <c:pt idx="3">
                  <c:v>32.28154853698102</c:v>
                </c:pt>
                <c:pt idx="4">
                  <c:v>27.673501819738306</c:v>
                </c:pt>
                <c:pt idx="5">
                  <c:v>3.5850959387167673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7E-0845-8D30-343E0FEE445F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axId val="1995761712"/>
        <c:axId val="1928261200"/>
      </c:scatterChart>
      <c:valAx>
        <c:axId val="1995761712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261200"/>
        <c:crosses val="autoZero"/>
        <c:crossBetween val="midCat"/>
      </c:valAx>
      <c:valAx>
        <c:axId val="192826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5761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Impact</a:t>
            </a:r>
            <a:r>
              <a:rPr lang="en-US" baseline="0"/>
              <a:t> of Height on Power Output (kw) Predictions for 2013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'height change analysis'!$N$33</c:f>
              <c:strCache>
                <c:ptCount val="1"/>
                <c:pt idx="0">
                  <c:v>Ratio 7m/10m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'height change analysis'!$O$33:$T$33</c:f>
              <c:numCache>
                <c:formatCode>General</c:formatCode>
                <c:ptCount val="6"/>
                <c:pt idx="0">
                  <c:v>0.95808720661095947</c:v>
                </c:pt>
                <c:pt idx="1">
                  <c:v>0.56651104912925909</c:v>
                </c:pt>
                <c:pt idx="2">
                  <c:v>0.88477941357226875</c:v>
                </c:pt>
                <c:pt idx="3">
                  <c:v>0.97692190839193926</c:v>
                </c:pt>
                <c:pt idx="4">
                  <c:v>0.92165462961083688</c:v>
                </c:pt>
                <c:pt idx="5">
                  <c:v>0.99941076898467474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D4-9743-B3D8-962E70B81916}"/>
            </c:ext>
          </c:extLst>
        </c:ser>
        <c:ser>
          <c:idx val="1"/>
          <c:order val="1"/>
          <c:tx>
            <c:strRef>
              <c:f>'height change analysis'!$N$34</c:f>
              <c:strCache>
                <c:ptCount val="1"/>
                <c:pt idx="0">
                  <c:v>Ratio 8m/10m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'height change analysis'!$O$34:$T$34</c:f>
              <c:numCache>
                <c:formatCode>General</c:formatCode>
                <c:ptCount val="6"/>
                <c:pt idx="0">
                  <c:v>0.97695728578261609</c:v>
                </c:pt>
                <c:pt idx="1">
                  <c:v>0.69156736819379527</c:v>
                </c:pt>
                <c:pt idx="2">
                  <c:v>0.92181406275830113</c:v>
                </c:pt>
                <c:pt idx="3">
                  <c:v>0.98448619884037902</c:v>
                </c:pt>
                <c:pt idx="4">
                  <c:v>0.98738863489411388</c:v>
                </c:pt>
                <c:pt idx="5">
                  <c:v>0.99958975681509921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D4-9743-B3D8-962E70B81916}"/>
            </c:ext>
          </c:extLst>
        </c:ser>
        <c:ser>
          <c:idx val="2"/>
          <c:order val="2"/>
          <c:tx>
            <c:strRef>
              <c:f>'height change analysis'!$N$35</c:f>
              <c:strCache>
                <c:ptCount val="1"/>
                <c:pt idx="0">
                  <c:v>Ratio 9m/10m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'height change analysis'!$O$35:$T$35</c:f>
              <c:numCache>
                <c:formatCode>General</c:formatCode>
                <c:ptCount val="6"/>
                <c:pt idx="0">
                  <c:v>0.99072771908894763</c:v>
                </c:pt>
                <c:pt idx="1">
                  <c:v>0.84260383158762109</c:v>
                </c:pt>
                <c:pt idx="2">
                  <c:v>0.95898663165722409</c:v>
                </c:pt>
                <c:pt idx="3">
                  <c:v>0.99222768857454446</c:v>
                </c:pt>
                <c:pt idx="4">
                  <c:v>0.99998840989563131</c:v>
                </c:pt>
                <c:pt idx="5">
                  <c:v>0.9997864787042362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8D4-9743-B3D8-962E70B81916}"/>
            </c:ext>
          </c:extLst>
        </c:ser>
        <c:ser>
          <c:idx val="3"/>
          <c:order val="3"/>
          <c:tx>
            <c:strRef>
              <c:f>'height change analysis'!$N$36</c:f>
              <c:strCache>
                <c:ptCount val="1"/>
                <c:pt idx="0">
                  <c:v>Ratio 10m/10m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'height change analysis'!$O$36:$T$36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8D4-9743-B3D8-962E70B81916}"/>
            </c:ext>
          </c:extLst>
        </c:ser>
        <c:ser>
          <c:idx val="4"/>
          <c:order val="4"/>
          <c:tx>
            <c:strRef>
              <c:f>'height change analysis'!$N$37</c:f>
              <c:strCache>
                <c:ptCount val="1"/>
                <c:pt idx="0">
                  <c:v>Ratio 11m/10m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'height change analysis'!$O$37:$T$37</c:f>
              <c:numCache>
                <c:formatCode>General</c:formatCode>
                <c:ptCount val="6"/>
                <c:pt idx="0">
                  <c:v>1.005493753817351</c:v>
                </c:pt>
                <c:pt idx="1">
                  <c:v>1.118326743501304</c:v>
                </c:pt>
                <c:pt idx="2">
                  <c:v>1.0533117774553657</c:v>
                </c:pt>
                <c:pt idx="3">
                  <c:v>1.0079883870048447</c:v>
                </c:pt>
                <c:pt idx="4">
                  <c:v>1</c:v>
                </c:pt>
                <c:pt idx="5">
                  <c:v>1.0002284301923545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8D4-9743-B3D8-962E70B81916}"/>
            </c:ext>
          </c:extLst>
        </c:ser>
        <c:ser>
          <c:idx val="5"/>
          <c:order val="5"/>
          <c:tx>
            <c:strRef>
              <c:f>'height change analysis'!$N$38</c:f>
              <c:strCache>
                <c:ptCount val="1"/>
                <c:pt idx="0">
                  <c:v>Ratio 12m/10m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'height change analysis'!$O$38:$T$38</c:f>
              <c:numCache>
                <c:formatCode>General</c:formatCode>
                <c:ptCount val="6"/>
                <c:pt idx="0">
                  <c:v>1.0078812000069104</c:v>
                </c:pt>
                <c:pt idx="1">
                  <c:v>1.1686534623871438</c:v>
                </c:pt>
                <c:pt idx="2">
                  <c:v>1.1410226604619707</c:v>
                </c:pt>
                <c:pt idx="3">
                  <c:v>1.0162641775070573</c:v>
                </c:pt>
                <c:pt idx="4">
                  <c:v>1</c:v>
                </c:pt>
                <c:pt idx="5">
                  <c:v>1.0004693985150372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8D4-9743-B3D8-962E70B81916}"/>
            </c:ext>
          </c:extLst>
        </c:ser>
        <c:ser>
          <c:idx val="6"/>
          <c:order val="6"/>
          <c:tx>
            <c:strRef>
              <c:f>'height change analysis'!$N$39</c:f>
              <c:strCache>
                <c:ptCount val="1"/>
                <c:pt idx="0">
                  <c:v>Ratio 13m/10m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'height change analysis'!$O$39:$T$39</c:f>
              <c:numCache>
                <c:formatCode>General</c:formatCode>
                <c:ptCount val="6"/>
                <c:pt idx="0">
                  <c:v>1.0077517120163413</c:v>
                </c:pt>
                <c:pt idx="1">
                  <c:v>1.1838376732091334</c:v>
                </c:pt>
                <c:pt idx="2">
                  <c:v>1.3197538560004267</c:v>
                </c:pt>
                <c:pt idx="3">
                  <c:v>1.0247456356528368</c:v>
                </c:pt>
                <c:pt idx="4">
                  <c:v>1</c:v>
                </c:pt>
                <c:pt idx="5">
                  <c:v>1.0007229230187391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8D4-9743-B3D8-962E70B81916}"/>
            </c:ext>
          </c:extLst>
        </c:ser>
        <c:ser>
          <c:idx val="7"/>
          <c:order val="7"/>
          <c:tx>
            <c:strRef>
              <c:f>'height change analysis'!$N$40</c:f>
              <c:strCache>
                <c:ptCount val="1"/>
                <c:pt idx="0">
                  <c:v>Ratio 0m/10m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'height change analysis'!$O$40:$T$40</c:f>
              <c:numCache>
                <c:formatCode>General</c:formatCode>
                <c:ptCount val="6"/>
                <c:pt idx="0">
                  <c:v>1.2182172876583359</c:v>
                </c:pt>
                <c:pt idx="1">
                  <c:v>4.4646714898628748</c:v>
                </c:pt>
                <c:pt idx="2">
                  <c:v>1.6113663210395064</c:v>
                </c:pt>
                <c:pt idx="3">
                  <c:v>1.8428220290681108</c:v>
                </c:pt>
                <c:pt idx="4">
                  <c:v>1.4680891752965652</c:v>
                </c:pt>
                <c:pt idx="5">
                  <c:v>0.85524216228770455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71-6444-95AC-C78D1D744CB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079821616"/>
        <c:axId val="2079823264"/>
      </c:barChart>
      <c:catAx>
        <c:axId val="2079821616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34</a:t>
                </a:r>
                <a:r>
                  <a:rPr lang="en-US" baseline="0"/>
                  <a:t>                        44                   57               80                 112             133    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2079823264"/>
        <c:crosses val="autoZero"/>
        <c:auto val="1"/>
        <c:lblAlgn val="ctr"/>
        <c:lblOffset val="100"/>
        <c:noMultiLvlLbl val="0"/>
      </c:catAx>
      <c:valAx>
        <c:axId val="207982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9821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Impact of Height on Power Output (kw) Predictions for 2012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'height change analysis'!$V$33</c:f>
              <c:strCache>
                <c:ptCount val="1"/>
                <c:pt idx="0">
                  <c:v>Ratio 7m/10m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'height change analysis'!$W$33:$AB$33</c:f>
              <c:numCache>
                <c:formatCode>General</c:formatCode>
                <c:ptCount val="6"/>
                <c:pt idx="0">
                  <c:v>0.9583249063472562</c:v>
                </c:pt>
                <c:pt idx="1">
                  <c:v>0.57361145104526234</c:v>
                </c:pt>
                <c:pt idx="2">
                  <c:v>0.87374396095242368</c:v>
                </c:pt>
                <c:pt idx="3">
                  <c:v>0.98372907362993067</c:v>
                </c:pt>
                <c:pt idx="4">
                  <c:v>0.91605488918443845</c:v>
                </c:pt>
                <c:pt idx="5">
                  <c:v>0.99938606411944275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DE-4A41-92C1-F7A8F6456EE1}"/>
            </c:ext>
          </c:extLst>
        </c:ser>
        <c:ser>
          <c:idx val="1"/>
          <c:order val="1"/>
          <c:tx>
            <c:strRef>
              <c:f>'height change analysis'!$V$34</c:f>
              <c:strCache>
                <c:ptCount val="1"/>
                <c:pt idx="0">
                  <c:v>Ratio 8m/10m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'height change analysis'!$W$34:$AB$34</c:f>
              <c:numCache>
                <c:formatCode>General</c:formatCode>
                <c:ptCount val="6"/>
                <c:pt idx="0">
                  <c:v>0.97705731669910134</c:v>
                </c:pt>
                <c:pt idx="1">
                  <c:v>0.69491001203929248</c:v>
                </c:pt>
                <c:pt idx="2">
                  <c:v>0.91401274411080113</c:v>
                </c:pt>
                <c:pt idx="3">
                  <c:v>0.98937328863001628</c:v>
                </c:pt>
                <c:pt idx="4">
                  <c:v>0.98693075110150141</c:v>
                </c:pt>
                <c:pt idx="5">
                  <c:v>0.99957258787985026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DE-4A41-92C1-F7A8F6456EE1}"/>
            </c:ext>
          </c:extLst>
        </c:ser>
        <c:ser>
          <c:idx val="2"/>
          <c:order val="2"/>
          <c:tx>
            <c:strRef>
              <c:f>'height change analysis'!$V$35</c:f>
              <c:strCache>
                <c:ptCount val="1"/>
                <c:pt idx="0">
                  <c:v>Ratio 9m/10m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'height change analysis'!$W$35:$AB$35</c:f>
              <c:numCache>
                <c:formatCode>General</c:formatCode>
                <c:ptCount val="6"/>
                <c:pt idx="0">
                  <c:v>0.99078305538593092</c:v>
                </c:pt>
                <c:pt idx="1">
                  <c:v>0.84260671204175497</c:v>
                </c:pt>
                <c:pt idx="2">
                  <c:v>0.95466524821349896</c:v>
                </c:pt>
                <c:pt idx="3">
                  <c:v>0.99486912756286128</c:v>
                </c:pt>
                <c:pt idx="4">
                  <c:v>0.99998639972346093</c:v>
                </c:pt>
                <c:pt idx="5">
                  <c:v>0.99977774133629538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ADE-4A41-92C1-F7A8F6456EE1}"/>
            </c:ext>
          </c:extLst>
        </c:ser>
        <c:ser>
          <c:idx val="3"/>
          <c:order val="3"/>
          <c:tx>
            <c:strRef>
              <c:f>'height change analysis'!$V$36</c:f>
              <c:strCache>
                <c:ptCount val="1"/>
                <c:pt idx="0">
                  <c:v>Ratio 10m/10m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'height change analysis'!$W$36:$AB$36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ADE-4A41-92C1-F7A8F6456EE1}"/>
            </c:ext>
          </c:extLst>
        </c:ser>
        <c:ser>
          <c:idx val="4"/>
          <c:order val="4"/>
          <c:tx>
            <c:strRef>
              <c:f>'height change analysis'!$V$37</c:f>
              <c:strCache>
                <c:ptCount val="1"/>
                <c:pt idx="0">
                  <c:v>Ratio 11m/10m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'height change analysis'!$W$37:$AB$37</c:f>
              <c:numCache>
                <c:formatCode>General</c:formatCode>
                <c:ptCount val="6"/>
                <c:pt idx="0">
                  <c:v>1.0053719741081193</c:v>
                </c:pt>
                <c:pt idx="1">
                  <c:v>1.1219270624842663</c:v>
                </c:pt>
                <c:pt idx="2">
                  <c:v>1.0614591381131584</c:v>
                </c:pt>
                <c:pt idx="3">
                  <c:v>1.0050672775609089</c:v>
                </c:pt>
                <c:pt idx="4">
                  <c:v>1</c:v>
                </c:pt>
                <c:pt idx="5">
                  <c:v>1.0002378385071375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ADE-4A41-92C1-F7A8F6456EE1}"/>
            </c:ext>
          </c:extLst>
        </c:ser>
        <c:ser>
          <c:idx val="5"/>
          <c:order val="5"/>
          <c:tx>
            <c:strRef>
              <c:f>'height change analysis'!$V$38</c:f>
              <c:strCache>
                <c:ptCount val="1"/>
                <c:pt idx="0">
                  <c:v>Ratio 12m/10m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'height change analysis'!$W$38:$AB$38</c:f>
              <c:numCache>
                <c:formatCode>General</c:formatCode>
                <c:ptCount val="6"/>
                <c:pt idx="0">
                  <c:v>1.0291450238318811</c:v>
                </c:pt>
                <c:pt idx="1">
                  <c:v>1.1763265270800609</c:v>
                </c:pt>
                <c:pt idx="2">
                  <c:v>1.161860045430938</c:v>
                </c:pt>
                <c:pt idx="3">
                  <c:v>1.0102918284207167</c:v>
                </c:pt>
                <c:pt idx="4">
                  <c:v>1</c:v>
                </c:pt>
                <c:pt idx="5">
                  <c:v>1.0004892138158523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ADE-4A41-92C1-F7A8F6456EE1}"/>
            </c:ext>
          </c:extLst>
        </c:ser>
        <c:ser>
          <c:idx val="6"/>
          <c:order val="6"/>
          <c:tx>
            <c:strRef>
              <c:f>'height change analysis'!$V$39</c:f>
              <c:strCache>
                <c:ptCount val="1"/>
                <c:pt idx="0">
                  <c:v>Ratio 13m/10m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'height change analysis'!$W$39:$AB$39</c:f>
              <c:numCache>
                <c:formatCode>General</c:formatCode>
                <c:ptCount val="6"/>
                <c:pt idx="0">
                  <c:v>1.00725075273093</c:v>
                </c:pt>
                <c:pt idx="1">
                  <c:v>1.1952342221538326</c:v>
                </c:pt>
                <c:pt idx="2">
                  <c:v>1.3918449789343494</c:v>
                </c:pt>
                <c:pt idx="3">
                  <c:v>1.0156243702323853</c:v>
                </c:pt>
                <c:pt idx="4">
                  <c:v>1</c:v>
                </c:pt>
                <c:pt idx="5">
                  <c:v>1.0007531131084009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ADE-4A41-92C1-F7A8F6456EE1}"/>
            </c:ext>
          </c:extLst>
        </c:ser>
        <c:ser>
          <c:idx val="7"/>
          <c:order val="7"/>
          <c:tx>
            <c:strRef>
              <c:f>'height change analysis'!$V$40</c:f>
              <c:strCache>
                <c:ptCount val="1"/>
                <c:pt idx="0">
                  <c:v>Ratio 0m/10m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'height change analysis'!$W$40:$AB$40</c:f>
              <c:numCache>
                <c:formatCode>General</c:formatCode>
                <c:ptCount val="6"/>
                <c:pt idx="0">
                  <c:v>1.2166606561000552</c:v>
                </c:pt>
                <c:pt idx="1">
                  <c:v>4.3029791554038717</c:v>
                </c:pt>
                <c:pt idx="2">
                  <c:v>1.6811902465957216</c:v>
                </c:pt>
                <c:pt idx="3">
                  <c:v>1.7843094750459991</c:v>
                </c:pt>
                <c:pt idx="4">
                  <c:v>1.5122375819286136</c:v>
                </c:pt>
                <c:pt idx="5">
                  <c:v>0.82828575703326124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C5-284C-84B2-2CDF6F84CEB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48448527"/>
        <c:axId val="216493119"/>
      </c:barChart>
      <c:catAx>
        <c:axId val="148448527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34                        44                   57               80                 112             133    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216493119"/>
        <c:crosses val="autoZero"/>
        <c:auto val="1"/>
        <c:lblAlgn val="ctr"/>
        <c:lblOffset val="100"/>
        <c:noMultiLvlLbl val="0"/>
      </c:catAx>
      <c:valAx>
        <c:axId val="216493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48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Impact of Height on Power Output (kw) Predictions for 2011</a:t>
            </a:r>
            <a:endParaRPr lang="en-US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'height change analysis'!$V$4</c:f>
              <c:strCache>
                <c:ptCount val="1"/>
                <c:pt idx="0">
                  <c:v>Ratio 7m/10m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'height change analysis'!$W$4:$AB$4</c:f>
              <c:numCache>
                <c:formatCode>General</c:formatCode>
                <c:ptCount val="6"/>
                <c:pt idx="0">
                  <c:v>0.96039180561008275</c:v>
                </c:pt>
                <c:pt idx="1">
                  <c:v>0.6133926286649245</c:v>
                </c:pt>
                <c:pt idx="2">
                  <c:v>0.87769201452115231</c:v>
                </c:pt>
                <c:pt idx="3">
                  <c:v>0.98328497054861885</c:v>
                </c:pt>
                <c:pt idx="4">
                  <c:v>0.90643016451943004</c:v>
                </c:pt>
                <c:pt idx="5">
                  <c:v>0.99942223243842288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97-7B45-ADF4-EAE390A9E512}"/>
            </c:ext>
          </c:extLst>
        </c:ser>
        <c:ser>
          <c:idx val="1"/>
          <c:order val="1"/>
          <c:tx>
            <c:strRef>
              <c:f>'height change analysis'!$V$5</c:f>
              <c:strCache>
                <c:ptCount val="1"/>
                <c:pt idx="0">
                  <c:v>Ratio 8m/10m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'height change analysis'!$W$5:$AB$5</c:f>
              <c:numCache>
                <c:formatCode>General</c:formatCode>
                <c:ptCount val="6"/>
                <c:pt idx="0">
                  <c:v>0.97825718926585981</c:v>
                </c:pt>
                <c:pt idx="1">
                  <c:v>0.73120173042525749</c:v>
                </c:pt>
                <c:pt idx="2">
                  <c:v>0.91685473869114742</c:v>
                </c:pt>
                <c:pt idx="3">
                  <c:v>0.98891248168814694</c:v>
                </c:pt>
                <c:pt idx="4">
                  <c:v>0.98556162670208924</c:v>
                </c:pt>
                <c:pt idx="5">
                  <c:v>0.99959754704445614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97-7B45-ADF4-EAE390A9E512}"/>
            </c:ext>
          </c:extLst>
        </c:ser>
        <c:ser>
          <c:idx val="2"/>
          <c:order val="2"/>
          <c:tx>
            <c:strRef>
              <c:f>'height change analysis'!$V$6</c:f>
              <c:strCache>
                <c:ptCount val="1"/>
                <c:pt idx="0">
                  <c:v>Ratio 9m/10m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'height change analysis'!$W$6:$AB$6</c:f>
              <c:numCache>
                <c:formatCode>General</c:formatCode>
                <c:ptCount val="6"/>
                <c:pt idx="0">
                  <c:v>0.99126603946092195</c:v>
                </c:pt>
                <c:pt idx="1">
                  <c:v>0.86637587586354181</c:v>
                </c:pt>
                <c:pt idx="2">
                  <c:v>0.95632236750486155</c:v>
                </c:pt>
                <c:pt idx="3">
                  <c:v>0.99454221301095358</c:v>
                </c:pt>
                <c:pt idx="4">
                  <c:v>0.99998610525730736</c:v>
                </c:pt>
                <c:pt idx="5">
                  <c:v>0.99979060755361737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97-7B45-ADF4-EAE390A9E512}"/>
            </c:ext>
          </c:extLst>
        </c:ser>
        <c:ser>
          <c:idx val="3"/>
          <c:order val="3"/>
          <c:tx>
            <c:strRef>
              <c:f>'height change analysis'!$V$7</c:f>
              <c:strCache>
                <c:ptCount val="1"/>
                <c:pt idx="0">
                  <c:v>Ratio 10m/10m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'height change analysis'!$W$7:$AB$7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597-7B45-ADF4-EAE390A9E512}"/>
            </c:ext>
          </c:extLst>
        </c:ser>
        <c:ser>
          <c:idx val="4"/>
          <c:order val="4"/>
          <c:tx>
            <c:strRef>
              <c:f>'height change analysis'!$V$8</c:f>
              <c:strCache>
                <c:ptCount val="1"/>
                <c:pt idx="0">
                  <c:v>Ratio 11m/10m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'height change analysis'!$W$8:$AB$8</c:f>
              <c:numCache>
                <c:formatCode>General</c:formatCode>
                <c:ptCount val="6"/>
                <c:pt idx="0">
                  <c:v>1.0051412866568192</c:v>
                </c:pt>
                <c:pt idx="1">
                  <c:v>1.0972361896175054</c:v>
                </c:pt>
                <c:pt idx="2">
                  <c:v>1.0567552810324097</c:v>
                </c:pt>
                <c:pt idx="3">
                  <c:v>1.0055163364563564</c:v>
                </c:pt>
                <c:pt idx="4">
                  <c:v>1</c:v>
                </c:pt>
                <c:pt idx="5">
                  <c:v>1.000223352963205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597-7B45-ADF4-EAE390A9E512}"/>
            </c:ext>
          </c:extLst>
        </c:ser>
        <c:ser>
          <c:idx val="5"/>
          <c:order val="5"/>
          <c:tx>
            <c:strRef>
              <c:f>'height change analysis'!$V$9</c:f>
              <c:strCache>
                <c:ptCount val="1"/>
                <c:pt idx="0">
                  <c:v>Ratio 12m/10m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'height change analysis'!$W$9:$AB$9</c:f>
              <c:numCache>
                <c:formatCode>General</c:formatCode>
                <c:ptCount val="6"/>
                <c:pt idx="0">
                  <c:v>1.0073386749489035</c:v>
                </c:pt>
                <c:pt idx="1">
                  <c:v>1.138505381102991</c:v>
                </c:pt>
                <c:pt idx="2">
                  <c:v>1.1494641611106406</c:v>
                </c:pt>
                <c:pt idx="3">
                  <c:v>1.0112317187912898</c:v>
                </c:pt>
                <c:pt idx="4">
                  <c:v>1</c:v>
                </c:pt>
                <c:pt idx="5">
                  <c:v>1.0004597278851035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597-7B45-ADF4-EAE390A9E512}"/>
            </c:ext>
          </c:extLst>
        </c:ser>
        <c:ser>
          <c:idx val="6"/>
          <c:order val="6"/>
          <c:tx>
            <c:strRef>
              <c:f>'height change analysis'!$V$10</c:f>
              <c:strCache>
                <c:ptCount val="1"/>
                <c:pt idx="0">
                  <c:v>Ratio 13m/10m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'height change analysis'!$W$10:$AB$10</c:f>
              <c:numCache>
                <c:formatCode>General</c:formatCode>
                <c:ptCount val="6"/>
                <c:pt idx="0">
                  <c:v>1.0071469688504835</c:v>
                </c:pt>
                <c:pt idx="1">
                  <c:v>1.1517042062810301</c:v>
                </c:pt>
                <c:pt idx="2">
                  <c:v>1.3382758138950621</c:v>
                </c:pt>
                <c:pt idx="3">
                  <c:v>1.0170847567809147</c:v>
                </c:pt>
                <c:pt idx="4">
                  <c:v>1</c:v>
                </c:pt>
                <c:pt idx="5">
                  <c:v>1.0007081854756901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597-7B45-ADF4-EAE390A9E512}"/>
            </c:ext>
          </c:extLst>
        </c:ser>
        <c:ser>
          <c:idx val="7"/>
          <c:order val="7"/>
          <c:tx>
            <c:strRef>
              <c:f>'height change analysis'!$V$11</c:f>
              <c:strCache>
                <c:ptCount val="1"/>
                <c:pt idx="0">
                  <c:v>Ratio 0m/10m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'height change analysis'!$W$11:$AB$11</c:f>
              <c:numCache>
                <c:formatCode>General</c:formatCode>
                <c:ptCount val="6"/>
                <c:pt idx="0">
                  <c:v>1.2078141825783919</c:v>
                </c:pt>
                <c:pt idx="1">
                  <c:v>3.8706157273269945</c:v>
                </c:pt>
                <c:pt idx="2">
                  <c:v>2.0820580911693956</c:v>
                </c:pt>
                <c:pt idx="3">
                  <c:v>1.8037758463658493</c:v>
                </c:pt>
                <c:pt idx="4">
                  <c:v>1.5731695737960039</c:v>
                </c:pt>
                <c:pt idx="5">
                  <c:v>0.82933160689198449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68-3F4D-B105-B4AF7748286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61665503"/>
        <c:axId val="2108251248"/>
      </c:barChart>
      <c:catAx>
        <c:axId val="261665503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34</a:t>
                </a:r>
                <a:r>
                  <a:rPr lang="en-US" baseline="0"/>
                  <a:t>                       44                          57              80                        112                        133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2108251248"/>
        <c:crosses val="autoZero"/>
        <c:auto val="1"/>
        <c:lblAlgn val="ctr"/>
        <c:lblOffset val="100"/>
        <c:noMultiLvlLbl val="0"/>
      </c:catAx>
      <c:valAx>
        <c:axId val="2108251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665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2013</a:t>
            </a:r>
            <a:r>
              <a:rPr lang="en-US" baseline="0"/>
              <a:t> Absolute kw Outputs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'height change analysis'!$A$40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'height change analysis'!$B$39:$G$39</c:f>
              <c:numCache>
                <c:formatCode>General</c:formatCode>
                <c:ptCount val="6"/>
                <c:pt idx="0">
                  <c:v>34</c:v>
                </c:pt>
                <c:pt idx="1">
                  <c:v>44</c:v>
                </c:pt>
                <c:pt idx="2">
                  <c:v>57</c:v>
                </c:pt>
                <c:pt idx="3">
                  <c:v>80</c:v>
                </c:pt>
                <c:pt idx="4">
                  <c:v>112</c:v>
                </c:pt>
                <c:pt idx="5">
                  <c:v>133</c:v>
                </c:pt>
              </c:numCache>
            </c:numRef>
          </c:cat>
          <c:val>
            <c:numRef>
              <c:f>'height change analysis'!$B$40:$G$40</c:f>
              <c:numCache>
                <c:formatCode>General</c:formatCode>
                <c:ptCount val="6"/>
                <c:pt idx="0">
                  <c:v>9742.61</c:v>
                </c:pt>
                <c:pt idx="1">
                  <c:v>4693.13</c:v>
                </c:pt>
                <c:pt idx="2">
                  <c:v>13423.99</c:v>
                </c:pt>
                <c:pt idx="3">
                  <c:v>5792.94</c:v>
                </c:pt>
                <c:pt idx="4">
                  <c:v>9361.3700000000008</c:v>
                </c:pt>
                <c:pt idx="5">
                  <c:v>20942.55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04-5C4D-8A4F-64D8349FCC47}"/>
            </c:ext>
          </c:extLst>
        </c:ser>
        <c:ser>
          <c:idx val="1"/>
          <c:order val="1"/>
          <c:tx>
            <c:strRef>
              <c:f>'height change analysis'!$A$41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'height change analysis'!$B$39:$G$39</c:f>
              <c:numCache>
                <c:formatCode>General</c:formatCode>
                <c:ptCount val="6"/>
                <c:pt idx="0">
                  <c:v>34</c:v>
                </c:pt>
                <c:pt idx="1">
                  <c:v>44</c:v>
                </c:pt>
                <c:pt idx="2">
                  <c:v>57</c:v>
                </c:pt>
                <c:pt idx="3">
                  <c:v>80</c:v>
                </c:pt>
                <c:pt idx="4">
                  <c:v>112</c:v>
                </c:pt>
                <c:pt idx="5">
                  <c:v>133</c:v>
                </c:pt>
              </c:numCache>
            </c:numRef>
          </c:cat>
          <c:val>
            <c:numRef>
              <c:f>'height change analysis'!$B$41:$G$41</c:f>
              <c:numCache>
                <c:formatCode>General</c:formatCode>
                <c:ptCount val="6"/>
                <c:pt idx="0">
                  <c:v>9554.43</c:v>
                </c:pt>
                <c:pt idx="1">
                  <c:v>3844.47</c:v>
                </c:pt>
                <c:pt idx="2">
                  <c:v>12884.67</c:v>
                </c:pt>
                <c:pt idx="3">
                  <c:v>5748.43</c:v>
                </c:pt>
                <c:pt idx="4">
                  <c:v>8738.15</c:v>
                </c:pt>
                <c:pt idx="5">
                  <c:v>20938.8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04-5C4D-8A4F-64D8349FCC47}"/>
            </c:ext>
          </c:extLst>
        </c:ser>
        <c:ser>
          <c:idx val="2"/>
          <c:order val="2"/>
          <c:tx>
            <c:strRef>
              <c:f>'height change analysis'!$A$42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'height change analysis'!$B$39:$G$39</c:f>
              <c:numCache>
                <c:formatCode>General</c:formatCode>
                <c:ptCount val="6"/>
                <c:pt idx="0">
                  <c:v>34</c:v>
                </c:pt>
                <c:pt idx="1">
                  <c:v>44</c:v>
                </c:pt>
                <c:pt idx="2">
                  <c:v>57</c:v>
                </c:pt>
                <c:pt idx="3">
                  <c:v>80</c:v>
                </c:pt>
                <c:pt idx="4">
                  <c:v>112</c:v>
                </c:pt>
                <c:pt idx="5">
                  <c:v>133</c:v>
                </c:pt>
              </c:numCache>
            </c:numRef>
          </c:cat>
          <c:val>
            <c:numRef>
              <c:f>'height change analysis'!$B$42:$G$42</c:f>
              <c:numCache>
                <c:formatCode>General</c:formatCode>
                <c:ptCount val="6"/>
                <c:pt idx="0">
                  <c:v>9421.6299999999992</c:v>
                </c:pt>
                <c:pt idx="1">
                  <c:v>3155.35</c:v>
                </c:pt>
                <c:pt idx="2">
                  <c:v>12385.23</c:v>
                </c:pt>
                <c:pt idx="3">
                  <c:v>5703.58</c:v>
                </c:pt>
                <c:pt idx="4">
                  <c:v>8628.0499999999993</c:v>
                </c:pt>
                <c:pt idx="5">
                  <c:v>20934.68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304-5C4D-8A4F-64D8349FCC47}"/>
            </c:ext>
          </c:extLst>
        </c:ser>
        <c:ser>
          <c:idx val="3"/>
          <c:order val="3"/>
          <c:tx>
            <c:strRef>
              <c:f>'height change analysis'!$A$43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'height change analysis'!$B$39:$G$39</c:f>
              <c:numCache>
                <c:formatCode>General</c:formatCode>
                <c:ptCount val="6"/>
                <c:pt idx="0">
                  <c:v>34</c:v>
                </c:pt>
                <c:pt idx="1">
                  <c:v>44</c:v>
                </c:pt>
                <c:pt idx="2">
                  <c:v>57</c:v>
                </c:pt>
                <c:pt idx="3">
                  <c:v>80</c:v>
                </c:pt>
                <c:pt idx="4">
                  <c:v>112</c:v>
                </c:pt>
                <c:pt idx="5">
                  <c:v>133</c:v>
                </c:pt>
              </c:numCache>
            </c:numRef>
          </c:cat>
          <c:val>
            <c:numRef>
              <c:f>'height change analysis'!$B$43:$G$43</c:f>
              <c:numCache>
                <c:formatCode>General</c:formatCode>
                <c:ptCount val="6"/>
                <c:pt idx="0">
                  <c:v>9334.27</c:v>
                </c:pt>
                <c:pt idx="1">
                  <c:v>2658.71</c:v>
                </c:pt>
                <c:pt idx="2">
                  <c:v>11877.27</c:v>
                </c:pt>
                <c:pt idx="3">
                  <c:v>5659.25</c:v>
                </c:pt>
                <c:pt idx="4">
                  <c:v>8627.9500000000007</c:v>
                </c:pt>
                <c:pt idx="5">
                  <c:v>20930.21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304-5C4D-8A4F-64D8349FCC47}"/>
            </c:ext>
          </c:extLst>
        </c:ser>
        <c:ser>
          <c:idx val="4"/>
          <c:order val="4"/>
          <c:tx>
            <c:strRef>
              <c:f>'height change analysis'!$A$44</c:f>
              <c:strCache>
                <c:ptCount val="1"/>
                <c:pt idx="0">
                  <c:v>11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'height change analysis'!$B$39:$G$39</c:f>
              <c:numCache>
                <c:formatCode>General</c:formatCode>
                <c:ptCount val="6"/>
                <c:pt idx="0">
                  <c:v>34</c:v>
                </c:pt>
                <c:pt idx="1">
                  <c:v>44</c:v>
                </c:pt>
                <c:pt idx="2">
                  <c:v>57</c:v>
                </c:pt>
                <c:pt idx="3">
                  <c:v>80</c:v>
                </c:pt>
                <c:pt idx="4">
                  <c:v>112</c:v>
                </c:pt>
                <c:pt idx="5">
                  <c:v>133</c:v>
                </c:pt>
              </c:numCache>
            </c:numRef>
          </c:cat>
          <c:val>
            <c:numRef>
              <c:f>'height change analysis'!$B$44:$G$44</c:f>
              <c:numCache>
                <c:formatCode>General</c:formatCode>
                <c:ptCount val="6"/>
                <c:pt idx="0">
                  <c:v>9283.27</c:v>
                </c:pt>
                <c:pt idx="1">
                  <c:v>2377.4</c:v>
                </c:pt>
                <c:pt idx="2">
                  <c:v>11276.12</c:v>
                </c:pt>
                <c:pt idx="3">
                  <c:v>5614.4</c:v>
                </c:pt>
                <c:pt idx="4">
                  <c:v>8627.9500000000007</c:v>
                </c:pt>
                <c:pt idx="5">
                  <c:v>20925.43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304-5C4D-8A4F-64D8349FCC47}"/>
            </c:ext>
          </c:extLst>
        </c:ser>
        <c:ser>
          <c:idx val="5"/>
          <c:order val="5"/>
          <c:tx>
            <c:strRef>
              <c:f>'height change analysis'!$A$45</c:f>
              <c:strCache>
                <c:ptCount val="1"/>
                <c:pt idx="0">
                  <c:v>12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'height change analysis'!$B$39:$G$39</c:f>
              <c:numCache>
                <c:formatCode>General</c:formatCode>
                <c:ptCount val="6"/>
                <c:pt idx="0">
                  <c:v>34</c:v>
                </c:pt>
                <c:pt idx="1">
                  <c:v>44</c:v>
                </c:pt>
                <c:pt idx="2">
                  <c:v>57</c:v>
                </c:pt>
                <c:pt idx="3">
                  <c:v>80</c:v>
                </c:pt>
                <c:pt idx="4">
                  <c:v>112</c:v>
                </c:pt>
                <c:pt idx="5">
                  <c:v>133</c:v>
                </c:pt>
              </c:numCache>
            </c:numRef>
          </c:cat>
          <c:val>
            <c:numRef>
              <c:f>'height change analysis'!$B$45:$G$45</c:f>
              <c:numCache>
                <c:formatCode>General</c:formatCode>
                <c:ptCount val="6"/>
                <c:pt idx="0">
                  <c:v>9261.2800000000007</c:v>
                </c:pt>
                <c:pt idx="1">
                  <c:v>2275.02</c:v>
                </c:pt>
                <c:pt idx="2">
                  <c:v>10409.32</c:v>
                </c:pt>
                <c:pt idx="3">
                  <c:v>5568.68</c:v>
                </c:pt>
                <c:pt idx="4">
                  <c:v>8627.9500000000007</c:v>
                </c:pt>
                <c:pt idx="5">
                  <c:v>20920.39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304-5C4D-8A4F-64D8349FCC47}"/>
            </c:ext>
          </c:extLst>
        </c:ser>
        <c:ser>
          <c:idx val="6"/>
          <c:order val="6"/>
          <c:tx>
            <c:strRef>
              <c:f>'height change analysis'!$A$46</c:f>
              <c:strCache>
                <c:ptCount val="1"/>
                <c:pt idx="0">
                  <c:v>13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'height change analysis'!$B$39:$G$39</c:f>
              <c:numCache>
                <c:formatCode>General</c:formatCode>
                <c:ptCount val="6"/>
                <c:pt idx="0">
                  <c:v>34</c:v>
                </c:pt>
                <c:pt idx="1">
                  <c:v>44</c:v>
                </c:pt>
                <c:pt idx="2">
                  <c:v>57</c:v>
                </c:pt>
                <c:pt idx="3">
                  <c:v>80</c:v>
                </c:pt>
                <c:pt idx="4">
                  <c:v>112</c:v>
                </c:pt>
                <c:pt idx="5">
                  <c:v>133</c:v>
                </c:pt>
              </c:numCache>
            </c:numRef>
          </c:cat>
          <c:val>
            <c:numRef>
              <c:f>'height change analysis'!$B$46:$G$46</c:f>
              <c:numCache>
                <c:formatCode>General</c:formatCode>
                <c:ptCount val="6"/>
                <c:pt idx="0">
                  <c:v>9262.4699999999993</c:v>
                </c:pt>
                <c:pt idx="1">
                  <c:v>2245.84</c:v>
                </c:pt>
                <c:pt idx="2">
                  <c:v>8999.61</c:v>
                </c:pt>
                <c:pt idx="3">
                  <c:v>5522.59</c:v>
                </c:pt>
                <c:pt idx="4">
                  <c:v>8627.9500000000007</c:v>
                </c:pt>
                <c:pt idx="5">
                  <c:v>20915.09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304-5C4D-8A4F-64D8349FCC47}"/>
            </c:ext>
          </c:extLst>
        </c:ser>
        <c:ser>
          <c:idx val="7"/>
          <c:order val="7"/>
          <c:tx>
            <c:strRef>
              <c:f>'height change analysis'!$A$47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'height change analysis'!$B$39:$G$39</c:f>
              <c:numCache>
                <c:formatCode>General</c:formatCode>
                <c:ptCount val="6"/>
                <c:pt idx="0">
                  <c:v>34</c:v>
                </c:pt>
                <c:pt idx="1">
                  <c:v>44</c:v>
                </c:pt>
                <c:pt idx="2">
                  <c:v>57</c:v>
                </c:pt>
                <c:pt idx="3">
                  <c:v>80</c:v>
                </c:pt>
                <c:pt idx="4">
                  <c:v>112</c:v>
                </c:pt>
                <c:pt idx="5">
                  <c:v>133</c:v>
                </c:pt>
              </c:numCache>
            </c:numRef>
          </c:cat>
          <c:val>
            <c:numRef>
              <c:f>'height change analysis'!$B$47:$G$47</c:f>
              <c:numCache>
                <c:formatCode>General</c:formatCode>
                <c:ptCount val="6"/>
                <c:pt idx="0">
                  <c:v>11309.04</c:v>
                </c:pt>
                <c:pt idx="1">
                  <c:v>10614.31</c:v>
                </c:pt>
                <c:pt idx="2">
                  <c:v>18169.96</c:v>
                </c:pt>
                <c:pt idx="3">
                  <c:v>10346.34</c:v>
                </c:pt>
                <c:pt idx="4">
                  <c:v>12666.6</c:v>
                </c:pt>
                <c:pt idx="5">
                  <c:v>17896.310000000001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5B-0B45-930E-3135E99D09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07538224"/>
        <c:axId val="2107512896"/>
      </c:barChart>
      <c:catAx>
        <c:axId val="2107538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7512896"/>
        <c:crosses val="autoZero"/>
        <c:auto val="1"/>
        <c:lblAlgn val="ctr"/>
        <c:lblOffset val="100"/>
        <c:noMultiLvlLbl val="0"/>
      </c:catAx>
      <c:valAx>
        <c:axId val="210751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7538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2012</a:t>
            </a:r>
            <a:r>
              <a:rPr lang="en-US" baseline="0"/>
              <a:t> Absolute kw Outputs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'height change analysis'!$A$80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'height change analysis'!$B$79:$G$79</c:f>
              <c:numCache>
                <c:formatCode>General</c:formatCode>
                <c:ptCount val="6"/>
                <c:pt idx="0">
                  <c:v>34</c:v>
                </c:pt>
                <c:pt idx="1">
                  <c:v>44</c:v>
                </c:pt>
                <c:pt idx="2">
                  <c:v>57</c:v>
                </c:pt>
                <c:pt idx="3">
                  <c:v>80</c:v>
                </c:pt>
                <c:pt idx="4">
                  <c:v>112</c:v>
                </c:pt>
                <c:pt idx="5">
                  <c:v>180</c:v>
                </c:pt>
              </c:numCache>
            </c:numRef>
          </c:cat>
          <c:val>
            <c:numRef>
              <c:f>'height change analysis'!$B$80:$G$80</c:f>
              <c:numCache>
                <c:formatCode>General</c:formatCode>
                <c:ptCount val="6"/>
                <c:pt idx="0">
                  <c:v>9938.31</c:v>
                </c:pt>
                <c:pt idx="1">
                  <c:v>4739.4799999999996</c:v>
                </c:pt>
                <c:pt idx="2">
                  <c:v>12673.77</c:v>
                </c:pt>
                <c:pt idx="3">
                  <c:v>5891.49</c:v>
                </c:pt>
                <c:pt idx="4">
                  <c:v>9631.77</c:v>
                </c:pt>
                <c:pt idx="5">
                  <c:v>19399.419999999998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DD-9343-882C-350167CA7296}"/>
            </c:ext>
          </c:extLst>
        </c:ser>
        <c:ser>
          <c:idx val="1"/>
          <c:order val="1"/>
          <c:tx>
            <c:strRef>
              <c:f>'height change analysis'!$A$81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'height change analysis'!$B$79:$G$79</c:f>
              <c:numCache>
                <c:formatCode>General</c:formatCode>
                <c:ptCount val="6"/>
                <c:pt idx="0">
                  <c:v>34</c:v>
                </c:pt>
                <c:pt idx="1">
                  <c:v>44</c:v>
                </c:pt>
                <c:pt idx="2">
                  <c:v>57</c:v>
                </c:pt>
                <c:pt idx="3">
                  <c:v>80</c:v>
                </c:pt>
                <c:pt idx="4">
                  <c:v>112</c:v>
                </c:pt>
                <c:pt idx="5">
                  <c:v>180</c:v>
                </c:pt>
              </c:numCache>
            </c:numRef>
          </c:cat>
          <c:val>
            <c:numRef>
              <c:f>'height change analysis'!$B$81:$G$81</c:f>
              <c:numCache>
                <c:formatCode>General</c:formatCode>
                <c:ptCount val="6"/>
                <c:pt idx="0">
                  <c:v>9747.77</c:v>
                </c:pt>
                <c:pt idx="1">
                  <c:v>3912.19</c:v>
                </c:pt>
                <c:pt idx="2">
                  <c:v>12115.4</c:v>
                </c:pt>
                <c:pt idx="3">
                  <c:v>5857.88</c:v>
                </c:pt>
                <c:pt idx="4">
                  <c:v>8940.07</c:v>
                </c:pt>
                <c:pt idx="5">
                  <c:v>19395.8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DD-9343-882C-350167CA7296}"/>
            </c:ext>
          </c:extLst>
        </c:ser>
        <c:ser>
          <c:idx val="2"/>
          <c:order val="2"/>
          <c:tx>
            <c:strRef>
              <c:f>'height change analysis'!$A$82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'height change analysis'!$B$79:$G$79</c:f>
              <c:numCache>
                <c:formatCode>General</c:formatCode>
                <c:ptCount val="6"/>
                <c:pt idx="0">
                  <c:v>34</c:v>
                </c:pt>
                <c:pt idx="1">
                  <c:v>44</c:v>
                </c:pt>
                <c:pt idx="2">
                  <c:v>57</c:v>
                </c:pt>
                <c:pt idx="3">
                  <c:v>80</c:v>
                </c:pt>
                <c:pt idx="4">
                  <c:v>112</c:v>
                </c:pt>
                <c:pt idx="5">
                  <c:v>180</c:v>
                </c:pt>
              </c:numCache>
            </c:numRef>
          </c:cat>
          <c:val>
            <c:numRef>
              <c:f>'height change analysis'!$B$82:$G$82</c:f>
              <c:numCache>
                <c:formatCode>General</c:formatCode>
                <c:ptCount val="6"/>
                <c:pt idx="0">
                  <c:v>9612.73</c:v>
                </c:pt>
                <c:pt idx="1">
                  <c:v>3226.44</c:v>
                </c:pt>
                <c:pt idx="2">
                  <c:v>11599.49</c:v>
                </c:pt>
                <c:pt idx="3">
                  <c:v>5825.52</c:v>
                </c:pt>
                <c:pt idx="4">
                  <c:v>8823.35</c:v>
                </c:pt>
                <c:pt idx="5">
                  <c:v>19391.82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DD-9343-882C-350167CA7296}"/>
            </c:ext>
          </c:extLst>
        </c:ser>
        <c:ser>
          <c:idx val="3"/>
          <c:order val="3"/>
          <c:tx>
            <c:strRef>
              <c:f>'height change analysis'!$A$83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'height change analysis'!$B$79:$G$79</c:f>
              <c:numCache>
                <c:formatCode>General</c:formatCode>
                <c:ptCount val="6"/>
                <c:pt idx="0">
                  <c:v>34</c:v>
                </c:pt>
                <c:pt idx="1">
                  <c:v>44</c:v>
                </c:pt>
                <c:pt idx="2">
                  <c:v>57</c:v>
                </c:pt>
                <c:pt idx="3">
                  <c:v>80</c:v>
                </c:pt>
                <c:pt idx="4">
                  <c:v>112</c:v>
                </c:pt>
                <c:pt idx="5">
                  <c:v>180</c:v>
                </c:pt>
              </c:numCache>
            </c:numRef>
          </c:cat>
          <c:val>
            <c:numRef>
              <c:f>'height change analysis'!$B$83:$G$83</c:f>
              <c:numCache>
                <c:formatCode>General</c:formatCode>
                <c:ptCount val="6"/>
                <c:pt idx="0">
                  <c:v>9524.1299999999992</c:v>
                </c:pt>
                <c:pt idx="1">
                  <c:v>2718.62</c:v>
                </c:pt>
                <c:pt idx="2">
                  <c:v>11073.63</c:v>
                </c:pt>
                <c:pt idx="3">
                  <c:v>5795.63</c:v>
                </c:pt>
                <c:pt idx="4">
                  <c:v>8823.23</c:v>
                </c:pt>
                <c:pt idx="5">
                  <c:v>19387.509999999998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DD-9343-882C-350167CA7296}"/>
            </c:ext>
          </c:extLst>
        </c:ser>
        <c:ser>
          <c:idx val="4"/>
          <c:order val="4"/>
          <c:tx>
            <c:strRef>
              <c:f>'height change analysis'!$A$84</c:f>
              <c:strCache>
                <c:ptCount val="1"/>
                <c:pt idx="0">
                  <c:v>11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'height change analysis'!$B$79:$G$79</c:f>
              <c:numCache>
                <c:formatCode>General</c:formatCode>
                <c:ptCount val="6"/>
                <c:pt idx="0">
                  <c:v>34</c:v>
                </c:pt>
                <c:pt idx="1">
                  <c:v>44</c:v>
                </c:pt>
                <c:pt idx="2">
                  <c:v>57</c:v>
                </c:pt>
                <c:pt idx="3">
                  <c:v>80</c:v>
                </c:pt>
                <c:pt idx="4">
                  <c:v>112</c:v>
                </c:pt>
                <c:pt idx="5">
                  <c:v>180</c:v>
                </c:pt>
              </c:numCache>
            </c:numRef>
          </c:cat>
          <c:val>
            <c:numRef>
              <c:f>'height change analysis'!$B$84:$G$84</c:f>
              <c:numCache>
                <c:formatCode>General</c:formatCode>
                <c:ptCount val="6"/>
                <c:pt idx="0">
                  <c:v>9473.24</c:v>
                </c:pt>
                <c:pt idx="1">
                  <c:v>2423.17</c:v>
                </c:pt>
                <c:pt idx="2">
                  <c:v>10432.459999999999</c:v>
                </c:pt>
                <c:pt idx="3">
                  <c:v>5766.41</c:v>
                </c:pt>
                <c:pt idx="4">
                  <c:v>8823.23</c:v>
                </c:pt>
                <c:pt idx="5">
                  <c:v>19382.900000000001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DD-9343-882C-350167CA7296}"/>
            </c:ext>
          </c:extLst>
        </c:ser>
        <c:ser>
          <c:idx val="5"/>
          <c:order val="5"/>
          <c:tx>
            <c:strRef>
              <c:f>'height change analysis'!$A$85</c:f>
              <c:strCache>
                <c:ptCount val="1"/>
                <c:pt idx="0">
                  <c:v>12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'height change analysis'!$B$79:$G$79</c:f>
              <c:numCache>
                <c:formatCode>General</c:formatCode>
                <c:ptCount val="6"/>
                <c:pt idx="0">
                  <c:v>34</c:v>
                </c:pt>
                <c:pt idx="1">
                  <c:v>44</c:v>
                </c:pt>
                <c:pt idx="2">
                  <c:v>57</c:v>
                </c:pt>
                <c:pt idx="3">
                  <c:v>80</c:v>
                </c:pt>
                <c:pt idx="4">
                  <c:v>112</c:v>
                </c:pt>
                <c:pt idx="5">
                  <c:v>180</c:v>
                </c:pt>
              </c:numCache>
            </c:numRef>
          </c:cat>
          <c:val>
            <c:numRef>
              <c:f>'height change analysis'!$B$85:$G$85</c:f>
              <c:numCache>
                <c:formatCode>General</c:formatCode>
                <c:ptCount val="6"/>
                <c:pt idx="0">
                  <c:v>9254.41</c:v>
                </c:pt>
                <c:pt idx="1">
                  <c:v>2311.11</c:v>
                </c:pt>
                <c:pt idx="2">
                  <c:v>9530.9500000000007</c:v>
                </c:pt>
                <c:pt idx="3">
                  <c:v>5736.59</c:v>
                </c:pt>
                <c:pt idx="4">
                  <c:v>8823.23</c:v>
                </c:pt>
                <c:pt idx="5">
                  <c:v>19378.03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DD-9343-882C-350167CA7296}"/>
            </c:ext>
          </c:extLst>
        </c:ser>
        <c:ser>
          <c:idx val="6"/>
          <c:order val="6"/>
          <c:tx>
            <c:strRef>
              <c:f>'height change analysis'!$A$86</c:f>
              <c:strCache>
                <c:ptCount val="1"/>
                <c:pt idx="0">
                  <c:v>13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'height change analysis'!$B$79:$G$79</c:f>
              <c:numCache>
                <c:formatCode>General</c:formatCode>
                <c:ptCount val="6"/>
                <c:pt idx="0">
                  <c:v>34</c:v>
                </c:pt>
                <c:pt idx="1">
                  <c:v>44</c:v>
                </c:pt>
                <c:pt idx="2">
                  <c:v>57</c:v>
                </c:pt>
                <c:pt idx="3">
                  <c:v>80</c:v>
                </c:pt>
                <c:pt idx="4">
                  <c:v>112</c:v>
                </c:pt>
                <c:pt idx="5">
                  <c:v>180</c:v>
                </c:pt>
              </c:numCache>
            </c:numRef>
          </c:cat>
          <c:val>
            <c:numRef>
              <c:f>'height change analysis'!$B$86:$G$86</c:f>
              <c:numCache>
                <c:formatCode>General</c:formatCode>
                <c:ptCount val="6"/>
                <c:pt idx="0">
                  <c:v>9455.57</c:v>
                </c:pt>
                <c:pt idx="1">
                  <c:v>2274.5500000000002</c:v>
                </c:pt>
                <c:pt idx="2">
                  <c:v>7956.08</c:v>
                </c:pt>
                <c:pt idx="3">
                  <c:v>5706.47</c:v>
                </c:pt>
                <c:pt idx="4">
                  <c:v>8823.23</c:v>
                </c:pt>
                <c:pt idx="5">
                  <c:v>19372.919999999998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DD-9343-882C-350167CA7296}"/>
            </c:ext>
          </c:extLst>
        </c:ser>
        <c:ser>
          <c:idx val="7"/>
          <c:order val="7"/>
          <c:tx>
            <c:strRef>
              <c:f>'height change analysis'!$A$87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'height change analysis'!$B$79:$G$79</c:f>
              <c:numCache>
                <c:formatCode>General</c:formatCode>
                <c:ptCount val="6"/>
                <c:pt idx="0">
                  <c:v>34</c:v>
                </c:pt>
                <c:pt idx="1">
                  <c:v>44</c:v>
                </c:pt>
                <c:pt idx="2">
                  <c:v>57</c:v>
                </c:pt>
                <c:pt idx="3">
                  <c:v>80</c:v>
                </c:pt>
                <c:pt idx="4">
                  <c:v>112</c:v>
                </c:pt>
                <c:pt idx="5">
                  <c:v>180</c:v>
                </c:pt>
              </c:numCache>
            </c:numRef>
          </c:cat>
          <c:val>
            <c:numRef>
              <c:f>'height change analysis'!$B$87:$G$87</c:f>
              <c:numCache>
                <c:formatCode>General</c:formatCode>
                <c:ptCount val="6"/>
                <c:pt idx="0">
                  <c:v>11504.22</c:v>
                </c:pt>
                <c:pt idx="1">
                  <c:v>10426.85</c:v>
                </c:pt>
                <c:pt idx="2">
                  <c:v>17538.95</c:v>
                </c:pt>
                <c:pt idx="3">
                  <c:v>10289.06</c:v>
                </c:pt>
                <c:pt idx="4">
                  <c:v>13342.82</c:v>
                </c:pt>
                <c:pt idx="5">
                  <c:v>16054.58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89-0A4F-999F-8BA20DD48D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07751936"/>
        <c:axId val="2115691456"/>
      </c:barChart>
      <c:catAx>
        <c:axId val="2107751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5691456"/>
        <c:crosses val="autoZero"/>
        <c:auto val="1"/>
        <c:lblAlgn val="ctr"/>
        <c:lblOffset val="100"/>
        <c:noMultiLvlLbl val="0"/>
      </c:catAx>
      <c:valAx>
        <c:axId val="211569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7751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2011</a:t>
            </a:r>
            <a:r>
              <a:rPr lang="en-US" baseline="0"/>
              <a:t> Absolute kw Outputs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'height change analysis'!$A$117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'height change analysis'!$B$116:$G$116</c:f>
              <c:numCache>
                <c:formatCode>General</c:formatCode>
                <c:ptCount val="6"/>
                <c:pt idx="0">
                  <c:v>34</c:v>
                </c:pt>
                <c:pt idx="1">
                  <c:v>44</c:v>
                </c:pt>
                <c:pt idx="2">
                  <c:v>57</c:v>
                </c:pt>
                <c:pt idx="3">
                  <c:v>80</c:v>
                </c:pt>
                <c:pt idx="4">
                  <c:v>112</c:v>
                </c:pt>
                <c:pt idx="5">
                  <c:v>180</c:v>
                </c:pt>
              </c:numCache>
            </c:numRef>
          </c:cat>
          <c:val>
            <c:numRef>
              <c:f>'height change analysis'!$B$117:$G$117</c:f>
              <c:numCache>
                <c:formatCode>General</c:formatCode>
                <c:ptCount val="6"/>
                <c:pt idx="0">
                  <c:v>11131.03</c:v>
                </c:pt>
                <c:pt idx="1">
                  <c:v>5158.3599999999997</c:v>
                </c:pt>
                <c:pt idx="2">
                  <c:v>12987.95</c:v>
                </c:pt>
                <c:pt idx="3">
                  <c:v>6110.07</c:v>
                </c:pt>
                <c:pt idx="4">
                  <c:v>9527.75</c:v>
                </c:pt>
                <c:pt idx="5">
                  <c:v>20925.37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39-1045-8E82-36C26011B5FB}"/>
            </c:ext>
          </c:extLst>
        </c:ser>
        <c:ser>
          <c:idx val="1"/>
          <c:order val="1"/>
          <c:tx>
            <c:strRef>
              <c:f>'height change analysis'!$A$118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'height change analysis'!$B$116:$G$116</c:f>
              <c:numCache>
                <c:formatCode>General</c:formatCode>
                <c:ptCount val="6"/>
                <c:pt idx="0">
                  <c:v>34</c:v>
                </c:pt>
                <c:pt idx="1">
                  <c:v>44</c:v>
                </c:pt>
                <c:pt idx="2">
                  <c:v>57</c:v>
                </c:pt>
                <c:pt idx="3">
                  <c:v>80</c:v>
                </c:pt>
                <c:pt idx="4">
                  <c:v>112</c:v>
                </c:pt>
                <c:pt idx="5">
                  <c:v>180</c:v>
                </c:pt>
              </c:numCache>
            </c:numRef>
          </c:cat>
          <c:val>
            <c:numRef>
              <c:f>'height change analysis'!$B$118:$G$118</c:f>
              <c:numCache>
                <c:formatCode>General</c:formatCode>
                <c:ptCount val="6"/>
                <c:pt idx="0">
                  <c:v>10927.75</c:v>
                </c:pt>
                <c:pt idx="1">
                  <c:v>4327.26</c:v>
                </c:pt>
                <c:pt idx="2">
                  <c:v>12433.18</c:v>
                </c:pt>
                <c:pt idx="3">
                  <c:v>6075.3</c:v>
                </c:pt>
                <c:pt idx="4">
                  <c:v>8762.76</c:v>
                </c:pt>
                <c:pt idx="5">
                  <c:v>20921.7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39-1045-8E82-36C26011B5FB}"/>
            </c:ext>
          </c:extLst>
        </c:ser>
        <c:ser>
          <c:idx val="2"/>
          <c:order val="2"/>
          <c:tx>
            <c:strRef>
              <c:f>'height change analysis'!$A$119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'height change analysis'!$B$116:$G$116</c:f>
              <c:numCache>
                <c:formatCode>General</c:formatCode>
                <c:ptCount val="6"/>
                <c:pt idx="0">
                  <c:v>34</c:v>
                </c:pt>
                <c:pt idx="1">
                  <c:v>44</c:v>
                </c:pt>
                <c:pt idx="2">
                  <c:v>57</c:v>
                </c:pt>
                <c:pt idx="3">
                  <c:v>80</c:v>
                </c:pt>
                <c:pt idx="4">
                  <c:v>112</c:v>
                </c:pt>
                <c:pt idx="5">
                  <c:v>180</c:v>
                </c:pt>
              </c:numCache>
            </c:numRef>
          </c:cat>
          <c:val>
            <c:numRef>
              <c:f>'height change analysis'!$B$119:$G$119</c:f>
              <c:numCache>
                <c:formatCode>General</c:formatCode>
                <c:ptCount val="6"/>
                <c:pt idx="0">
                  <c:v>10784.34</c:v>
                </c:pt>
                <c:pt idx="1">
                  <c:v>3652.11</c:v>
                </c:pt>
                <c:pt idx="2">
                  <c:v>11920.06</c:v>
                </c:pt>
                <c:pt idx="3">
                  <c:v>6040.91</c:v>
                </c:pt>
                <c:pt idx="4">
                  <c:v>8636.36</c:v>
                </c:pt>
                <c:pt idx="5">
                  <c:v>20917.66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339-1045-8E82-36C26011B5FB}"/>
            </c:ext>
          </c:extLst>
        </c:ser>
        <c:ser>
          <c:idx val="3"/>
          <c:order val="3"/>
          <c:tx>
            <c:strRef>
              <c:f>'height change analysis'!$A$120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'height change analysis'!$B$116:$G$116</c:f>
              <c:numCache>
                <c:formatCode>General</c:formatCode>
                <c:ptCount val="6"/>
                <c:pt idx="0">
                  <c:v>34</c:v>
                </c:pt>
                <c:pt idx="1">
                  <c:v>44</c:v>
                </c:pt>
                <c:pt idx="2">
                  <c:v>57</c:v>
                </c:pt>
                <c:pt idx="3">
                  <c:v>80</c:v>
                </c:pt>
                <c:pt idx="4">
                  <c:v>112</c:v>
                </c:pt>
                <c:pt idx="5">
                  <c:v>180</c:v>
                </c:pt>
              </c:numCache>
            </c:numRef>
          </c:cat>
          <c:val>
            <c:numRef>
              <c:f>'height change analysis'!$B$120:$G$120</c:f>
              <c:numCache>
                <c:formatCode>General</c:formatCode>
                <c:ptCount val="6"/>
                <c:pt idx="0">
                  <c:v>10690.15</c:v>
                </c:pt>
                <c:pt idx="1">
                  <c:v>3164.1</c:v>
                </c:pt>
                <c:pt idx="2">
                  <c:v>11399.42</c:v>
                </c:pt>
                <c:pt idx="3">
                  <c:v>6007.94</c:v>
                </c:pt>
                <c:pt idx="4">
                  <c:v>8636.24</c:v>
                </c:pt>
                <c:pt idx="5">
                  <c:v>20913.28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339-1045-8E82-36C26011B5FB}"/>
            </c:ext>
          </c:extLst>
        </c:ser>
        <c:ser>
          <c:idx val="4"/>
          <c:order val="4"/>
          <c:tx>
            <c:strRef>
              <c:f>'height change analysis'!$A$121</c:f>
              <c:strCache>
                <c:ptCount val="1"/>
                <c:pt idx="0">
                  <c:v>11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'height change analysis'!$B$116:$G$116</c:f>
              <c:numCache>
                <c:formatCode>General</c:formatCode>
                <c:ptCount val="6"/>
                <c:pt idx="0">
                  <c:v>34</c:v>
                </c:pt>
                <c:pt idx="1">
                  <c:v>44</c:v>
                </c:pt>
                <c:pt idx="2">
                  <c:v>57</c:v>
                </c:pt>
                <c:pt idx="3">
                  <c:v>80</c:v>
                </c:pt>
                <c:pt idx="4">
                  <c:v>112</c:v>
                </c:pt>
                <c:pt idx="5">
                  <c:v>180</c:v>
                </c:pt>
              </c:numCache>
            </c:numRef>
          </c:cat>
          <c:val>
            <c:numRef>
              <c:f>'height change analysis'!$B$121:$G$121</c:f>
              <c:numCache>
                <c:formatCode>General</c:formatCode>
                <c:ptCount val="6"/>
                <c:pt idx="0">
                  <c:v>10635.47</c:v>
                </c:pt>
                <c:pt idx="1">
                  <c:v>2883.7</c:v>
                </c:pt>
                <c:pt idx="2">
                  <c:v>10787.19</c:v>
                </c:pt>
                <c:pt idx="3">
                  <c:v>5974.98</c:v>
                </c:pt>
                <c:pt idx="4">
                  <c:v>8636.24</c:v>
                </c:pt>
                <c:pt idx="5">
                  <c:v>20908.61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339-1045-8E82-36C26011B5FB}"/>
            </c:ext>
          </c:extLst>
        </c:ser>
        <c:ser>
          <c:idx val="5"/>
          <c:order val="5"/>
          <c:tx>
            <c:strRef>
              <c:f>'height change analysis'!$A$122</c:f>
              <c:strCache>
                <c:ptCount val="1"/>
                <c:pt idx="0">
                  <c:v>12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'height change analysis'!$B$116:$G$116</c:f>
              <c:numCache>
                <c:formatCode>General</c:formatCode>
                <c:ptCount val="6"/>
                <c:pt idx="0">
                  <c:v>34</c:v>
                </c:pt>
                <c:pt idx="1">
                  <c:v>44</c:v>
                </c:pt>
                <c:pt idx="2">
                  <c:v>57</c:v>
                </c:pt>
                <c:pt idx="3">
                  <c:v>80</c:v>
                </c:pt>
                <c:pt idx="4">
                  <c:v>112</c:v>
                </c:pt>
                <c:pt idx="5">
                  <c:v>180</c:v>
                </c:pt>
              </c:numCache>
            </c:numRef>
          </c:cat>
          <c:val>
            <c:numRef>
              <c:f>'height change analysis'!$B$122:$G$122</c:f>
              <c:numCache>
                <c:formatCode>General</c:formatCode>
                <c:ptCount val="6"/>
                <c:pt idx="0">
                  <c:v>10612.27</c:v>
                </c:pt>
                <c:pt idx="1">
                  <c:v>2779.17</c:v>
                </c:pt>
                <c:pt idx="2">
                  <c:v>9917.16</c:v>
                </c:pt>
                <c:pt idx="3">
                  <c:v>5941.21</c:v>
                </c:pt>
                <c:pt idx="4">
                  <c:v>8636.24</c:v>
                </c:pt>
                <c:pt idx="5">
                  <c:v>20903.669999999998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339-1045-8E82-36C26011B5FB}"/>
            </c:ext>
          </c:extLst>
        </c:ser>
        <c:ser>
          <c:idx val="6"/>
          <c:order val="6"/>
          <c:tx>
            <c:strRef>
              <c:f>'height change analysis'!$A$123</c:f>
              <c:strCache>
                <c:ptCount val="1"/>
                <c:pt idx="0">
                  <c:v>13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'height change analysis'!$B$116:$G$116</c:f>
              <c:numCache>
                <c:formatCode>General</c:formatCode>
                <c:ptCount val="6"/>
                <c:pt idx="0">
                  <c:v>34</c:v>
                </c:pt>
                <c:pt idx="1">
                  <c:v>44</c:v>
                </c:pt>
                <c:pt idx="2">
                  <c:v>57</c:v>
                </c:pt>
                <c:pt idx="3">
                  <c:v>80</c:v>
                </c:pt>
                <c:pt idx="4">
                  <c:v>112</c:v>
                </c:pt>
                <c:pt idx="5">
                  <c:v>180</c:v>
                </c:pt>
              </c:numCache>
            </c:numRef>
          </c:cat>
          <c:val>
            <c:numRef>
              <c:f>'height change analysis'!$B$123:$G$123</c:f>
              <c:numCache>
                <c:formatCode>General</c:formatCode>
                <c:ptCount val="6"/>
                <c:pt idx="0">
                  <c:v>10614.29</c:v>
                </c:pt>
                <c:pt idx="1">
                  <c:v>2747.32</c:v>
                </c:pt>
                <c:pt idx="2">
                  <c:v>8517.99</c:v>
                </c:pt>
                <c:pt idx="3">
                  <c:v>5907.02</c:v>
                </c:pt>
                <c:pt idx="4">
                  <c:v>8636.24</c:v>
                </c:pt>
                <c:pt idx="5">
                  <c:v>20898.48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339-1045-8E82-36C26011B5FB}"/>
            </c:ext>
          </c:extLst>
        </c:ser>
        <c:ser>
          <c:idx val="7"/>
          <c:order val="7"/>
          <c:tx>
            <c:strRef>
              <c:f>'height change analysis'!$A$124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'height change analysis'!$B$116:$G$116</c:f>
              <c:numCache>
                <c:formatCode>General</c:formatCode>
                <c:ptCount val="6"/>
                <c:pt idx="0">
                  <c:v>34</c:v>
                </c:pt>
                <c:pt idx="1">
                  <c:v>44</c:v>
                </c:pt>
                <c:pt idx="2">
                  <c:v>57</c:v>
                </c:pt>
                <c:pt idx="3">
                  <c:v>80</c:v>
                </c:pt>
                <c:pt idx="4">
                  <c:v>112</c:v>
                </c:pt>
                <c:pt idx="5">
                  <c:v>180</c:v>
                </c:pt>
              </c:numCache>
            </c:numRef>
          </c:cat>
          <c:val>
            <c:numRef>
              <c:f>'height change analysis'!$B$124:$G$124</c:f>
              <c:numCache>
                <c:formatCode>General</c:formatCode>
                <c:ptCount val="6"/>
                <c:pt idx="0">
                  <c:v>12820.09</c:v>
                </c:pt>
                <c:pt idx="1">
                  <c:v>10633.82</c:v>
                </c:pt>
                <c:pt idx="2">
                  <c:v>17734.95</c:v>
                </c:pt>
                <c:pt idx="3">
                  <c:v>10654.94</c:v>
                </c:pt>
                <c:pt idx="4">
                  <c:v>13586.27</c:v>
                </c:pt>
                <c:pt idx="5">
                  <c:v>17331.77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A8-A942-B72E-F19A705204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7897264"/>
        <c:axId val="2117642544"/>
      </c:barChart>
      <c:catAx>
        <c:axId val="2117897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642544"/>
        <c:crosses val="autoZero"/>
        <c:auto val="1"/>
        <c:lblAlgn val="ctr"/>
        <c:lblOffset val="100"/>
        <c:noMultiLvlLbl val="0"/>
      </c:catAx>
      <c:valAx>
        <c:axId val="211764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897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12" Type="http://schemas.openxmlformats.org/officeDocument/2006/relationships/chart" Target="../charts/chart15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11" Type="http://schemas.openxmlformats.org/officeDocument/2006/relationships/chart" Target="../charts/chart14.xml"/><Relationship Id="rId5" Type="http://schemas.openxmlformats.org/officeDocument/2006/relationships/chart" Target="../charts/chart8.xml"/><Relationship Id="rId10" Type="http://schemas.openxmlformats.org/officeDocument/2006/relationships/chart" Target="../charts/chart13.xml"/><Relationship Id="rId4" Type="http://schemas.openxmlformats.org/officeDocument/2006/relationships/chart" Target="../charts/chart7.xml"/><Relationship Id="rId9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819150</xdr:colOff>
      <xdr:row>9</xdr:row>
      <xdr:rowOff>107950</xdr:rowOff>
    </xdr:from>
    <xdr:to>
      <xdr:col>13</xdr:col>
      <xdr:colOff>438150</xdr:colOff>
      <xdr:row>23</xdr:row>
      <xdr:rowOff>6350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C004D2-35D2-B742-F97A-FFACF94F3C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793750</xdr:colOff>
      <xdr:row>23</xdr:row>
      <xdr:rowOff>127000</xdr:rowOff>
    </xdr:from>
    <xdr:to>
      <xdr:col>13</xdr:col>
      <xdr:colOff>412750</xdr:colOff>
      <xdr:row>37</xdr:row>
      <xdr:rowOff>25400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C43FEEE-0519-533C-6D2E-CB99BAD169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552450</xdr:colOff>
      <xdr:row>25</xdr:row>
      <xdr:rowOff>0</xdr:rowOff>
    </xdr:from>
    <xdr:to>
      <xdr:col>7</xdr:col>
      <xdr:colOff>171450</xdr:colOff>
      <xdr:row>38</xdr:row>
      <xdr:rowOff>101600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285D952-6371-3347-77FC-ABEF80E7C0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800100</xdr:colOff>
      <xdr:row>46</xdr:row>
      <xdr:rowOff>186266</xdr:rowOff>
    </xdr:from>
    <xdr:to>
      <xdr:col>20</xdr:col>
      <xdr:colOff>685800</xdr:colOff>
      <xdr:row>71</xdr:row>
      <xdr:rowOff>84667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5F5A07-2734-C0A8-85D3-B75732A94F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795867</xdr:colOff>
      <xdr:row>45</xdr:row>
      <xdr:rowOff>16932</xdr:rowOff>
    </xdr:from>
    <xdr:to>
      <xdr:col>30</xdr:col>
      <xdr:colOff>644478</xdr:colOff>
      <xdr:row>68</xdr:row>
      <xdr:rowOff>94777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C082EE5-8ECA-EC4B-7EE1-3AFC0CFF77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228599</xdr:colOff>
      <xdr:row>3</xdr:row>
      <xdr:rowOff>194733</xdr:rowOff>
    </xdr:from>
    <xdr:to>
      <xdr:col>39</xdr:col>
      <xdr:colOff>778933</xdr:colOff>
      <xdr:row>29</xdr:row>
      <xdr:rowOff>118533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94FEDA7-261B-4BAF-595B-399CF3BB7D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118533</xdr:colOff>
      <xdr:row>47</xdr:row>
      <xdr:rowOff>76198</xdr:rowOff>
    </xdr:from>
    <xdr:to>
      <xdr:col>10</xdr:col>
      <xdr:colOff>694267</xdr:colOff>
      <xdr:row>75</xdr:row>
      <xdr:rowOff>203199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E32F1BF-B0F8-2165-D35F-193A65D1C0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795865</xdr:colOff>
      <xdr:row>88</xdr:row>
      <xdr:rowOff>59265</xdr:rowOff>
    </xdr:from>
    <xdr:to>
      <xdr:col>9</xdr:col>
      <xdr:colOff>508000</xdr:colOff>
      <xdr:row>113</xdr:row>
      <xdr:rowOff>101600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845C058-4F6F-C39B-5194-7CE4409D47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67733</xdr:colOff>
      <xdr:row>128</xdr:row>
      <xdr:rowOff>73624</xdr:rowOff>
    </xdr:from>
    <xdr:to>
      <xdr:col>8</xdr:col>
      <xdr:colOff>36812</xdr:colOff>
      <xdr:row>148</xdr:row>
      <xdr:rowOff>101600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CBD63AC-4967-74DF-5DBA-2EFD903FC2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41</xdr:col>
      <xdr:colOff>42332</xdr:colOff>
      <xdr:row>17</xdr:row>
      <xdr:rowOff>59266</xdr:rowOff>
    </xdr:from>
    <xdr:to>
      <xdr:col>49</xdr:col>
      <xdr:colOff>270933</xdr:colOff>
      <xdr:row>43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3507683-F44C-176E-BA5A-C646101841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50</xdr:col>
      <xdr:colOff>8466</xdr:colOff>
      <xdr:row>3</xdr:row>
      <xdr:rowOff>143933</xdr:rowOff>
    </xdr:from>
    <xdr:to>
      <xdr:col>58</xdr:col>
      <xdr:colOff>118532</xdr:colOff>
      <xdr:row>31</xdr:row>
      <xdr:rowOff>169332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A357A72-843C-6631-D5A2-63961E0A6B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41</xdr:col>
      <xdr:colOff>1353404</xdr:colOff>
      <xdr:row>58</xdr:row>
      <xdr:rowOff>21608</xdr:rowOff>
    </xdr:from>
    <xdr:to>
      <xdr:col>48</xdr:col>
      <xdr:colOff>113731</xdr:colOff>
      <xdr:row>73</xdr:row>
      <xdr:rowOff>56866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CE69806-AA9F-F8E4-0018-C638362490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49</xdr:col>
      <xdr:colOff>443551</xdr:colOff>
      <xdr:row>45</xdr:row>
      <xdr:rowOff>59518</xdr:rowOff>
    </xdr:from>
    <xdr:to>
      <xdr:col>59</xdr:col>
      <xdr:colOff>0</xdr:colOff>
      <xdr:row>73</xdr:row>
      <xdr:rowOff>170597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11BA05A-48DD-201E-DEF7-78BDF72F5F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41</xdr:col>
      <xdr:colOff>890896</xdr:colOff>
      <xdr:row>89</xdr:row>
      <xdr:rowOff>113732</xdr:rowOff>
    </xdr:from>
    <xdr:to>
      <xdr:col>48</xdr:col>
      <xdr:colOff>530746</xdr:colOff>
      <xdr:row>106</xdr:row>
      <xdr:rowOff>170597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BBABCE-4924-5200-2BF1-3C1F7B6CC1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49</xdr:col>
      <xdr:colOff>746835</xdr:colOff>
      <xdr:row>77</xdr:row>
      <xdr:rowOff>135340</xdr:rowOff>
    </xdr:from>
    <xdr:to>
      <xdr:col>59</xdr:col>
      <xdr:colOff>663433</xdr:colOff>
      <xdr:row>108</xdr:row>
      <xdr:rowOff>132687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BCAA1845-1233-84D4-1AA0-2E0D9796B1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6E6C5-1C31-6B4B-98CD-8E39FD913B70}">
  <dimension ref="A1:O27"/>
  <sheetViews>
    <sheetView workbookViewId="0">
      <selection activeCell="A28" sqref="A28"/>
    </sheetView>
  </sheetViews>
  <sheetFormatPr baseColWidth="10" defaultRowHeight="16" x14ac:dyDescent="0.2"/>
  <cols>
    <col min="1" max="1" width="34.5" customWidth="1"/>
  </cols>
  <sheetData>
    <row r="1" spans="1:9" x14ac:dyDescent="0.2">
      <c r="A1" t="s">
        <v>0</v>
      </c>
      <c r="B1">
        <v>34</v>
      </c>
      <c r="C1">
        <v>44</v>
      </c>
      <c r="D1">
        <v>57</v>
      </c>
      <c r="E1">
        <v>80</v>
      </c>
      <c r="F1">
        <v>112</v>
      </c>
      <c r="G1">
        <v>133</v>
      </c>
      <c r="H1" t="s">
        <v>16</v>
      </c>
      <c r="I1" t="s">
        <v>17</v>
      </c>
    </row>
    <row r="2" spans="1:9" x14ac:dyDescent="0.2">
      <c r="A2" t="s">
        <v>1</v>
      </c>
      <c r="B2">
        <v>9371.98</v>
      </c>
      <c r="C2">
        <v>2977.77</v>
      </c>
      <c r="D2">
        <v>11901.88</v>
      </c>
      <c r="E2">
        <v>5652.91</v>
      </c>
      <c r="F2">
        <v>8608.5300000000007</v>
      </c>
      <c r="G2">
        <v>21010.59</v>
      </c>
      <c r="I2" t="s">
        <v>18</v>
      </c>
    </row>
    <row r="3" spans="1:9" x14ac:dyDescent="0.2">
      <c r="A3" t="s">
        <v>2</v>
      </c>
      <c r="B3">
        <v>9555.93</v>
      </c>
      <c r="C3">
        <v>3002.65</v>
      </c>
      <c r="D3">
        <v>11095.74</v>
      </c>
      <c r="E3">
        <v>5782.46</v>
      </c>
      <c r="F3">
        <v>8784.86</v>
      </c>
      <c r="G3">
        <v>19436.439999999999</v>
      </c>
      <c r="I3" t="s">
        <v>23</v>
      </c>
    </row>
    <row r="4" spans="1:9" x14ac:dyDescent="0.2">
      <c r="A4" t="s">
        <v>3</v>
      </c>
      <c r="B4">
        <v>10721.34</v>
      </c>
      <c r="C4">
        <v>3523.86</v>
      </c>
      <c r="D4">
        <v>11420.82</v>
      </c>
      <c r="E4">
        <v>5991.72</v>
      </c>
      <c r="F4">
        <v>8457.26</v>
      </c>
      <c r="G4">
        <v>20962.34</v>
      </c>
      <c r="I4" t="s">
        <v>24</v>
      </c>
    </row>
    <row r="6" spans="1:9" x14ac:dyDescent="0.2">
      <c r="A6" t="s">
        <v>8</v>
      </c>
      <c r="B6">
        <v>8844.3700000000008</v>
      </c>
      <c r="C6">
        <v>3071.89</v>
      </c>
      <c r="D6">
        <v>11475.87</v>
      </c>
      <c r="E6">
        <v>7443.84</v>
      </c>
      <c r="F6">
        <v>10868.99</v>
      </c>
      <c r="G6">
        <v>20327.400000000001</v>
      </c>
    </row>
    <row r="7" spans="1:9" x14ac:dyDescent="0.2">
      <c r="A7" t="s">
        <v>9</v>
      </c>
      <c r="B7">
        <v>9042.7800000000007</v>
      </c>
      <c r="C7">
        <v>3104.72</v>
      </c>
      <c r="D7">
        <v>10683.99</v>
      </c>
      <c r="E7">
        <v>7540.41</v>
      </c>
      <c r="F7">
        <v>11090.55</v>
      </c>
      <c r="G7">
        <v>18731.5</v>
      </c>
    </row>
    <row r="8" spans="1:9" x14ac:dyDescent="0.2">
      <c r="A8" t="s">
        <v>10</v>
      </c>
      <c r="B8">
        <v>10136.07</v>
      </c>
      <c r="C8">
        <v>3592.23</v>
      </c>
      <c r="D8">
        <v>11224.42</v>
      </c>
      <c r="E8">
        <v>7925.94</v>
      </c>
      <c r="F8">
        <v>10797.68</v>
      </c>
      <c r="G8">
        <v>20210.82</v>
      </c>
    </row>
    <row r="10" spans="1:9" x14ac:dyDescent="0.2">
      <c r="A10" t="s">
        <v>4</v>
      </c>
      <c r="B10">
        <v>4870</v>
      </c>
      <c r="C10">
        <v>3512</v>
      </c>
      <c r="D10">
        <v>11297</v>
      </c>
      <c r="E10">
        <v>2707</v>
      </c>
      <c r="F10">
        <v>11091</v>
      </c>
      <c r="G10">
        <v>21467</v>
      </c>
    </row>
    <row r="11" spans="1:9" x14ac:dyDescent="0.2">
      <c r="A11" t="s">
        <v>5</v>
      </c>
      <c r="B11">
        <v>5442</v>
      </c>
      <c r="C11">
        <v>3044</v>
      </c>
      <c r="D11">
        <v>13487</v>
      </c>
      <c r="E11" t="s">
        <v>11</v>
      </c>
      <c r="F11">
        <v>8630</v>
      </c>
      <c r="G11" t="s">
        <v>11</v>
      </c>
    </row>
    <row r="12" spans="1:9" x14ac:dyDescent="0.2">
      <c r="A12" t="s">
        <v>6</v>
      </c>
      <c r="B12">
        <v>5980</v>
      </c>
      <c r="C12">
        <v>2939</v>
      </c>
      <c r="D12" t="s">
        <v>11</v>
      </c>
      <c r="E12" t="s">
        <v>11</v>
      </c>
      <c r="F12">
        <v>11503</v>
      </c>
      <c r="G12" t="s">
        <v>11</v>
      </c>
    </row>
    <row r="13" spans="1:9" x14ac:dyDescent="0.2">
      <c r="B13" t="s">
        <v>19</v>
      </c>
      <c r="C13" t="s">
        <v>20</v>
      </c>
    </row>
    <row r="14" spans="1:9" x14ac:dyDescent="0.2">
      <c r="A14" t="s">
        <v>7</v>
      </c>
      <c r="B14">
        <v>43</v>
      </c>
      <c r="C14">
        <v>30</v>
      </c>
      <c r="D14">
        <v>41</v>
      </c>
      <c r="E14">
        <v>24</v>
      </c>
      <c r="F14">
        <v>27</v>
      </c>
      <c r="G14">
        <v>43</v>
      </c>
    </row>
    <row r="16" spans="1:9" x14ac:dyDescent="0.2">
      <c r="A16" t="s">
        <v>13</v>
      </c>
      <c r="B16">
        <f>ABS(B2 - B6) / B2 * 100</f>
        <v>5.629653499047147</v>
      </c>
      <c r="C16">
        <f>ABS(C2 - C6)/C2*100</f>
        <v>3.1607545243588291</v>
      </c>
      <c r="D16">
        <f>ABS(D2-D6)/D2*100</f>
        <v>3.5793504891664045</v>
      </c>
      <c r="E16">
        <f>ABS(E2-E6)/E2*100</f>
        <v>31.681558701624478</v>
      </c>
      <c r="F16">
        <f>ABS(F2-F6)/F2*100</f>
        <v>26.258373961640363</v>
      </c>
      <c r="G16">
        <f>ABS(G2-G6)/G2*100</f>
        <v>3.2516459556823425</v>
      </c>
    </row>
    <row r="17" spans="1:15" x14ac:dyDescent="0.2">
      <c r="A17" t="s">
        <v>12</v>
      </c>
      <c r="B17">
        <f>ABS(B14 - 40)</f>
        <v>3</v>
      </c>
      <c r="C17">
        <f xml:space="preserve"> ABS(30 - 40)</f>
        <v>10</v>
      </c>
      <c r="D17">
        <f xml:space="preserve"> ABS(41 - 40)</f>
        <v>1</v>
      </c>
      <c r="E17">
        <f>ABS(24 - 40)</f>
        <v>16</v>
      </c>
      <c r="F17">
        <f>ABS(27-40)</f>
        <v>13</v>
      </c>
      <c r="G17">
        <f>(43 - 40)</f>
        <v>3</v>
      </c>
    </row>
    <row r="19" spans="1:15" x14ac:dyDescent="0.2">
      <c r="A19" t="s">
        <v>14</v>
      </c>
      <c r="B19">
        <f>ABS(B3 - B7)/B3*100</f>
        <v>5.3699639909459318</v>
      </c>
      <c r="C19">
        <f>ABS(C3-C7)/C3*100</f>
        <v>3.3993305913109984</v>
      </c>
      <c r="D19">
        <f>ABS(D3-D7)/D3*100</f>
        <v>3.7108836364226274</v>
      </c>
      <c r="E19">
        <f>ABS(E3-E7)/E3*100</f>
        <v>30.401420848566179</v>
      </c>
      <c r="F19">
        <f>ABS(F3-F7)/F3*100</f>
        <v>26.246178083657551</v>
      </c>
      <c r="G19">
        <f>ABS(G3-G7)/G3*100</f>
        <v>3.6268987530638266</v>
      </c>
    </row>
    <row r="20" spans="1:15" x14ac:dyDescent="0.2">
      <c r="A20" t="s">
        <v>12</v>
      </c>
      <c r="B20">
        <v>3</v>
      </c>
      <c r="C20">
        <v>10</v>
      </c>
      <c r="D20">
        <v>1</v>
      </c>
      <c r="E20">
        <v>16</v>
      </c>
      <c r="F20">
        <v>13</v>
      </c>
      <c r="G20">
        <v>3</v>
      </c>
    </row>
    <row r="22" spans="1:15" x14ac:dyDescent="0.2">
      <c r="A22" t="s">
        <v>15</v>
      </c>
      <c r="B22">
        <f t="shared" ref="B22:G22" si="0">ABS(B4-B8)/B4*100</f>
        <v>5.4589258432248249</v>
      </c>
      <c r="C22">
        <f t="shared" si="0"/>
        <v>1.9402019376479169</v>
      </c>
      <c r="D22">
        <f t="shared" si="0"/>
        <v>1.719666363711184</v>
      </c>
      <c r="E22">
        <f t="shared" si="0"/>
        <v>32.28154853698102</v>
      </c>
      <c r="F22">
        <f t="shared" si="0"/>
        <v>27.673501819738306</v>
      </c>
      <c r="G22">
        <f t="shared" si="0"/>
        <v>3.5850959387167673</v>
      </c>
    </row>
    <row r="23" spans="1:15" x14ac:dyDescent="0.2">
      <c r="A23" t="s">
        <v>12</v>
      </c>
      <c r="B23">
        <v>3</v>
      </c>
      <c r="C23">
        <v>10</v>
      </c>
      <c r="D23">
        <v>1</v>
      </c>
      <c r="E23">
        <v>16</v>
      </c>
      <c r="F23">
        <v>13</v>
      </c>
      <c r="G23">
        <v>3</v>
      </c>
    </row>
    <row r="26" spans="1:15" x14ac:dyDescent="0.2">
      <c r="O26" t="s">
        <v>21</v>
      </c>
    </row>
    <row r="27" spans="1:15" x14ac:dyDescent="0.2">
      <c r="O27" t="s">
        <v>22</v>
      </c>
    </row>
  </sheetData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3B8C836E-9F8A-AB4F-A425-05761E822C9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'VI vs no-VI Analysis'!B16:G16</xm:f>
              <xm:sqref>I16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5D21E-BD9C-D746-967A-DA2B36ACD0C7}">
  <dimension ref="A1:AV124"/>
  <sheetViews>
    <sheetView topLeftCell="U1" zoomScale="67" workbookViewId="0">
      <selection activeCell="AS14" sqref="AS14"/>
    </sheetView>
  </sheetViews>
  <sheetFormatPr baseColWidth="10" defaultRowHeight="16" x14ac:dyDescent="0.2"/>
  <cols>
    <col min="1" max="1" width="17.33203125" customWidth="1"/>
    <col min="7" max="7" width="14.6640625" customWidth="1"/>
    <col min="8" max="8" width="22.83203125" customWidth="1"/>
    <col min="13" max="13" width="17.1640625" customWidth="1"/>
    <col min="14" max="14" width="20.5" customWidth="1"/>
    <col min="22" max="22" width="16" customWidth="1"/>
    <col min="42" max="42" width="28" customWidth="1"/>
  </cols>
  <sheetData>
    <row r="1" spans="1:48" x14ac:dyDescent="0.2">
      <c r="A1" s="2" t="s">
        <v>0</v>
      </c>
      <c r="B1" s="2">
        <v>34</v>
      </c>
      <c r="C1" s="2">
        <v>44</v>
      </c>
      <c r="D1" s="2">
        <v>57</v>
      </c>
      <c r="E1" s="2">
        <v>80</v>
      </c>
      <c r="F1" s="2">
        <v>112</v>
      </c>
      <c r="G1" s="2">
        <v>133</v>
      </c>
      <c r="H1" s="2"/>
      <c r="I1" s="2">
        <v>39</v>
      </c>
      <c r="J1" s="2">
        <v>112</v>
      </c>
      <c r="K1" s="2">
        <v>176</v>
      </c>
      <c r="L1" s="2">
        <v>177</v>
      </c>
      <c r="M1" s="2">
        <v>180</v>
      </c>
      <c r="N1" s="2"/>
      <c r="O1" s="2"/>
      <c r="P1" s="2"/>
      <c r="Q1" s="2"/>
      <c r="R1" s="2"/>
      <c r="S1" s="2"/>
      <c r="T1" s="2"/>
      <c r="U1" s="2"/>
    </row>
    <row r="2" spans="1:48" x14ac:dyDescent="0.2">
      <c r="A2" s="2" t="s">
        <v>25</v>
      </c>
      <c r="B2" s="2">
        <v>7</v>
      </c>
      <c r="C2" s="2">
        <v>7</v>
      </c>
      <c r="D2" s="2">
        <v>7</v>
      </c>
      <c r="E2" s="2">
        <v>7</v>
      </c>
      <c r="F2" s="2">
        <v>7</v>
      </c>
      <c r="G2" s="2">
        <v>7</v>
      </c>
      <c r="H2" s="2" t="s">
        <v>54</v>
      </c>
      <c r="I2" s="2">
        <v>10</v>
      </c>
      <c r="J2" s="2">
        <v>10</v>
      </c>
      <c r="K2" s="2">
        <v>10</v>
      </c>
      <c r="L2" s="2">
        <v>10</v>
      </c>
      <c r="M2" s="2">
        <v>10</v>
      </c>
      <c r="N2" s="3" t="s">
        <v>26</v>
      </c>
      <c r="O2" s="2">
        <v>34</v>
      </c>
      <c r="P2" s="2">
        <v>44</v>
      </c>
      <c r="Q2" s="2">
        <v>57</v>
      </c>
      <c r="R2" s="2">
        <v>80</v>
      </c>
      <c r="S2" s="2">
        <v>112</v>
      </c>
      <c r="T2" s="2">
        <v>133</v>
      </c>
      <c r="U2" s="2"/>
      <c r="AP2" t="s">
        <v>47</v>
      </c>
    </row>
    <row r="3" spans="1:48" x14ac:dyDescent="0.2">
      <c r="A3" s="2">
        <v>2013</v>
      </c>
      <c r="B3">
        <v>9742.61</v>
      </c>
      <c r="C3">
        <v>4693.13</v>
      </c>
      <c r="D3">
        <v>13423.99</v>
      </c>
      <c r="E3">
        <v>5792.94</v>
      </c>
      <c r="F3">
        <v>9361.3700000000008</v>
      </c>
      <c r="G3">
        <v>20942.55</v>
      </c>
      <c r="H3" s="2">
        <v>2013</v>
      </c>
      <c r="I3">
        <v>4932.53</v>
      </c>
      <c r="J3">
        <v>8627.9500000000007</v>
      </c>
      <c r="K3">
        <v>7108.83</v>
      </c>
      <c r="L3">
        <v>9950.18</v>
      </c>
      <c r="M3">
        <v>8361.7900000000009</v>
      </c>
      <c r="N3">
        <v>2013</v>
      </c>
      <c r="O3">
        <f>9334.27/B3</f>
        <v>0.95808720661095947</v>
      </c>
      <c r="P3">
        <f>2658.71/C3</f>
        <v>0.56651104912925909</v>
      </c>
      <c r="Q3">
        <f>11877.27/D3</f>
        <v>0.88477941357226875</v>
      </c>
      <c r="R3">
        <f>5659.25/E3</f>
        <v>0.97692190839193926</v>
      </c>
      <c r="S3">
        <f>8627.95/F3</f>
        <v>0.92165462961083688</v>
      </c>
      <c r="T3">
        <f>20930.21/G3</f>
        <v>0.99941076898467474</v>
      </c>
      <c r="V3">
        <v>2011</v>
      </c>
      <c r="W3">
        <v>34</v>
      </c>
      <c r="X3">
        <v>44</v>
      </c>
      <c r="Y3">
        <v>57</v>
      </c>
      <c r="Z3">
        <v>80</v>
      </c>
      <c r="AA3">
        <v>112</v>
      </c>
      <c r="AB3">
        <v>133</v>
      </c>
      <c r="AQ3">
        <v>112</v>
      </c>
      <c r="AR3">
        <v>180</v>
      </c>
      <c r="AS3" t="s">
        <v>37</v>
      </c>
      <c r="AT3" t="s">
        <v>38</v>
      </c>
      <c r="AU3" t="s">
        <v>39</v>
      </c>
      <c r="AV3" t="s">
        <v>40</v>
      </c>
    </row>
    <row r="4" spans="1:48" x14ac:dyDescent="0.2">
      <c r="A4" s="2">
        <v>2012</v>
      </c>
      <c r="B4">
        <v>9938.31</v>
      </c>
      <c r="C4">
        <v>4739.4799999999996</v>
      </c>
      <c r="D4">
        <v>12673.77</v>
      </c>
      <c r="E4">
        <v>5891.49</v>
      </c>
      <c r="F4">
        <v>9631.77</v>
      </c>
      <c r="G4">
        <v>19399.419999999998</v>
      </c>
      <c r="H4" s="2">
        <v>2012</v>
      </c>
      <c r="I4">
        <v>5256.46</v>
      </c>
      <c r="J4">
        <v>8823.23</v>
      </c>
      <c r="K4">
        <v>6341.34</v>
      </c>
      <c r="L4">
        <v>9380.01</v>
      </c>
      <c r="M4">
        <v>8387.85</v>
      </c>
      <c r="N4">
        <v>2012</v>
      </c>
      <c r="O4">
        <f>9524.13/B4</f>
        <v>0.9583249063472562</v>
      </c>
      <c r="P4">
        <f>2718.62/C4</f>
        <v>0.57361145104526234</v>
      </c>
      <c r="Q4">
        <f>11073.63/D4</f>
        <v>0.87374396095242368</v>
      </c>
      <c r="R4">
        <f>5795.63/E4</f>
        <v>0.98372907362993067</v>
      </c>
      <c r="S4">
        <f>8823.23/F4</f>
        <v>0.91605488918443845</v>
      </c>
      <c r="T4">
        <f>19387.51/G4</f>
        <v>0.99938606411944275</v>
      </c>
      <c r="V4" t="s">
        <v>26</v>
      </c>
      <c r="W4">
        <f t="shared" ref="W4:AB4" si="0">O5</f>
        <v>0.96039180561008275</v>
      </c>
      <c r="X4">
        <f t="shared" si="0"/>
        <v>0.6133926286649245</v>
      </c>
      <c r="Y4">
        <f t="shared" si="0"/>
        <v>0.87769201452115231</v>
      </c>
      <c r="Z4">
        <f t="shared" si="0"/>
        <v>0.98328497054861885</v>
      </c>
      <c r="AA4">
        <f t="shared" si="0"/>
        <v>0.90643016451943004</v>
      </c>
      <c r="AB4">
        <f t="shared" si="0"/>
        <v>0.99942223243842288</v>
      </c>
      <c r="AP4" t="s">
        <v>45</v>
      </c>
      <c r="AQ4" s="1">
        <v>7794.83</v>
      </c>
      <c r="AR4" s="1">
        <v>6614.29</v>
      </c>
      <c r="AS4">
        <v>8571.73</v>
      </c>
      <c r="AT4">
        <v>15198.77</v>
      </c>
      <c r="AU4">
        <v>5125.05</v>
      </c>
      <c r="AV4">
        <v>4373.17</v>
      </c>
    </row>
    <row r="5" spans="1:48" x14ac:dyDescent="0.2">
      <c r="A5" s="2">
        <v>2011</v>
      </c>
      <c r="B5">
        <v>11131.03</v>
      </c>
      <c r="C5">
        <v>5158.3599999999997</v>
      </c>
      <c r="D5">
        <v>12987.95</v>
      </c>
      <c r="E5">
        <v>6110.07</v>
      </c>
      <c r="F5">
        <v>9527.75</v>
      </c>
      <c r="G5">
        <v>20925.37</v>
      </c>
      <c r="H5" s="2">
        <v>2011</v>
      </c>
      <c r="I5">
        <v>4787.12</v>
      </c>
      <c r="J5">
        <v>8636.24</v>
      </c>
      <c r="K5">
        <v>5932.88</v>
      </c>
      <c r="L5">
        <v>9299.77</v>
      </c>
      <c r="M5">
        <v>9023.51</v>
      </c>
      <c r="N5">
        <v>2011</v>
      </c>
      <c r="O5">
        <f>10690.15/B5</f>
        <v>0.96039180561008275</v>
      </c>
      <c r="P5">
        <f>3164.1/C5</f>
        <v>0.6133926286649245</v>
      </c>
      <c r="Q5">
        <f>11399.42/D5</f>
        <v>0.87769201452115231</v>
      </c>
      <c r="R5">
        <f>6007.94/E5</f>
        <v>0.98328497054861885</v>
      </c>
      <c r="S5">
        <f>8636.24/F5</f>
        <v>0.90643016451943004</v>
      </c>
      <c r="T5">
        <f>20913.28/G5</f>
        <v>0.99942223243842288</v>
      </c>
      <c r="V5" t="s">
        <v>27</v>
      </c>
      <c r="W5">
        <f t="shared" ref="W5:AB5" si="1">O9</f>
        <v>0.97825718926585981</v>
      </c>
      <c r="X5">
        <f t="shared" si="1"/>
        <v>0.73120173042525749</v>
      </c>
      <c r="Y5">
        <f t="shared" si="1"/>
        <v>0.91685473869114742</v>
      </c>
      <c r="Z5">
        <f t="shared" si="1"/>
        <v>0.98891248168814694</v>
      </c>
      <c r="AA5">
        <f t="shared" si="1"/>
        <v>0.98556162670208924</v>
      </c>
      <c r="AB5">
        <f t="shared" si="1"/>
        <v>0.99959754704445614</v>
      </c>
      <c r="AP5" t="s">
        <v>46</v>
      </c>
      <c r="AQ5">
        <v>8627.9500000000007</v>
      </c>
      <c r="AR5">
        <v>8361.7900000000009</v>
      </c>
      <c r="AS5">
        <v>9114.69</v>
      </c>
      <c r="AT5">
        <v>14659.28</v>
      </c>
      <c r="AU5">
        <v>4752.4799999999996</v>
      </c>
      <c r="AV5">
        <v>4358.8500000000004</v>
      </c>
    </row>
    <row r="6" spans="1:48" x14ac:dyDescent="0.2">
      <c r="A6" s="2"/>
      <c r="H6" s="2" t="s">
        <v>35</v>
      </c>
      <c r="N6" t="s">
        <v>27</v>
      </c>
      <c r="V6" t="s">
        <v>33</v>
      </c>
      <c r="W6">
        <f t="shared" ref="W6:AB6" si="2">O13</f>
        <v>0.99126603946092195</v>
      </c>
      <c r="X6">
        <f t="shared" si="2"/>
        <v>0.86637587586354181</v>
      </c>
      <c r="Y6">
        <f t="shared" si="2"/>
        <v>0.95632236750486155</v>
      </c>
      <c r="Z6">
        <f t="shared" si="2"/>
        <v>0.99454221301095358</v>
      </c>
      <c r="AA6">
        <f t="shared" si="2"/>
        <v>0.99998610525730736</v>
      </c>
      <c r="AB6">
        <f t="shared" si="2"/>
        <v>0.99979060755361737</v>
      </c>
      <c r="AP6" t="s">
        <v>48</v>
      </c>
      <c r="AQ6">
        <f>(AQ4-AQ5)/AQ5 * 100</f>
        <v>-9.6560596665488418</v>
      </c>
      <c r="AR6">
        <f>(AR4-AR5)/AR5*100</f>
        <v>-20.898635340040837</v>
      </c>
      <c r="AS6">
        <f>(AS4-AS5)/AS5*100</f>
        <v>-5.956977143490354</v>
      </c>
      <c r="AT6">
        <f>(AT4-AT5)/AT5*100</f>
        <v>3.6801943888103628</v>
      </c>
      <c r="AU6">
        <f>(AU4-AU5)/AU5*100</f>
        <v>7.839485910514103</v>
      </c>
      <c r="AV6">
        <f>(AV4-AV5)/AV5*100</f>
        <v>0.32852701974143883</v>
      </c>
    </row>
    <row r="7" spans="1:48" x14ac:dyDescent="0.2">
      <c r="A7" s="2" t="s">
        <v>25</v>
      </c>
      <c r="B7">
        <v>8</v>
      </c>
      <c r="C7">
        <v>8</v>
      </c>
      <c r="D7">
        <v>8</v>
      </c>
      <c r="E7">
        <v>8</v>
      </c>
      <c r="F7">
        <v>8</v>
      </c>
      <c r="G7">
        <v>8</v>
      </c>
      <c r="H7" s="2">
        <v>2013</v>
      </c>
      <c r="I7" s="4"/>
      <c r="J7">
        <v>7794.83</v>
      </c>
      <c r="K7" s="4"/>
      <c r="L7" s="4"/>
      <c r="M7">
        <v>6614.29</v>
      </c>
      <c r="N7">
        <v>2013</v>
      </c>
      <c r="O7">
        <f>9334.27/B8</f>
        <v>0.97695728578261609</v>
      </c>
      <c r="P7">
        <f>2658.71/C8</f>
        <v>0.69156736819379527</v>
      </c>
      <c r="Q7">
        <f>11877.27/D8</f>
        <v>0.92181406275830113</v>
      </c>
      <c r="R7">
        <f>5659.25/E8</f>
        <v>0.98448619884037902</v>
      </c>
      <c r="S7">
        <f>8627.95/F8</f>
        <v>0.98738863489411388</v>
      </c>
      <c r="T7">
        <f>20930.21/G8</f>
        <v>0.99958975681509921</v>
      </c>
      <c r="V7" t="s">
        <v>29</v>
      </c>
      <c r="W7">
        <f>O17</f>
        <v>1</v>
      </c>
      <c r="X7">
        <f>P17</f>
        <v>1</v>
      </c>
      <c r="Y7">
        <f>Q17</f>
        <v>1</v>
      </c>
      <c r="Z7">
        <f>R17</f>
        <v>1</v>
      </c>
      <c r="AA7">
        <v>1</v>
      </c>
      <c r="AB7">
        <f>1</f>
        <v>1</v>
      </c>
      <c r="AP7" t="s">
        <v>55</v>
      </c>
      <c r="AQ7">
        <v>8625.06</v>
      </c>
      <c r="AR7" s="5">
        <v>11971.1</v>
      </c>
      <c r="AS7" s="5">
        <v>11512.61</v>
      </c>
      <c r="AT7">
        <v>16175.76</v>
      </c>
      <c r="AU7">
        <v>10778.16</v>
      </c>
      <c r="AV7">
        <v>4373.17</v>
      </c>
    </row>
    <row r="8" spans="1:48" x14ac:dyDescent="0.2">
      <c r="A8" s="2">
        <v>2013</v>
      </c>
      <c r="B8">
        <v>9554.43</v>
      </c>
      <c r="C8">
        <v>3844.47</v>
      </c>
      <c r="D8">
        <v>12884.67</v>
      </c>
      <c r="E8">
        <v>5748.43</v>
      </c>
      <c r="F8">
        <v>8738.15</v>
      </c>
      <c r="G8">
        <v>20938.8</v>
      </c>
      <c r="H8" s="2">
        <v>2012</v>
      </c>
      <c r="I8" s="4"/>
      <c r="J8">
        <v>7987.55</v>
      </c>
      <c r="K8" s="4"/>
      <c r="L8" s="4"/>
      <c r="M8">
        <v>6979.51</v>
      </c>
      <c r="N8">
        <v>2012</v>
      </c>
      <c r="O8">
        <f>9524.13/B9</f>
        <v>0.97705731669910134</v>
      </c>
      <c r="P8">
        <f>2718.62/C9</f>
        <v>0.69491001203929248</v>
      </c>
      <c r="Q8">
        <f>11073.63/D9</f>
        <v>0.91401274411080113</v>
      </c>
      <c r="R8">
        <f>5795.63/E9</f>
        <v>0.98937328863001628</v>
      </c>
      <c r="S8">
        <f>8823.23/F9</f>
        <v>0.98693075110150141</v>
      </c>
      <c r="T8">
        <f>19387.51/G9</f>
        <v>0.99957258787985026</v>
      </c>
      <c r="V8" t="s">
        <v>30</v>
      </c>
      <c r="W8">
        <f>O21</f>
        <v>1.0051412866568192</v>
      </c>
      <c r="X8">
        <f>P21</f>
        <v>1.0972361896175054</v>
      </c>
      <c r="Y8">
        <f>Q21</f>
        <v>1.0567552810324097</v>
      </c>
      <c r="Z8">
        <f>R21</f>
        <v>1.0055163364563564</v>
      </c>
      <c r="AA8">
        <v>1</v>
      </c>
      <c r="AB8">
        <f>T21</f>
        <v>1.000223352963205</v>
      </c>
      <c r="AP8" t="s">
        <v>56</v>
      </c>
      <c r="AQ8">
        <f>(AQ7-AQ5)/AQ5*100</f>
        <v>-3.3495789845806208E-2</v>
      </c>
      <c r="AR8">
        <f>(AR7-AR5)/AR5*100</f>
        <v>43.16432247162389</v>
      </c>
      <c r="AS8">
        <f>(AS7-AS5)/AS5*100</f>
        <v>26.308300117722048</v>
      </c>
      <c r="AT8">
        <f>(AT7-AT5)/AT5*100</f>
        <v>10.34484640446188</v>
      </c>
      <c r="AU8">
        <f>(AU7-AU5)/AU5*100</f>
        <v>126.7902232097768</v>
      </c>
      <c r="AV8">
        <f>(AV7-AV5)/AV5*100</f>
        <v>0.32852701974143883</v>
      </c>
    </row>
    <row r="9" spans="1:48" x14ac:dyDescent="0.2">
      <c r="A9" s="2">
        <v>2012</v>
      </c>
      <c r="B9">
        <v>9747.77</v>
      </c>
      <c r="C9">
        <v>3912.19</v>
      </c>
      <c r="D9">
        <v>12115.4</v>
      </c>
      <c r="E9">
        <v>5857.88</v>
      </c>
      <c r="F9">
        <v>8940.07</v>
      </c>
      <c r="G9">
        <v>19395.8</v>
      </c>
      <c r="H9" s="2">
        <v>2011</v>
      </c>
      <c r="I9" s="4"/>
      <c r="J9">
        <v>7788.37</v>
      </c>
      <c r="K9" s="4"/>
      <c r="L9" s="4"/>
      <c r="M9">
        <v>7208.14</v>
      </c>
      <c r="N9">
        <v>2011</v>
      </c>
      <c r="O9">
        <f>10690.15/B10</f>
        <v>0.97825718926585981</v>
      </c>
      <c r="P9">
        <f>3164.1/C10</f>
        <v>0.73120173042525749</v>
      </c>
      <c r="Q9">
        <f>11399.42/D10</f>
        <v>0.91685473869114742</v>
      </c>
      <c r="R9">
        <f>6007.94/E10</f>
        <v>0.98891248168814694</v>
      </c>
      <c r="S9">
        <f>8636.24/F10</f>
        <v>0.98556162670208924</v>
      </c>
      <c r="T9">
        <f>20913.28/G10</f>
        <v>0.99959754704445614</v>
      </c>
      <c r="V9" t="s">
        <v>31</v>
      </c>
      <c r="W9">
        <f>O25</f>
        <v>1.0073386749489035</v>
      </c>
      <c r="X9">
        <f>P25</f>
        <v>1.138505381102991</v>
      </c>
      <c r="Y9">
        <f>Q25</f>
        <v>1.1494641611106406</v>
      </c>
      <c r="Z9">
        <f>R25</f>
        <v>1.0112317187912898</v>
      </c>
      <c r="AA9">
        <v>1</v>
      </c>
      <c r="AB9">
        <f>T25</f>
        <v>1.0004597278851035</v>
      </c>
    </row>
    <row r="10" spans="1:48" x14ac:dyDescent="0.2">
      <c r="A10" s="2">
        <v>2011</v>
      </c>
      <c r="B10">
        <v>10927.75</v>
      </c>
      <c r="C10">
        <v>4327.26</v>
      </c>
      <c r="D10">
        <v>12433.18</v>
      </c>
      <c r="E10">
        <v>6075.3</v>
      </c>
      <c r="F10">
        <v>8762.76</v>
      </c>
      <c r="G10">
        <v>20921.7</v>
      </c>
      <c r="H10" s="2" t="s">
        <v>53</v>
      </c>
      <c r="N10" t="s">
        <v>28</v>
      </c>
      <c r="V10" t="s">
        <v>32</v>
      </c>
      <c r="W10">
        <f>O29</f>
        <v>1.0071469688504835</v>
      </c>
      <c r="X10">
        <f>P29</f>
        <v>1.1517042062810301</v>
      </c>
      <c r="Y10">
        <f>Q29</f>
        <v>1.3382758138950621</v>
      </c>
      <c r="Z10">
        <f>R29</f>
        <v>1.0170847567809147</v>
      </c>
      <c r="AA10">
        <v>1</v>
      </c>
      <c r="AB10">
        <f>T29</f>
        <v>1.0007081854756901</v>
      </c>
    </row>
    <row r="11" spans="1:48" x14ac:dyDescent="0.2">
      <c r="A11" s="2"/>
      <c r="H11" s="2">
        <v>2013</v>
      </c>
      <c r="I11" s="4"/>
      <c r="J11">
        <v>8625.06</v>
      </c>
      <c r="K11" s="4"/>
      <c r="L11" s="4"/>
      <c r="M11" s="5">
        <v>11971.1</v>
      </c>
      <c r="N11">
        <v>2013</v>
      </c>
      <c r="O11">
        <f>9334.27/B13</f>
        <v>0.99072771908894763</v>
      </c>
      <c r="P11">
        <f>2658.71/C13</f>
        <v>0.84260383158762109</v>
      </c>
      <c r="Q11">
        <f>11877.27/D13</f>
        <v>0.95898663165722409</v>
      </c>
      <c r="R11">
        <f>5659.25/E13</f>
        <v>0.99222768857454446</v>
      </c>
      <c r="S11">
        <f>8627.95/F13</f>
        <v>0.99998840989563131</v>
      </c>
      <c r="T11">
        <f>20930.21/G13</f>
        <v>0.9997864787042362</v>
      </c>
      <c r="V11" t="s">
        <v>44</v>
      </c>
      <c r="W11">
        <f>12820.09/B35</f>
        <v>1.2078141825783919</v>
      </c>
      <c r="X11">
        <f>10633.82/C35</f>
        <v>3.8706157273269945</v>
      </c>
      <c r="Y11">
        <f>17734.95/D35</f>
        <v>2.0820580911693956</v>
      </c>
      <c r="Z11">
        <f>10654.94/E35</f>
        <v>1.8037758463658493</v>
      </c>
      <c r="AA11">
        <f>13586.27/F35</f>
        <v>1.5731695737960039</v>
      </c>
      <c r="AB11">
        <f>17331.77/G35</f>
        <v>0.82933160689198449</v>
      </c>
    </row>
    <row r="12" spans="1:48" x14ac:dyDescent="0.2">
      <c r="A12" s="2" t="s">
        <v>25</v>
      </c>
      <c r="B12">
        <v>9</v>
      </c>
      <c r="C12">
        <v>9</v>
      </c>
      <c r="D12">
        <v>9</v>
      </c>
      <c r="E12">
        <v>9</v>
      </c>
      <c r="F12">
        <v>9</v>
      </c>
      <c r="G12">
        <v>9</v>
      </c>
      <c r="H12" s="2">
        <v>2012</v>
      </c>
      <c r="I12" s="4"/>
      <c r="J12">
        <v>8821.06</v>
      </c>
      <c r="K12" s="4"/>
      <c r="L12" s="4"/>
      <c r="M12" s="5">
        <v>12444.06</v>
      </c>
      <c r="N12">
        <v>2012</v>
      </c>
      <c r="O12">
        <f>9524.13/B14</f>
        <v>0.99078305538593092</v>
      </c>
      <c r="P12">
        <f>2718.62/C14</f>
        <v>0.84260671204175497</v>
      </c>
      <c r="Q12">
        <f>11073.63/D14</f>
        <v>0.95466524821349896</v>
      </c>
      <c r="R12">
        <f>5795.63/E14</f>
        <v>0.99486912756286128</v>
      </c>
      <c r="S12">
        <f>8823.23/F14</f>
        <v>0.99998639972346093</v>
      </c>
      <c r="T12">
        <f>19387.51/G14</f>
        <v>0.99977774133629538</v>
      </c>
    </row>
    <row r="13" spans="1:48" x14ac:dyDescent="0.2">
      <c r="A13" s="2">
        <v>2013</v>
      </c>
      <c r="B13">
        <v>9421.6299999999992</v>
      </c>
      <c r="C13">
        <v>3155.35</v>
      </c>
      <c r="D13">
        <v>12385.23</v>
      </c>
      <c r="E13">
        <v>5703.58</v>
      </c>
      <c r="F13">
        <v>8628.0499999999993</v>
      </c>
      <c r="G13">
        <v>20934.68</v>
      </c>
      <c r="H13" s="2">
        <v>2011</v>
      </c>
      <c r="I13" s="4"/>
      <c r="J13">
        <v>8635.41</v>
      </c>
      <c r="K13" s="4"/>
      <c r="L13" s="4"/>
      <c r="M13" s="5">
        <v>13020.67</v>
      </c>
      <c r="N13">
        <v>2011</v>
      </c>
      <c r="O13">
        <f>10690.15/B15</f>
        <v>0.99126603946092195</v>
      </c>
      <c r="P13">
        <f>3164.1/C15</f>
        <v>0.86637587586354181</v>
      </c>
      <c r="Q13">
        <f>11399.42/D15</f>
        <v>0.95632236750486155</v>
      </c>
      <c r="R13">
        <f>6007.94/E15</f>
        <v>0.99454221301095358</v>
      </c>
      <c r="S13">
        <f>8636.24/F15</f>
        <v>0.99998610525730736</v>
      </c>
      <c r="T13">
        <f>20913.28/G15</f>
        <v>0.99979060755361737</v>
      </c>
    </row>
    <row r="14" spans="1:48" x14ac:dyDescent="0.2">
      <c r="A14" s="2">
        <v>2012</v>
      </c>
      <c r="B14">
        <v>9612.73</v>
      </c>
      <c r="C14">
        <v>3226.44</v>
      </c>
      <c r="D14">
        <v>11599.49</v>
      </c>
      <c r="E14">
        <v>5825.52</v>
      </c>
      <c r="F14">
        <v>8823.35</v>
      </c>
      <c r="G14">
        <v>19391.82</v>
      </c>
      <c r="H14" s="2"/>
      <c r="I14" s="2" t="s">
        <v>43</v>
      </c>
      <c r="J14" s="2" t="s">
        <v>43</v>
      </c>
      <c r="K14" s="2" t="s">
        <v>43</v>
      </c>
      <c r="L14" s="2" t="s">
        <v>43</v>
      </c>
      <c r="N14" t="s">
        <v>29</v>
      </c>
    </row>
    <row r="15" spans="1:48" x14ac:dyDescent="0.2">
      <c r="A15" s="2">
        <v>2011</v>
      </c>
      <c r="B15">
        <v>10784.34</v>
      </c>
      <c r="C15">
        <v>3652.11</v>
      </c>
      <c r="D15">
        <v>11920.06</v>
      </c>
      <c r="E15">
        <v>6040.91</v>
      </c>
      <c r="F15">
        <v>8636.36</v>
      </c>
      <c r="G15">
        <v>20917.66</v>
      </c>
      <c r="H15" s="2" t="s">
        <v>36</v>
      </c>
      <c r="I15" s="2" t="s">
        <v>37</v>
      </c>
      <c r="J15" s="2" t="s">
        <v>38</v>
      </c>
      <c r="K15" s="2" t="s">
        <v>39</v>
      </c>
      <c r="L15" s="2" t="s">
        <v>40</v>
      </c>
      <c r="N15">
        <v>2013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</row>
    <row r="16" spans="1:48" x14ac:dyDescent="0.2">
      <c r="A16" s="2"/>
      <c r="H16" s="2">
        <v>2013</v>
      </c>
      <c r="I16">
        <v>9114.69</v>
      </c>
      <c r="J16">
        <v>14659.28</v>
      </c>
      <c r="K16">
        <v>4752.4799999999996</v>
      </c>
      <c r="L16">
        <v>4358.8500000000004</v>
      </c>
      <c r="N16">
        <v>2012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</row>
    <row r="17" spans="1:28" x14ac:dyDescent="0.2">
      <c r="A17" s="2" t="s">
        <v>25</v>
      </c>
      <c r="B17">
        <v>10</v>
      </c>
      <c r="C17">
        <v>10</v>
      </c>
      <c r="D17">
        <v>10</v>
      </c>
      <c r="E17">
        <v>10</v>
      </c>
      <c r="F17">
        <v>10</v>
      </c>
      <c r="G17">
        <v>10</v>
      </c>
      <c r="H17" s="2">
        <v>2012</v>
      </c>
      <c r="I17">
        <v>9166.15</v>
      </c>
      <c r="J17">
        <v>15095.3</v>
      </c>
      <c r="K17">
        <v>4920.63</v>
      </c>
      <c r="L17">
        <v>4650.2</v>
      </c>
      <c r="N17">
        <v>2011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</row>
    <row r="18" spans="1:28" x14ac:dyDescent="0.2">
      <c r="A18" s="2">
        <v>2013</v>
      </c>
      <c r="B18">
        <v>9334.27</v>
      </c>
      <c r="C18">
        <v>2658.71</v>
      </c>
      <c r="D18">
        <v>11877.27</v>
      </c>
      <c r="E18">
        <v>5659.25</v>
      </c>
      <c r="F18">
        <v>8627.9500000000007</v>
      </c>
      <c r="G18">
        <v>20930.21</v>
      </c>
      <c r="H18" s="2">
        <v>2011</v>
      </c>
      <c r="I18">
        <v>9132.08</v>
      </c>
      <c r="J18">
        <v>16073.89</v>
      </c>
      <c r="K18">
        <v>4867.01</v>
      </c>
      <c r="L18">
        <v>5305.86</v>
      </c>
      <c r="N18" t="s">
        <v>30</v>
      </c>
    </row>
    <row r="19" spans="1:28" x14ac:dyDescent="0.2">
      <c r="A19" s="2">
        <v>2012</v>
      </c>
      <c r="B19">
        <v>9524.1299999999992</v>
      </c>
      <c r="C19">
        <v>2718.62</v>
      </c>
      <c r="D19">
        <v>11073.63</v>
      </c>
      <c r="E19">
        <v>5795.63</v>
      </c>
      <c r="F19">
        <v>8823.23</v>
      </c>
      <c r="G19">
        <v>19387.509999999998</v>
      </c>
      <c r="H19" s="2"/>
      <c r="N19">
        <v>2013</v>
      </c>
      <c r="O19">
        <f>9334.27/B23</f>
        <v>1.005493753817351</v>
      </c>
      <c r="P19">
        <f>2658.71/C23</f>
        <v>1.118326743501304</v>
      </c>
      <c r="Q19">
        <f>11877.27/D23</f>
        <v>1.0533117774553657</v>
      </c>
      <c r="R19">
        <f>5659.25/E23</f>
        <v>1.0079883870048447</v>
      </c>
      <c r="S19">
        <f>8627.95/F23</f>
        <v>1</v>
      </c>
      <c r="T19">
        <f>20930.21/G23</f>
        <v>1.0002284301923545</v>
      </c>
    </row>
    <row r="20" spans="1:28" x14ac:dyDescent="0.2">
      <c r="A20" s="2">
        <v>2011</v>
      </c>
      <c r="B20">
        <v>10690.15</v>
      </c>
      <c r="C20">
        <v>3164.1</v>
      </c>
      <c r="D20">
        <v>11399.42</v>
      </c>
      <c r="E20">
        <v>6007.94</v>
      </c>
      <c r="F20">
        <v>8636.24</v>
      </c>
      <c r="G20">
        <v>20913.28</v>
      </c>
      <c r="H20" s="2" t="s">
        <v>41</v>
      </c>
      <c r="I20" t="s">
        <v>42</v>
      </c>
      <c r="N20">
        <v>2012</v>
      </c>
      <c r="O20">
        <f>9524.13/B24</f>
        <v>1.0053719741081193</v>
      </c>
      <c r="P20">
        <f>2718.62/C24</f>
        <v>1.1219270624842663</v>
      </c>
      <c r="Q20">
        <f>11073.63/D24</f>
        <v>1.0614591381131584</v>
      </c>
      <c r="R20">
        <f>5795.63/E24</f>
        <v>1.0050672775609089</v>
      </c>
      <c r="S20">
        <f>8823.23/F24</f>
        <v>1</v>
      </c>
      <c r="T20">
        <f>19387.51/G24</f>
        <v>1.0002378385071375</v>
      </c>
    </row>
    <row r="21" spans="1:28" x14ac:dyDescent="0.2">
      <c r="A21" s="2"/>
      <c r="H21" s="2">
        <v>2013</v>
      </c>
      <c r="I21">
        <v>8571.73</v>
      </c>
      <c r="J21">
        <v>15198.77</v>
      </c>
      <c r="K21">
        <v>5125.05</v>
      </c>
      <c r="L21">
        <v>4373.17</v>
      </c>
      <c r="N21">
        <v>2011</v>
      </c>
      <c r="O21">
        <f>10690.15/B25</f>
        <v>1.0051412866568192</v>
      </c>
      <c r="P21">
        <f>3164.1/C25</f>
        <v>1.0972361896175054</v>
      </c>
      <c r="Q21">
        <f>11399.42/D25</f>
        <v>1.0567552810324097</v>
      </c>
      <c r="R21">
        <f>6007.94/E25</f>
        <v>1.0055163364563564</v>
      </c>
      <c r="S21">
        <f>8636.24/F25</f>
        <v>1</v>
      </c>
      <c r="T21">
        <f>20913.28/G25</f>
        <v>1.000223352963205</v>
      </c>
    </row>
    <row r="22" spans="1:28" x14ac:dyDescent="0.2">
      <c r="A22" s="2" t="s">
        <v>25</v>
      </c>
      <c r="B22">
        <v>11</v>
      </c>
      <c r="C22">
        <v>11</v>
      </c>
      <c r="D22">
        <v>11</v>
      </c>
      <c r="E22">
        <v>11</v>
      </c>
      <c r="F22">
        <v>11</v>
      </c>
      <c r="G22">
        <v>11</v>
      </c>
      <c r="H22" s="2">
        <v>2012</v>
      </c>
      <c r="I22">
        <v>8746.56</v>
      </c>
      <c r="J22">
        <v>15635.67</v>
      </c>
      <c r="K22">
        <v>5293.53</v>
      </c>
      <c r="L22">
        <v>4666.3900000000003</v>
      </c>
      <c r="N22" t="s">
        <v>31</v>
      </c>
    </row>
    <row r="23" spans="1:28" x14ac:dyDescent="0.2">
      <c r="A23" s="2">
        <v>2013</v>
      </c>
      <c r="B23">
        <v>9283.27</v>
      </c>
      <c r="C23">
        <v>2377.4</v>
      </c>
      <c r="D23">
        <v>11276.12</v>
      </c>
      <c r="E23">
        <v>5614.4</v>
      </c>
      <c r="F23">
        <v>8627.9500000000007</v>
      </c>
      <c r="G23">
        <v>20925.43</v>
      </c>
      <c r="H23" s="2">
        <v>2011</v>
      </c>
      <c r="I23">
        <v>8815.31</v>
      </c>
      <c r="J23">
        <v>16668.07</v>
      </c>
      <c r="K23">
        <v>5247.49</v>
      </c>
      <c r="L23">
        <v>5323.25</v>
      </c>
      <c r="N23">
        <v>2013</v>
      </c>
      <c r="O23">
        <f>9334.27/B28</f>
        <v>1.0078812000069104</v>
      </c>
      <c r="P23">
        <f>2658.71/C28</f>
        <v>1.1686534623871438</v>
      </c>
      <c r="Q23">
        <f>11877.27/D28</f>
        <v>1.1410226604619707</v>
      </c>
      <c r="R23">
        <f>5659.25/E28</f>
        <v>1.0162641775070573</v>
      </c>
      <c r="S23">
        <f>8627.95/F28</f>
        <v>1</v>
      </c>
      <c r="T23">
        <f>20930.21/G28</f>
        <v>1.0004693985150372</v>
      </c>
    </row>
    <row r="24" spans="1:28" x14ac:dyDescent="0.2">
      <c r="A24" s="2">
        <v>2012</v>
      </c>
      <c r="B24">
        <v>9473.24</v>
      </c>
      <c r="C24">
        <v>2423.17</v>
      </c>
      <c r="D24">
        <v>10432.459999999999</v>
      </c>
      <c r="E24">
        <v>5766.41</v>
      </c>
      <c r="F24">
        <v>8823.23</v>
      </c>
      <c r="G24">
        <v>19382.900000000001</v>
      </c>
      <c r="H24" s="2" t="s">
        <v>53</v>
      </c>
      <c r="N24">
        <v>2012</v>
      </c>
      <c r="O24">
        <f>9524.13/B29</f>
        <v>1.0291450238318811</v>
      </c>
      <c r="P24">
        <f>2718.62/C29</f>
        <v>1.1763265270800609</v>
      </c>
      <c r="Q24">
        <f>11073.63/D29</f>
        <v>1.161860045430938</v>
      </c>
      <c r="R24">
        <f>5795.63/E29</f>
        <v>1.0102918284207167</v>
      </c>
      <c r="S24">
        <f>8823.23/F29</f>
        <v>1</v>
      </c>
      <c r="T24">
        <f>19387.51/G29</f>
        <v>1.0004892138158523</v>
      </c>
    </row>
    <row r="25" spans="1:28" x14ac:dyDescent="0.2">
      <c r="A25" s="2">
        <v>2011</v>
      </c>
      <c r="B25">
        <v>10635.47</v>
      </c>
      <c r="C25">
        <v>2883.7</v>
      </c>
      <c r="D25">
        <v>10787.19</v>
      </c>
      <c r="E25">
        <v>5974.98</v>
      </c>
      <c r="F25">
        <v>8636.24</v>
      </c>
      <c r="G25">
        <v>20908.61</v>
      </c>
      <c r="H25" s="2">
        <v>2013</v>
      </c>
      <c r="I25" s="5">
        <v>11512.61</v>
      </c>
      <c r="J25">
        <v>16175.76</v>
      </c>
      <c r="K25">
        <v>10778.16</v>
      </c>
      <c r="L25">
        <v>4373.17</v>
      </c>
      <c r="N25">
        <v>2011</v>
      </c>
      <c r="O25">
        <f>10690.15/B30</f>
        <v>1.0073386749489035</v>
      </c>
      <c r="P25">
        <f>3164.1/C30</f>
        <v>1.138505381102991</v>
      </c>
      <c r="Q25">
        <f>11399.42/D30</f>
        <v>1.1494641611106406</v>
      </c>
      <c r="R25">
        <f>6007.94/E30</f>
        <v>1.0112317187912898</v>
      </c>
      <c r="S25">
        <f>8636.24/F30</f>
        <v>1</v>
      </c>
      <c r="T25">
        <f>20913.28/G30</f>
        <v>1.0004597278851035</v>
      </c>
    </row>
    <row r="26" spans="1:28" x14ac:dyDescent="0.2">
      <c r="A26" s="2"/>
      <c r="H26" s="2">
        <v>2012</v>
      </c>
      <c r="I26" s="5">
        <v>12206.32</v>
      </c>
      <c r="J26">
        <v>16713.72</v>
      </c>
      <c r="K26">
        <v>11246.84</v>
      </c>
      <c r="L26">
        <v>4666.3900000000003</v>
      </c>
      <c r="N26" t="s">
        <v>32</v>
      </c>
    </row>
    <row r="27" spans="1:28" x14ac:dyDescent="0.2">
      <c r="A27" s="2" t="s">
        <v>25</v>
      </c>
      <c r="B27">
        <v>12</v>
      </c>
      <c r="C27">
        <v>12</v>
      </c>
      <c r="D27">
        <v>12</v>
      </c>
      <c r="E27">
        <v>12</v>
      </c>
      <c r="F27">
        <v>12</v>
      </c>
      <c r="G27">
        <v>12</v>
      </c>
      <c r="H27" s="2">
        <v>2011</v>
      </c>
      <c r="I27" s="5">
        <v>12443.02</v>
      </c>
      <c r="J27">
        <v>17719.259999999998</v>
      </c>
      <c r="K27">
        <v>11402.5</v>
      </c>
      <c r="L27">
        <v>5323.25</v>
      </c>
      <c r="N27">
        <v>2013</v>
      </c>
      <c r="O27">
        <f>9334.27/B33</f>
        <v>1.0077517120163413</v>
      </c>
      <c r="P27">
        <f>2658.71/C33</f>
        <v>1.1838376732091334</v>
      </c>
      <c r="Q27">
        <f>11877.27/D33</f>
        <v>1.3197538560004267</v>
      </c>
      <c r="R27">
        <f>5659.25/E33</f>
        <v>1.0247456356528368</v>
      </c>
      <c r="S27">
        <v>1</v>
      </c>
      <c r="T27">
        <f>20930.21/G33</f>
        <v>1.0007229230187391</v>
      </c>
    </row>
    <row r="28" spans="1:28" x14ac:dyDescent="0.2">
      <c r="A28" s="2">
        <v>2013</v>
      </c>
      <c r="B28">
        <v>9261.2800000000007</v>
      </c>
      <c r="C28">
        <v>2275.02</v>
      </c>
      <c r="D28">
        <v>10409.32</v>
      </c>
      <c r="E28">
        <v>5568.68</v>
      </c>
      <c r="F28">
        <v>8627.9500000000007</v>
      </c>
      <c r="G28">
        <v>20920.39</v>
      </c>
      <c r="H28" s="2"/>
      <c r="N28">
        <v>2012</v>
      </c>
      <c r="O28">
        <f>9524.13/B34</f>
        <v>1.00725075273093</v>
      </c>
      <c r="P28">
        <f>2718.62/C34</f>
        <v>1.1952342221538326</v>
      </c>
      <c r="Q28">
        <f>11073.63/D34</f>
        <v>1.3918449789343494</v>
      </c>
      <c r="R28">
        <f>5795.63/E34</f>
        <v>1.0156243702323853</v>
      </c>
      <c r="S28">
        <v>1</v>
      </c>
      <c r="T28">
        <f>19387.51/G34</f>
        <v>1.0007531131084009</v>
      </c>
    </row>
    <row r="29" spans="1:28" x14ac:dyDescent="0.2">
      <c r="A29" s="2">
        <v>2012</v>
      </c>
      <c r="B29">
        <v>9254.41</v>
      </c>
      <c r="C29">
        <v>2311.11</v>
      </c>
      <c r="D29">
        <v>9530.9500000000007</v>
      </c>
      <c r="E29">
        <v>5736.59</v>
      </c>
      <c r="F29">
        <v>8823.23</v>
      </c>
      <c r="G29">
        <v>19378.03</v>
      </c>
      <c r="H29" s="2"/>
      <c r="N29">
        <v>2011</v>
      </c>
      <c r="O29">
        <f>10690.15/B35</f>
        <v>1.0071469688504835</v>
      </c>
      <c r="P29">
        <f>3164.1/C35</f>
        <v>1.1517042062810301</v>
      </c>
      <c r="Q29">
        <f>11399.42/D35</f>
        <v>1.3382758138950621</v>
      </c>
      <c r="R29">
        <f>6007.94/E35</f>
        <v>1.0170847567809147</v>
      </c>
      <c r="S29">
        <v>1</v>
      </c>
      <c r="T29">
        <f>20913.28/G35</f>
        <v>1.0007081854756901</v>
      </c>
    </row>
    <row r="30" spans="1:28" x14ac:dyDescent="0.2">
      <c r="A30" s="2">
        <v>2011</v>
      </c>
      <c r="B30">
        <v>10612.27</v>
      </c>
      <c r="C30">
        <v>2779.17</v>
      </c>
      <c r="D30">
        <v>9917.16</v>
      </c>
      <c r="E30">
        <v>5941.21</v>
      </c>
      <c r="F30">
        <v>8636.24</v>
      </c>
      <c r="G30">
        <v>20903.669999999998</v>
      </c>
      <c r="H30" s="2"/>
    </row>
    <row r="31" spans="1:28" x14ac:dyDescent="0.2">
      <c r="A31" s="2"/>
      <c r="H31" s="2">
        <v>34</v>
      </c>
      <c r="I31">
        <v>44</v>
      </c>
      <c r="J31">
        <v>57</v>
      </c>
      <c r="K31">
        <v>80</v>
      </c>
      <c r="L31">
        <v>112</v>
      </c>
      <c r="M31">
        <v>133</v>
      </c>
    </row>
    <row r="32" spans="1:28" x14ac:dyDescent="0.2">
      <c r="A32" s="2" t="s">
        <v>25</v>
      </c>
      <c r="B32">
        <v>13</v>
      </c>
      <c r="C32">
        <v>13</v>
      </c>
      <c r="D32">
        <v>13</v>
      </c>
      <c r="E32">
        <v>13</v>
      </c>
      <c r="F32">
        <v>13</v>
      </c>
      <c r="G32">
        <v>13</v>
      </c>
      <c r="H32" s="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2013</v>
      </c>
      <c r="O32">
        <v>34</v>
      </c>
      <c r="P32">
        <v>44</v>
      </c>
      <c r="Q32">
        <v>57</v>
      </c>
      <c r="R32">
        <v>80</v>
      </c>
      <c r="S32">
        <v>112</v>
      </c>
      <c r="T32">
        <v>133</v>
      </c>
      <c r="V32">
        <v>2012</v>
      </c>
      <c r="W32">
        <v>34</v>
      </c>
      <c r="X32">
        <v>44</v>
      </c>
      <c r="Y32">
        <v>57</v>
      </c>
      <c r="Z32">
        <v>80</v>
      </c>
      <c r="AA32">
        <v>112</v>
      </c>
      <c r="AB32">
        <v>133</v>
      </c>
    </row>
    <row r="33" spans="1:48" x14ac:dyDescent="0.2">
      <c r="A33" s="2">
        <v>2013</v>
      </c>
      <c r="B33">
        <v>9262.4699999999993</v>
      </c>
      <c r="C33">
        <v>2245.84</v>
      </c>
      <c r="D33">
        <v>8999.61</v>
      </c>
      <c r="E33">
        <v>5522.59</v>
      </c>
      <c r="F33">
        <v>8627.9500000000007</v>
      </c>
      <c r="G33">
        <v>20915.09</v>
      </c>
      <c r="H33" s="2">
        <v>11309.04</v>
      </c>
      <c r="I33">
        <v>10614.31</v>
      </c>
      <c r="J33">
        <v>18169.96</v>
      </c>
      <c r="K33">
        <v>10346.34</v>
      </c>
      <c r="L33">
        <v>12666.6</v>
      </c>
      <c r="M33">
        <v>17896.310000000001</v>
      </c>
      <c r="N33" t="s">
        <v>26</v>
      </c>
      <c r="O33">
        <f t="shared" ref="O33:T33" si="3">O3</f>
        <v>0.95808720661095947</v>
      </c>
      <c r="P33">
        <f t="shared" si="3"/>
        <v>0.56651104912925909</v>
      </c>
      <c r="Q33">
        <f t="shared" si="3"/>
        <v>0.88477941357226875</v>
      </c>
      <c r="R33">
        <f t="shared" si="3"/>
        <v>0.97692190839193926</v>
      </c>
      <c r="S33">
        <f t="shared" si="3"/>
        <v>0.92165462961083688</v>
      </c>
      <c r="T33">
        <f t="shared" si="3"/>
        <v>0.99941076898467474</v>
      </c>
      <c r="V33" t="s">
        <v>26</v>
      </c>
      <c r="W33">
        <f t="shared" ref="W33:AB33" si="4">O4</f>
        <v>0.9583249063472562</v>
      </c>
      <c r="X33">
        <f t="shared" si="4"/>
        <v>0.57361145104526234</v>
      </c>
      <c r="Y33">
        <f t="shared" si="4"/>
        <v>0.87374396095242368</v>
      </c>
      <c r="Z33">
        <f t="shared" si="4"/>
        <v>0.98372907362993067</v>
      </c>
      <c r="AA33">
        <f t="shared" si="4"/>
        <v>0.91605488918443845</v>
      </c>
      <c r="AB33">
        <f t="shared" si="4"/>
        <v>0.99938606411944275</v>
      </c>
    </row>
    <row r="34" spans="1:48" x14ac:dyDescent="0.2">
      <c r="A34" s="2">
        <v>2012</v>
      </c>
      <c r="B34">
        <v>9455.57</v>
      </c>
      <c r="C34">
        <v>2274.5500000000002</v>
      </c>
      <c r="D34">
        <v>7956.08</v>
      </c>
      <c r="E34">
        <v>5706.47</v>
      </c>
      <c r="F34">
        <v>8823.23</v>
      </c>
      <c r="G34">
        <v>19372.919999999998</v>
      </c>
      <c r="H34" s="2">
        <v>11504.22</v>
      </c>
      <c r="I34">
        <v>10426.85</v>
      </c>
      <c r="J34">
        <v>17538.95</v>
      </c>
      <c r="K34">
        <v>10289.06</v>
      </c>
      <c r="L34">
        <v>13342.82</v>
      </c>
      <c r="M34">
        <v>16054.58</v>
      </c>
      <c r="N34" t="s">
        <v>27</v>
      </c>
      <c r="O34">
        <f t="shared" ref="O34:T34" si="5">O7</f>
        <v>0.97695728578261609</v>
      </c>
      <c r="P34">
        <f t="shared" si="5"/>
        <v>0.69156736819379527</v>
      </c>
      <c r="Q34">
        <f t="shared" si="5"/>
        <v>0.92181406275830113</v>
      </c>
      <c r="R34">
        <f t="shared" si="5"/>
        <v>0.98448619884037902</v>
      </c>
      <c r="S34">
        <f t="shared" si="5"/>
        <v>0.98738863489411388</v>
      </c>
      <c r="T34">
        <f t="shared" si="5"/>
        <v>0.99958975681509921</v>
      </c>
      <c r="V34" t="s">
        <v>27</v>
      </c>
      <c r="W34">
        <f t="shared" ref="W34:AB34" si="6">O8</f>
        <v>0.97705731669910134</v>
      </c>
      <c r="X34">
        <f t="shared" si="6"/>
        <v>0.69491001203929248</v>
      </c>
      <c r="Y34">
        <f t="shared" si="6"/>
        <v>0.91401274411080113</v>
      </c>
      <c r="Z34">
        <f t="shared" si="6"/>
        <v>0.98937328863001628</v>
      </c>
      <c r="AA34">
        <f t="shared" si="6"/>
        <v>0.98693075110150141</v>
      </c>
      <c r="AB34">
        <f t="shared" si="6"/>
        <v>0.99957258787985026</v>
      </c>
    </row>
    <row r="35" spans="1:48" x14ac:dyDescent="0.2">
      <c r="A35" s="2">
        <v>2011</v>
      </c>
      <c r="B35">
        <v>10614.29</v>
      </c>
      <c r="C35">
        <v>2747.32</v>
      </c>
      <c r="D35">
        <v>8517.99</v>
      </c>
      <c r="E35">
        <v>5907.02</v>
      </c>
      <c r="F35">
        <v>8636.24</v>
      </c>
      <c r="G35">
        <v>20898.48</v>
      </c>
      <c r="H35" s="2">
        <v>12820.09</v>
      </c>
      <c r="I35">
        <v>10633.82</v>
      </c>
      <c r="J35">
        <v>17734.95</v>
      </c>
      <c r="K35">
        <v>10654.94</v>
      </c>
      <c r="L35">
        <v>13586.27</v>
      </c>
      <c r="M35">
        <v>17331.77</v>
      </c>
      <c r="N35" t="s">
        <v>33</v>
      </c>
      <c r="O35">
        <f t="shared" ref="O35:T35" si="7">O11</f>
        <v>0.99072771908894763</v>
      </c>
      <c r="P35">
        <f t="shared" si="7"/>
        <v>0.84260383158762109</v>
      </c>
      <c r="Q35">
        <f t="shared" si="7"/>
        <v>0.95898663165722409</v>
      </c>
      <c r="R35">
        <f t="shared" si="7"/>
        <v>0.99222768857454446</v>
      </c>
      <c r="S35">
        <f t="shared" si="7"/>
        <v>0.99998840989563131</v>
      </c>
      <c r="T35">
        <f t="shared" si="7"/>
        <v>0.9997864787042362</v>
      </c>
      <c r="V35" t="s">
        <v>33</v>
      </c>
      <c r="W35">
        <f t="shared" ref="W35:AB35" si="8">O12</f>
        <v>0.99078305538593092</v>
      </c>
      <c r="X35">
        <f t="shared" si="8"/>
        <v>0.84260671204175497</v>
      </c>
      <c r="Y35">
        <f t="shared" si="8"/>
        <v>0.95466524821349896</v>
      </c>
      <c r="Z35">
        <f t="shared" si="8"/>
        <v>0.99486912756286128</v>
      </c>
      <c r="AA35">
        <f t="shared" si="8"/>
        <v>0.99998639972346093</v>
      </c>
      <c r="AB35">
        <f t="shared" si="8"/>
        <v>0.99977774133629538</v>
      </c>
    </row>
    <row r="36" spans="1:48" x14ac:dyDescent="0.2">
      <c r="A36" s="2"/>
      <c r="N36" t="s">
        <v>29</v>
      </c>
      <c r="O36">
        <f>O15</f>
        <v>1</v>
      </c>
      <c r="P36">
        <f>P15</f>
        <v>1</v>
      </c>
      <c r="Q36">
        <f>Q15</f>
        <v>1</v>
      </c>
      <c r="R36">
        <f>R15</f>
        <v>1</v>
      </c>
      <c r="S36">
        <f>S15</f>
        <v>1</v>
      </c>
      <c r="T36">
        <v>1</v>
      </c>
      <c r="V36" t="s">
        <v>29</v>
      </c>
      <c r="W36">
        <f>O16</f>
        <v>1</v>
      </c>
      <c r="X36">
        <f>P16</f>
        <v>1</v>
      </c>
      <c r="Y36">
        <f>Q16</f>
        <v>1</v>
      </c>
      <c r="Z36">
        <f>R16</f>
        <v>1</v>
      </c>
      <c r="AA36">
        <v>1</v>
      </c>
      <c r="AB36">
        <f>1</f>
        <v>1</v>
      </c>
    </row>
    <row r="37" spans="1:48" x14ac:dyDescent="0.2">
      <c r="A37" s="2"/>
      <c r="N37" t="s">
        <v>30</v>
      </c>
      <c r="O37">
        <f>O19</f>
        <v>1.005493753817351</v>
      </c>
      <c r="P37">
        <f>P19</f>
        <v>1.118326743501304</v>
      </c>
      <c r="Q37">
        <f>Q19</f>
        <v>1.0533117774553657</v>
      </c>
      <c r="R37">
        <f>R19</f>
        <v>1.0079883870048447</v>
      </c>
      <c r="S37">
        <v>1</v>
      </c>
      <c r="T37">
        <f>T19</f>
        <v>1.0002284301923545</v>
      </c>
      <c r="V37" t="s">
        <v>30</v>
      </c>
      <c r="W37">
        <f>O20</f>
        <v>1.0053719741081193</v>
      </c>
      <c r="X37">
        <f>P20</f>
        <v>1.1219270624842663</v>
      </c>
      <c r="Y37">
        <f>Q20</f>
        <v>1.0614591381131584</v>
      </c>
      <c r="Z37">
        <f>R20</f>
        <v>1.0050672775609089</v>
      </c>
      <c r="AA37">
        <v>1</v>
      </c>
      <c r="AB37">
        <f>T20</f>
        <v>1.0002378385071375</v>
      </c>
    </row>
    <row r="38" spans="1:48" x14ac:dyDescent="0.2">
      <c r="A38" t="s">
        <v>34</v>
      </c>
      <c r="N38" t="s">
        <v>31</v>
      </c>
      <c r="O38">
        <f>O23</f>
        <v>1.0078812000069104</v>
      </c>
      <c r="P38">
        <f>P23</f>
        <v>1.1686534623871438</v>
      </c>
      <c r="Q38">
        <f>Q23</f>
        <v>1.1410226604619707</v>
      </c>
      <c r="R38">
        <f>R23</f>
        <v>1.0162641775070573</v>
      </c>
      <c r="S38">
        <v>1</v>
      </c>
      <c r="T38">
        <f>T23</f>
        <v>1.0004693985150372</v>
      </c>
      <c r="V38" t="s">
        <v>31</v>
      </c>
      <c r="W38">
        <f>O24</f>
        <v>1.0291450238318811</v>
      </c>
      <c r="X38">
        <f>P24</f>
        <v>1.1763265270800609</v>
      </c>
      <c r="Y38">
        <f>Q24</f>
        <v>1.161860045430938</v>
      </c>
      <c r="Z38">
        <f>R24</f>
        <v>1.0102918284207167</v>
      </c>
      <c r="AA38">
        <v>1</v>
      </c>
      <c r="AB38">
        <f>T24</f>
        <v>1.0004892138158523</v>
      </c>
    </row>
    <row r="39" spans="1:48" x14ac:dyDescent="0.2">
      <c r="A39">
        <v>2013</v>
      </c>
      <c r="B39">
        <v>34</v>
      </c>
      <c r="C39">
        <v>44</v>
      </c>
      <c r="D39">
        <v>57</v>
      </c>
      <c r="E39">
        <v>80</v>
      </c>
      <c r="F39">
        <v>112</v>
      </c>
      <c r="G39">
        <v>133</v>
      </c>
      <c r="N39" t="s">
        <v>32</v>
      </c>
      <c r="O39">
        <f>O27</f>
        <v>1.0077517120163413</v>
      </c>
      <c r="P39">
        <f>P27</f>
        <v>1.1838376732091334</v>
      </c>
      <c r="Q39">
        <f>Q27</f>
        <v>1.3197538560004267</v>
      </c>
      <c r="R39">
        <f>R27</f>
        <v>1.0247456356528368</v>
      </c>
      <c r="S39">
        <v>1</v>
      </c>
      <c r="T39">
        <f>T27</f>
        <v>1.0007229230187391</v>
      </c>
      <c r="V39" t="s">
        <v>32</v>
      </c>
      <c r="W39">
        <f>O28</f>
        <v>1.00725075273093</v>
      </c>
      <c r="X39">
        <f>P28</f>
        <v>1.1952342221538326</v>
      </c>
      <c r="Y39">
        <f>Q28</f>
        <v>1.3918449789343494</v>
      </c>
      <c r="Z39">
        <f>R28</f>
        <v>1.0156243702323853</v>
      </c>
      <c r="AA39">
        <v>1</v>
      </c>
      <c r="AB39">
        <f>T28</f>
        <v>1.0007531131084009</v>
      </c>
    </row>
    <row r="40" spans="1:48" x14ac:dyDescent="0.2">
      <c r="A40">
        <v>7</v>
      </c>
      <c r="B40">
        <v>9742.61</v>
      </c>
      <c r="C40">
        <v>4693.13</v>
      </c>
      <c r="D40">
        <v>13423.99</v>
      </c>
      <c r="E40">
        <v>5792.94</v>
      </c>
      <c r="F40">
        <v>9361.3700000000008</v>
      </c>
      <c r="G40">
        <v>20942.55</v>
      </c>
      <c r="N40" t="s">
        <v>44</v>
      </c>
      <c r="O40">
        <f>11309.04/B23</f>
        <v>1.2182172876583359</v>
      </c>
      <c r="P40">
        <f>10614.31/C23</f>
        <v>4.4646714898628748</v>
      </c>
      <c r="Q40">
        <f>18169.96/D23</f>
        <v>1.6113663210395064</v>
      </c>
      <c r="R40">
        <f>10346.34/E23</f>
        <v>1.8428220290681108</v>
      </c>
      <c r="S40">
        <f>12666.6/F23</f>
        <v>1.4680891752965652</v>
      </c>
      <c r="T40">
        <f>17896.31/G23</f>
        <v>0.85524216228770455</v>
      </c>
      <c r="V40" t="s">
        <v>44</v>
      </c>
      <c r="W40">
        <f>11504.22/B34</f>
        <v>1.2166606561000552</v>
      </c>
      <c r="X40">
        <f>10426.85/C24</f>
        <v>4.3029791554038717</v>
      </c>
      <c r="Y40">
        <f>17538.95/D24</f>
        <v>1.6811902465957216</v>
      </c>
      <c r="Z40">
        <f>10289.06/E24</f>
        <v>1.7843094750459991</v>
      </c>
      <c r="AA40">
        <f>13342.82/F24</f>
        <v>1.5122375819286136</v>
      </c>
      <c r="AB40">
        <f>16054.58/G24</f>
        <v>0.82828575703326124</v>
      </c>
    </row>
    <row r="41" spans="1:48" x14ac:dyDescent="0.2">
      <c r="A41">
        <v>8</v>
      </c>
      <c r="B41">
        <v>9554.43</v>
      </c>
      <c r="C41">
        <v>3844.47</v>
      </c>
      <c r="D41">
        <v>12884.67</v>
      </c>
      <c r="E41">
        <v>5748.43</v>
      </c>
      <c r="F41">
        <v>8738.15</v>
      </c>
      <c r="G41">
        <v>20938.8</v>
      </c>
    </row>
    <row r="42" spans="1:48" x14ac:dyDescent="0.2">
      <c r="A42">
        <v>9</v>
      </c>
      <c r="B42">
        <v>9421.6299999999992</v>
      </c>
      <c r="C42">
        <v>3155.35</v>
      </c>
      <c r="D42">
        <v>12385.23</v>
      </c>
      <c r="E42">
        <v>5703.58</v>
      </c>
      <c r="F42">
        <v>8628.0499999999993</v>
      </c>
      <c r="G42">
        <v>20934.68</v>
      </c>
    </row>
    <row r="43" spans="1:48" x14ac:dyDescent="0.2">
      <c r="A43">
        <v>10</v>
      </c>
      <c r="B43">
        <v>9334.27</v>
      </c>
      <c r="C43">
        <v>2658.71</v>
      </c>
      <c r="D43">
        <v>11877.27</v>
      </c>
      <c r="E43">
        <v>5659.25</v>
      </c>
      <c r="F43">
        <v>8627.9500000000007</v>
      </c>
      <c r="G43">
        <v>20930.21</v>
      </c>
    </row>
    <row r="44" spans="1:48" x14ac:dyDescent="0.2">
      <c r="A44">
        <v>11</v>
      </c>
      <c r="B44">
        <v>9283.27</v>
      </c>
      <c r="C44">
        <v>2377.4</v>
      </c>
      <c r="D44">
        <v>11276.12</v>
      </c>
      <c r="E44">
        <v>5614.4</v>
      </c>
      <c r="F44">
        <v>8627.9500000000007</v>
      </c>
      <c r="G44">
        <v>20925.43</v>
      </c>
    </row>
    <row r="45" spans="1:48" x14ac:dyDescent="0.2">
      <c r="A45">
        <v>12</v>
      </c>
      <c r="B45">
        <v>9261.2800000000007</v>
      </c>
      <c r="C45">
        <v>2275.02</v>
      </c>
      <c r="D45">
        <v>10409.32</v>
      </c>
      <c r="E45">
        <v>5568.68</v>
      </c>
      <c r="F45">
        <v>8627.9500000000007</v>
      </c>
      <c r="G45">
        <v>20920.39</v>
      </c>
      <c r="AQ45">
        <v>112</v>
      </c>
      <c r="AR45">
        <v>180</v>
      </c>
      <c r="AS45" t="s">
        <v>37</v>
      </c>
      <c r="AT45" t="s">
        <v>38</v>
      </c>
      <c r="AU45" t="s">
        <v>39</v>
      </c>
      <c r="AV45" t="s">
        <v>40</v>
      </c>
    </row>
    <row r="46" spans="1:48" x14ac:dyDescent="0.2">
      <c r="A46">
        <v>13</v>
      </c>
      <c r="B46">
        <v>9262.4699999999993</v>
      </c>
      <c r="C46">
        <v>2245.84</v>
      </c>
      <c r="D46">
        <v>8999.61</v>
      </c>
      <c r="E46">
        <v>5522.59</v>
      </c>
      <c r="F46">
        <v>8627.9500000000007</v>
      </c>
      <c r="G46">
        <v>20915.09</v>
      </c>
      <c r="AP46" t="s">
        <v>49</v>
      </c>
      <c r="AQ46">
        <v>7987.55</v>
      </c>
      <c r="AR46">
        <v>6979.51</v>
      </c>
      <c r="AS46">
        <v>8746.56</v>
      </c>
      <c r="AT46">
        <v>15635.67</v>
      </c>
      <c r="AU46">
        <v>5293.53</v>
      </c>
      <c r="AV46">
        <v>4666.3900000000003</v>
      </c>
    </row>
    <row r="47" spans="1:48" x14ac:dyDescent="0.2">
      <c r="A47">
        <v>0</v>
      </c>
      <c r="B47">
        <v>11309.04</v>
      </c>
      <c r="C47">
        <v>10614.31</v>
      </c>
      <c r="D47">
        <v>18169.96</v>
      </c>
      <c r="E47">
        <v>10346.34</v>
      </c>
      <c r="F47">
        <v>12666.6</v>
      </c>
      <c r="G47">
        <v>17896.310000000001</v>
      </c>
      <c r="AP47" t="s">
        <v>50</v>
      </c>
      <c r="AQ47">
        <v>8823.23</v>
      </c>
      <c r="AR47">
        <v>8387.85</v>
      </c>
      <c r="AS47">
        <v>9166.15</v>
      </c>
      <c r="AT47">
        <v>15095.3</v>
      </c>
      <c r="AU47">
        <v>4920.63</v>
      </c>
      <c r="AV47">
        <v>4650.2</v>
      </c>
    </row>
    <row r="48" spans="1:48" x14ac:dyDescent="0.2">
      <c r="AP48" t="s">
        <v>48</v>
      </c>
      <c r="AQ48">
        <f t="shared" ref="AQ48:AV48" si="9">(AQ46-AQ47)/AQ47*100</f>
        <v>-9.471361394863326</v>
      </c>
      <c r="AR48">
        <f t="shared" si="9"/>
        <v>-16.790238261294611</v>
      </c>
      <c r="AS48">
        <f t="shared" si="9"/>
        <v>-4.5776034649225705</v>
      </c>
      <c r="AT48">
        <f t="shared" si="9"/>
        <v>3.579723490092948</v>
      </c>
      <c r="AU48">
        <f t="shared" si="9"/>
        <v>7.5782979008785389</v>
      </c>
      <c r="AV48">
        <f t="shared" si="9"/>
        <v>0.34815706851319317</v>
      </c>
    </row>
    <row r="49" spans="42:48" x14ac:dyDescent="0.2">
      <c r="AP49" t="s">
        <v>57</v>
      </c>
      <c r="AQ49">
        <v>8821.06</v>
      </c>
      <c r="AR49">
        <v>12444.06</v>
      </c>
      <c r="AS49" s="5">
        <v>12206.32</v>
      </c>
      <c r="AT49">
        <v>16713.72</v>
      </c>
      <c r="AU49">
        <v>11246.84</v>
      </c>
      <c r="AV49">
        <v>4666.3900000000003</v>
      </c>
    </row>
    <row r="50" spans="42:48" x14ac:dyDescent="0.2">
      <c r="AP50" t="s">
        <v>56</v>
      </c>
      <c r="AQ50">
        <f>(AQ49-AQ47)/AQ47*100</f>
        <v>-2.459416789543141E-2</v>
      </c>
      <c r="AR50">
        <f>(AR49-AR47)/AR47*100</f>
        <v>48.358160911318144</v>
      </c>
      <c r="AS50">
        <f>(AS49-AS47)/AS47*100</f>
        <v>33.167360342128376</v>
      </c>
      <c r="AT50">
        <f>(AT49-AT47)/AT47*100</f>
        <v>10.721350354083734</v>
      </c>
      <c r="AU50">
        <f>(AU49-AU47)/AU47*100</f>
        <v>128.56504146826728</v>
      </c>
      <c r="AV50">
        <f>(AV49-AV47)/AV47*100</f>
        <v>0.34815706851319317</v>
      </c>
    </row>
    <row r="77" spans="1:48" x14ac:dyDescent="0.2">
      <c r="AQ77">
        <v>112</v>
      </c>
      <c r="AR77">
        <v>180</v>
      </c>
      <c r="AS77" t="s">
        <v>37</v>
      </c>
      <c r="AT77" t="s">
        <v>38</v>
      </c>
      <c r="AU77" t="s">
        <v>39</v>
      </c>
      <c r="AV77" t="s">
        <v>40</v>
      </c>
    </row>
    <row r="78" spans="1:48" x14ac:dyDescent="0.2">
      <c r="AP78" t="s">
        <v>51</v>
      </c>
      <c r="AQ78">
        <v>7788.37</v>
      </c>
      <c r="AR78">
        <v>7208.14</v>
      </c>
      <c r="AS78">
        <v>8815.31</v>
      </c>
      <c r="AT78">
        <v>16668.07</v>
      </c>
      <c r="AU78">
        <v>5247.49</v>
      </c>
      <c r="AV78">
        <v>5323.25</v>
      </c>
    </row>
    <row r="79" spans="1:48" x14ac:dyDescent="0.2">
      <c r="A79">
        <v>2012</v>
      </c>
      <c r="B79">
        <v>34</v>
      </c>
      <c r="C79">
        <v>44</v>
      </c>
      <c r="D79">
        <v>57</v>
      </c>
      <c r="E79">
        <v>80</v>
      </c>
      <c r="F79">
        <v>112</v>
      </c>
      <c r="G79">
        <v>180</v>
      </c>
      <c r="AP79" t="s">
        <v>52</v>
      </c>
      <c r="AQ79">
        <v>8636.24</v>
      </c>
      <c r="AR79">
        <v>9023.51</v>
      </c>
      <c r="AS79">
        <v>9132.08</v>
      </c>
      <c r="AT79">
        <v>16073.89</v>
      </c>
      <c r="AU79">
        <v>4867.01</v>
      </c>
      <c r="AV79">
        <v>5305.86</v>
      </c>
    </row>
    <row r="80" spans="1:48" x14ac:dyDescent="0.2">
      <c r="A80">
        <v>7</v>
      </c>
      <c r="B80" s="1">
        <v>9938.31</v>
      </c>
      <c r="C80" s="1">
        <v>4739.4799999999996</v>
      </c>
      <c r="D80" s="1">
        <v>12673.77</v>
      </c>
      <c r="E80" s="1">
        <v>5891.49</v>
      </c>
      <c r="F80" s="1">
        <v>9631.77</v>
      </c>
      <c r="G80" s="1">
        <v>19399.419999999998</v>
      </c>
      <c r="AP80" t="s">
        <v>48</v>
      </c>
      <c r="AQ80">
        <f t="shared" ref="AQ80:AV80" si="10">(AQ78-AQ79)/AQ79*100</f>
        <v>-9.8175826517095395</v>
      </c>
      <c r="AR80">
        <f t="shared" si="10"/>
        <v>-20.118224504655061</v>
      </c>
      <c r="AS80">
        <f t="shared" si="10"/>
        <v>-3.4687606766476033</v>
      </c>
      <c r="AT80">
        <f t="shared" si="10"/>
        <v>3.696553852241121</v>
      </c>
      <c r="AU80">
        <f t="shared" si="10"/>
        <v>7.8175306810546834</v>
      </c>
      <c r="AV80">
        <f t="shared" si="10"/>
        <v>0.32775082644472958</v>
      </c>
    </row>
    <row r="81" spans="1:48" x14ac:dyDescent="0.2">
      <c r="A81">
        <v>8</v>
      </c>
      <c r="B81">
        <v>9747.77</v>
      </c>
      <c r="C81">
        <v>3912.19</v>
      </c>
      <c r="D81">
        <v>12115.4</v>
      </c>
      <c r="E81">
        <v>5857.88</v>
      </c>
      <c r="F81">
        <v>8940.07</v>
      </c>
      <c r="G81">
        <v>19395.8</v>
      </c>
      <c r="AP81" t="s">
        <v>58</v>
      </c>
      <c r="AQ81">
        <v>8635.41</v>
      </c>
      <c r="AR81">
        <v>13020.67</v>
      </c>
      <c r="AS81" s="5">
        <v>12443.02</v>
      </c>
      <c r="AT81">
        <v>17719.259999999998</v>
      </c>
      <c r="AU81">
        <v>11402.5</v>
      </c>
      <c r="AV81">
        <v>5323.25</v>
      </c>
    </row>
    <row r="82" spans="1:48" x14ac:dyDescent="0.2">
      <c r="A82">
        <v>9</v>
      </c>
      <c r="B82">
        <v>9612.73</v>
      </c>
      <c r="C82">
        <v>3226.44</v>
      </c>
      <c r="D82">
        <v>11599.49</v>
      </c>
      <c r="E82">
        <v>5825.52</v>
      </c>
      <c r="F82">
        <v>8823.35</v>
      </c>
      <c r="G82">
        <v>19391.82</v>
      </c>
      <c r="AP82" t="s">
        <v>56</v>
      </c>
      <c r="AQ82">
        <f>(AQ81-AQ79)/AQ79*100</f>
        <v>-9.6106639000297263E-3</v>
      </c>
      <c r="AR82">
        <f>(AR81-AR79)/AR79*100</f>
        <v>44.297174824430847</v>
      </c>
      <c r="AS82">
        <f>(AS81-AS79)/AS79*100</f>
        <v>36.256143178771985</v>
      </c>
      <c r="AT82">
        <f>(AT81-AT79)/AT79*100</f>
        <v>10.236290033090926</v>
      </c>
      <c r="AU82">
        <f>(AU81-AU79)/AU79*100</f>
        <v>134.28141713290088</v>
      </c>
      <c r="AV82">
        <f>(AV81-AV79)/AV79*100</f>
        <v>0.32775082644472958</v>
      </c>
    </row>
    <row r="83" spans="1:48" x14ac:dyDescent="0.2">
      <c r="A83">
        <v>10</v>
      </c>
      <c r="B83">
        <v>9524.1299999999992</v>
      </c>
      <c r="C83">
        <v>2718.62</v>
      </c>
      <c r="D83">
        <v>11073.63</v>
      </c>
      <c r="E83">
        <v>5795.63</v>
      </c>
      <c r="F83">
        <v>8823.23</v>
      </c>
      <c r="G83">
        <v>19387.509999999998</v>
      </c>
    </row>
    <row r="84" spans="1:48" x14ac:dyDescent="0.2">
      <c r="A84">
        <v>11</v>
      </c>
      <c r="B84">
        <v>9473.24</v>
      </c>
      <c r="C84">
        <v>2423.17</v>
      </c>
      <c r="D84">
        <v>10432.459999999999</v>
      </c>
      <c r="E84">
        <v>5766.41</v>
      </c>
      <c r="F84">
        <v>8823.23</v>
      </c>
      <c r="G84">
        <v>19382.900000000001</v>
      </c>
    </row>
    <row r="85" spans="1:48" x14ac:dyDescent="0.2">
      <c r="A85">
        <v>12</v>
      </c>
      <c r="B85">
        <v>9254.41</v>
      </c>
      <c r="C85">
        <v>2311.11</v>
      </c>
      <c r="D85">
        <v>9530.9500000000007</v>
      </c>
      <c r="E85">
        <v>5736.59</v>
      </c>
      <c r="F85">
        <v>8823.23</v>
      </c>
      <c r="G85">
        <v>19378.03</v>
      </c>
    </row>
    <row r="86" spans="1:48" x14ac:dyDescent="0.2">
      <c r="A86">
        <v>13</v>
      </c>
      <c r="B86">
        <v>9455.57</v>
      </c>
      <c r="C86">
        <v>2274.5500000000002</v>
      </c>
      <c r="D86">
        <v>7956.08</v>
      </c>
      <c r="E86">
        <v>5706.47</v>
      </c>
      <c r="F86">
        <v>8823.23</v>
      </c>
      <c r="G86">
        <v>19372.919999999998</v>
      </c>
    </row>
    <row r="87" spans="1:48" x14ac:dyDescent="0.2">
      <c r="A87">
        <v>0</v>
      </c>
      <c r="B87">
        <v>11504.22</v>
      </c>
      <c r="C87">
        <v>10426.85</v>
      </c>
      <c r="D87">
        <v>17538.95</v>
      </c>
      <c r="E87">
        <v>10289.06</v>
      </c>
      <c r="F87">
        <v>13342.82</v>
      </c>
      <c r="G87">
        <v>16054.58</v>
      </c>
    </row>
    <row r="116" spans="1:7" x14ac:dyDescent="0.2">
      <c r="B116">
        <v>34</v>
      </c>
      <c r="C116">
        <v>44</v>
      </c>
      <c r="D116">
        <v>57</v>
      </c>
      <c r="E116">
        <v>80</v>
      </c>
      <c r="F116">
        <v>112</v>
      </c>
      <c r="G116">
        <v>180</v>
      </c>
    </row>
    <row r="117" spans="1:7" x14ac:dyDescent="0.2">
      <c r="A117">
        <v>7</v>
      </c>
      <c r="B117">
        <v>11131.03</v>
      </c>
      <c r="C117">
        <v>5158.3599999999997</v>
      </c>
      <c r="D117">
        <v>12987.95</v>
      </c>
      <c r="E117">
        <v>6110.07</v>
      </c>
      <c r="F117">
        <v>9527.75</v>
      </c>
      <c r="G117">
        <v>20925.37</v>
      </c>
    </row>
    <row r="118" spans="1:7" x14ac:dyDescent="0.2">
      <c r="A118">
        <v>8</v>
      </c>
      <c r="B118">
        <v>10927.75</v>
      </c>
      <c r="C118">
        <v>4327.26</v>
      </c>
      <c r="D118">
        <v>12433.18</v>
      </c>
      <c r="E118">
        <v>6075.3</v>
      </c>
      <c r="F118">
        <v>8762.76</v>
      </c>
      <c r="G118">
        <v>20921.7</v>
      </c>
    </row>
    <row r="119" spans="1:7" x14ac:dyDescent="0.2">
      <c r="A119">
        <v>9</v>
      </c>
      <c r="B119">
        <v>10784.34</v>
      </c>
      <c r="C119">
        <v>3652.11</v>
      </c>
      <c r="D119">
        <v>11920.06</v>
      </c>
      <c r="E119">
        <v>6040.91</v>
      </c>
      <c r="F119">
        <v>8636.36</v>
      </c>
      <c r="G119">
        <v>20917.66</v>
      </c>
    </row>
    <row r="120" spans="1:7" x14ac:dyDescent="0.2">
      <c r="A120">
        <v>10</v>
      </c>
      <c r="B120">
        <v>10690.15</v>
      </c>
      <c r="C120">
        <v>3164.1</v>
      </c>
      <c r="D120">
        <v>11399.42</v>
      </c>
      <c r="E120">
        <v>6007.94</v>
      </c>
      <c r="F120">
        <v>8636.24</v>
      </c>
      <c r="G120">
        <v>20913.28</v>
      </c>
    </row>
    <row r="121" spans="1:7" x14ac:dyDescent="0.2">
      <c r="A121">
        <v>11</v>
      </c>
      <c r="B121">
        <v>10635.47</v>
      </c>
      <c r="C121">
        <v>2883.7</v>
      </c>
      <c r="D121">
        <v>10787.19</v>
      </c>
      <c r="E121">
        <v>5974.98</v>
      </c>
      <c r="F121">
        <v>8636.24</v>
      </c>
      <c r="G121">
        <v>20908.61</v>
      </c>
    </row>
    <row r="122" spans="1:7" x14ac:dyDescent="0.2">
      <c r="A122">
        <v>12</v>
      </c>
      <c r="B122">
        <v>10612.27</v>
      </c>
      <c r="C122">
        <v>2779.17</v>
      </c>
      <c r="D122">
        <v>9917.16</v>
      </c>
      <c r="E122">
        <v>5941.21</v>
      </c>
      <c r="F122">
        <v>8636.24</v>
      </c>
      <c r="G122">
        <v>20903.669999999998</v>
      </c>
    </row>
    <row r="123" spans="1:7" x14ac:dyDescent="0.2">
      <c r="A123">
        <v>13</v>
      </c>
      <c r="B123">
        <v>10614.29</v>
      </c>
      <c r="C123">
        <v>2747.32</v>
      </c>
      <c r="D123">
        <v>8517.99</v>
      </c>
      <c r="E123">
        <v>5907.02</v>
      </c>
      <c r="F123">
        <v>8636.24</v>
      </c>
      <c r="G123">
        <v>20898.48</v>
      </c>
    </row>
    <row r="124" spans="1:7" x14ac:dyDescent="0.2">
      <c r="A124">
        <v>0</v>
      </c>
      <c r="B124" s="1">
        <v>12820.09</v>
      </c>
      <c r="C124" s="1">
        <v>10633.82</v>
      </c>
      <c r="D124" s="1">
        <v>17734.95</v>
      </c>
      <c r="E124" s="1">
        <v>10654.94</v>
      </c>
      <c r="F124" s="1">
        <v>13586.27</v>
      </c>
      <c r="G124" s="1">
        <v>17331.77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C6F383-81EA-8447-900B-65C29E0CCC88}">
  <dimension ref="A1:I33"/>
  <sheetViews>
    <sheetView tabSelected="1" topLeftCell="A2" workbookViewId="0">
      <selection activeCell="A30" sqref="A30"/>
    </sheetView>
  </sheetViews>
  <sheetFormatPr baseColWidth="10" defaultRowHeight="16" x14ac:dyDescent="0.2"/>
  <cols>
    <col min="1" max="1" width="19.6640625" customWidth="1"/>
    <col min="4" max="4" width="19.5" customWidth="1"/>
    <col min="8" max="8" width="17.6640625" customWidth="1"/>
    <col min="9" max="9" width="22.5" customWidth="1"/>
  </cols>
  <sheetData>
    <row r="1" spans="1:9" ht="19" x14ac:dyDescent="0.25">
      <c r="A1" t="s">
        <v>97</v>
      </c>
      <c r="B1" s="6" t="s">
        <v>94</v>
      </c>
      <c r="C1" s="6" t="s">
        <v>95</v>
      </c>
      <c r="D1" t="s">
        <v>60</v>
      </c>
      <c r="E1" t="s">
        <v>62</v>
      </c>
      <c r="F1" t="s">
        <v>61</v>
      </c>
      <c r="G1" t="s">
        <v>59</v>
      </c>
      <c r="H1" t="s">
        <v>60</v>
      </c>
      <c r="I1" t="s">
        <v>91</v>
      </c>
    </row>
    <row r="2" spans="1:9" x14ac:dyDescent="0.2">
      <c r="A2">
        <v>2013</v>
      </c>
      <c r="B2">
        <v>14628.7</v>
      </c>
      <c r="C2">
        <v>14574.91</v>
      </c>
      <c r="D2">
        <f>(B2-C2)/C2*100</f>
        <v>0.36905888269636572</v>
      </c>
      <c r="E2" t="s">
        <v>63</v>
      </c>
      <c r="F2">
        <v>6748.79</v>
      </c>
      <c r="G2">
        <v>2.38</v>
      </c>
      <c r="H2">
        <f>(F2-G2)/G2*100</f>
        <v>283462.60504201683</v>
      </c>
      <c r="I2" t="s">
        <v>65</v>
      </c>
    </row>
    <row r="3" spans="1:9" x14ac:dyDescent="0.2">
      <c r="A3">
        <v>2012</v>
      </c>
      <c r="B3">
        <v>15548.25</v>
      </c>
      <c r="C3">
        <v>15480.78</v>
      </c>
      <c r="D3">
        <f>(B3-C3)/C3*100</f>
        <v>0.43583075271400629</v>
      </c>
      <c r="E3" t="s">
        <v>63</v>
      </c>
      <c r="F3">
        <v>22228.35</v>
      </c>
      <c r="G3">
        <v>5265.89</v>
      </c>
      <c r="H3">
        <f>(F3-G3)/G3*100</f>
        <v>322.1195277531433</v>
      </c>
      <c r="I3" t="s">
        <v>64</v>
      </c>
    </row>
    <row r="4" spans="1:9" x14ac:dyDescent="0.2">
      <c r="A4">
        <v>2011</v>
      </c>
      <c r="B4">
        <v>15963.18</v>
      </c>
      <c r="C4">
        <v>15899.81</v>
      </c>
      <c r="D4">
        <f>(B4-C4)/C4*100</f>
        <v>0.39855822176491928</v>
      </c>
      <c r="E4" t="s">
        <v>63</v>
      </c>
      <c r="F4">
        <v>38928.699999999997</v>
      </c>
      <c r="G4">
        <v>38928.699999999997</v>
      </c>
      <c r="H4">
        <v>0</v>
      </c>
      <c r="I4" t="s">
        <v>66</v>
      </c>
    </row>
    <row r="5" spans="1:9" x14ac:dyDescent="0.2">
      <c r="E5" t="s">
        <v>63</v>
      </c>
      <c r="F5">
        <v>28384.41</v>
      </c>
      <c r="G5">
        <v>27819.73</v>
      </c>
      <c r="H5">
        <f>(F5-G5)/G5*100</f>
        <v>2.0297824601460914</v>
      </c>
      <c r="I5" t="s">
        <v>67</v>
      </c>
    </row>
    <row r="6" spans="1:9" ht="19" x14ac:dyDescent="0.25">
      <c r="A6" t="s">
        <v>98</v>
      </c>
      <c r="B6" s="6" t="s">
        <v>94</v>
      </c>
      <c r="C6" s="6" t="s">
        <v>95</v>
      </c>
      <c r="D6" t="s">
        <v>60</v>
      </c>
    </row>
    <row r="7" spans="1:9" x14ac:dyDescent="0.2">
      <c r="A7">
        <v>2013</v>
      </c>
      <c r="B7">
        <v>14783.5</v>
      </c>
      <c r="C7">
        <v>14772.22</v>
      </c>
      <c r="D7">
        <f>(B7-C7)/C7*100</f>
        <v>7.6359545146231611E-2</v>
      </c>
      <c r="F7" t="s">
        <v>61</v>
      </c>
      <c r="G7" t="s">
        <v>59</v>
      </c>
      <c r="H7" t="s">
        <v>60</v>
      </c>
      <c r="I7" t="s">
        <v>91</v>
      </c>
    </row>
    <row r="8" spans="1:9" x14ac:dyDescent="0.2">
      <c r="A8">
        <v>2012</v>
      </c>
      <c r="B8">
        <v>15725.05</v>
      </c>
      <c r="C8">
        <v>15711.93</v>
      </c>
      <c r="D8">
        <f>(B8-C8)/C8*100</f>
        <v>8.3503427013734019E-2</v>
      </c>
      <c r="E8" t="s">
        <v>68</v>
      </c>
      <c r="F8">
        <v>6401.57</v>
      </c>
      <c r="G8">
        <v>-3.21</v>
      </c>
      <c r="H8">
        <f>ABS((F8-G8)/G8*100)</f>
        <v>199525.85669781931</v>
      </c>
      <c r="I8" t="s">
        <v>69</v>
      </c>
    </row>
    <row r="9" spans="1:9" x14ac:dyDescent="0.2">
      <c r="A9">
        <v>2011</v>
      </c>
      <c r="B9">
        <v>16128.7</v>
      </c>
      <c r="C9">
        <v>16117.01</v>
      </c>
      <c r="D9">
        <f>(B9-C9)/C9*100</f>
        <v>7.2532063949830083E-2</v>
      </c>
      <c r="E9" t="s">
        <v>68</v>
      </c>
      <c r="F9">
        <v>47026.66</v>
      </c>
      <c r="G9">
        <v>34596.639999999999</v>
      </c>
      <c r="H9">
        <f>(F9-G9)/G9*100</f>
        <v>35.928402295714278</v>
      </c>
      <c r="I9" t="s">
        <v>70</v>
      </c>
    </row>
    <row r="10" spans="1:9" x14ac:dyDescent="0.2">
      <c r="E10" t="s">
        <v>68</v>
      </c>
      <c r="F10">
        <v>26134.55</v>
      </c>
      <c r="G10">
        <v>26134.55</v>
      </c>
      <c r="H10">
        <v>0</v>
      </c>
      <c r="I10" t="s">
        <v>71</v>
      </c>
    </row>
    <row r="11" spans="1:9" ht="19" x14ac:dyDescent="0.25">
      <c r="A11" t="s">
        <v>99</v>
      </c>
      <c r="B11" s="6" t="s">
        <v>94</v>
      </c>
      <c r="C11" s="6" t="s">
        <v>95</v>
      </c>
      <c r="D11" t="s">
        <v>60</v>
      </c>
      <c r="E11" t="s">
        <v>68</v>
      </c>
      <c r="F11">
        <v>11822.28</v>
      </c>
      <c r="G11">
        <v>11257.6</v>
      </c>
      <c r="H11">
        <f>(F11-G11)/G11*100</f>
        <v>5.0159891984081888</v>
      </c>
      <c r="I11" t="s">
        <v>72</v>
      </c>
    </row>
    <row r="12" spans="1:9" x14ac:dyDescent="0.2">
      <c r="A12">
        <v>2013</v>
      </c>
      <c r="B12">
        <v>14416.71</v>
      </c>
      <c r="C12">
        <v>14435.69</v>
      </c>
      <c r="D12">
        <f>(B12-C12)/C12*100</f>
        <v>-0.13147968680403488</v>
      </c>
    </row>
    <row r="13" spans="1:9" x14ac:dyDescent="0.2">
      <c r="A13">
        <v>2012</v>
      </c>
      <c r="B13">
        <v>15311.73</v>
      </c>
      <c r="C13">
        <v>15328.15</v>
      </c>
      <c r="D13">
        <f>(B13-C13)/C13*100</f>
        <v>-0.10712316881032657</v>
      </c>
      <c r="F13" t="s">
        <v>61</v>
      </c>
      <c r="G13" t="s">
        <v>59</v>
      </c>
      <c r="H13" t="s">
        <v>60</v>
      </c>
      <c r="I13" t="s">
        <v>91</v>
      </c>
    </row>
    <row r="14" spans="1:9" x14ac:dyDescent="0.2">
      <c r="A14">
        <v>2011</v>
      </c>
      <c r="B14">
        <v>15761.54</v>
      </c>
      <c r="C14">
        <v>15768.13</v>
      </c>
      <c r="D14">
        <f>(B14-C14)/C14*100</f>
        <v>-4.179316126895407E-2</v>
      </c>
      <c r="F14">
        <v>2312.08</v>
      </c>
      <c r="G14">
        <v>22.37</v>
      </c>
      <c r="H14">
        <f>(F14-G14)/G14*100</f>
        <v>10235.628073312471</v>
      </c>
      <c r="I14" t="s">
        <v>73</v>
      </c>
    </row>
    <row r="15" spans="1:9" x14ac:dyDescent="0.2">
      <c r="F15">
        <v>2141.67</v>
      </c>
      <c r="G15">
        <v>9.1300000000000008</v>
      </c>
      <c r="H15">
        <f>(F15-G15)/G15*100</f>
        <v>23357.502738225627</v>
      </c>
      <c r="I15" t="s">
        <v>74</v>
      </c>
    </row>
    <row r="16" spans="1:9" ht="19" x14ac:dyDescent="0.25">
      <c r="A16" t="s">
        <v>100</v>
      </c>
      <c r="B16" s="6" t="s">
        <v>94</v>
      </c>
      <c r="C16" s="6" t="s">
        <v>95</v>
      </c>
      <c r="D16" t="s">
        <v>60</v>
      </c>
      <c r="F16">
        <v>1444.79</v>
      </c>
      <c r="G16">
        <v>-5.8</v>
      </c>
      <c r="H16">
        <f>ABS((F16-G16)/G16*100)</f>
        <v>25010.172413793101</v>
      </c>
      <c r="I16" t="s">
        <v>75</v>
      </c>
    </row>
    <row r="17" spans="1:9" x14ac:dyDescent="0.2">
      <c r="A17">
        <v>2013</v>
      </c>
      <c r="B17">
        <v>14266.96</v>
      </c>
      <c r="C17">
        <v>14209.47</v>
      </c>
      <c r="D17">
        <f>(B17-C17)/C17*100</f>
        <v>0.40458933373306522</v>
      </c>
      <c r="F17">
        <v>749.16</v>
      </c>
      <c r="G17">
        <v>-15.51</v>
      </c>
      <c r="H17">
        <f>ABS((F17-G17)/G17*100)</f>
        <v>4930.1740812379112</v>
      </c>
      <c r="I17" t="s">
        <v>76</v>
      </c>
    </row>
    <row r="18" spans="1:9" x14ac:dyDescent="0.2">
      <c r="A18">
        <v>2012</v>
      </c>
      <c r="B18">
        <v>15105.25</v>
      </c>
      <c r="C18">
        <v>15155.03</v>
      </c>
      <c r="D18">
        <f>(B18-C18)/C18*100</f>
        <v>-0.32847180111158242</v>
      </c>
      <c r="F18">
        <v>337.57</v>
      </c>
      <c r="G18">
        <v>-14.96</v>
      </c>
      <c r="H18">
        <f>ABS((F18-G18)/G18*100)</f>
        <v>2356.4839572192514</v>
      </c>
      <c r="I18" t="s">
        <v>77</v>
      </c>
    </row>
    <row r="19" spans="1:9" x14ac:dyDescent="0.2">
      <c r="A19">
        <v>2011</v>
      </c>
      <c r="B19">
        <v>15599.87</v>
      </c>
      <c r="C19">
        <v>15658.4</v>
      </c>
      <c r="D19">
        <f>(B19-C19)/C19*100</f>
        <v>-0.37379298012567591</v>
      </c>
      <c r="F19">
        <v>1706.34</v>
      </c>
      <c r="G19">
        <v>3.65</v>
      </c>
      <c r="H19">
        <f>(F19-G19)/G19*100</f>
        <v>46649.04109589041</v>
      </c>
      <c r="I19" t="s">
        <v>78</v>
      </c>
    </row>
    <row r="20" spans="1:9" x14ac:dyDescent="0.2">
      <c r="F20">
        <v>3737.29</v>
      </c>
      <c r="G20">
        <v>43.285899999999998</v>
      </c>
      <c r="H20">
        <f>(F20-G20)/G20*100</f>
        <v>8533.9662569104494</v>
      </c>
      <c r="I20" t="s">
        <v>79</v>
      </c>
    </row>
    <row r="21" spans="1:9" ht="19" x14ac:dyDescent="0.25">
      <c r="A21" t="s">
        <v>101</v>
      </c>
      <c r="B21" s="6" t="s">
        <v>94</v>
      </c>
      <c r="C21" s="6" t="s">
        <v>95</v>
      </c>
      <c r="D21" t="s">
        <v>60</v>
      </c>
      <c r="F21">
        <v>5894.21</v>
      </c>
      <c r="G21">
        <v>100.8</v>
      </c>
      <c r="H21">
        <f>(F21-G21)/G21*100</f>
        <v>5747.4305555555557</v>
      </c>
      <c r="I21" t="s">
        <v>80</v>
      </c>
    </row>
    <row r="22" spans="1:9" x14ac:dyDescent="0.2">
      <c r="A22">
        <v>2013</v>
      </c>
      <c r="B22">
        <v>14285.36</v>
      </c>
      <c r="C22">
        <v>14384.39</v>
      </c>
      <c r="D22">
        <f>(B22-C22)/C22*100</f>
        <v>-0.6884546372838809</v>
      </c>
      <c r="F22">
        <v>10654.01</v>
      </c>
      <c r="G22">
        <v>5125.3100000000004</v>
      </c>
      <c r="H22">
        <f>(F22-G22)/G22*100</f>
        <v>107.87054831805294</v>
      </c>
      <c r="I22" t="s">
        <v>81</v>
      </c>
    </row>
    <row r="23" spans="1:9" x14ac:dyDescent="0.2">
      <c r="A23">
        <v>2012</v>
      </c>
      <c r="B23">
        <v>15146.66</v>
      </c>
      <c r="C23">
        <v>15265.08</v>
      </c>
      <c r="D23">
        <f>(B23-C23)/C23*100</f>
        <v>-0.77575748047177007</v>
      </c>
      <c r="F23">
        <v>18821.22</v>
      </c>
      <c r="G23">
        <v>18821.22</v>
      </c>
      <c r="H23">
        <f>(F23-G23)/G23*100</f>
        <v>0</v>
      </c>
      <c r="I23" t="s">
        <v>82</v>
      </c>
    </row>
    <row r="24" spans="1:9" x14ac:dyDescent="0.2">
      <c r="A24">
        <v>2011</v>
      </c>
      <c r="B24">
        <v>15626.79</v>
      </c>
      <c r="C24">
        <v>15698.39</v>
      </c>
      <c r="D24">
        <f>(B24-C24)/C24*100</f>
        <v>-0.45609772721915143</v>
      </c>
      <c r="F24">
        <v>9289.34</v>
      </c>
      <c r="G24">
        <v>9289.34</v>
      </c>
      <c r="H24">
        <v>0</v>
      </c>
      <c r="I24" t="s">
        <v>90</v>
      </c>
    </row>
    <row r="25" spans="1:9" x14ac:dyDescent="0.2">
      <c r="F25">
        <v>4495.1400000000003</v>
      </c>
      <c r="G25">
        <v>4495.1400000000003</v>
      </c>
      <c r="H25">
        <v>0</v>
      </c>
      <c r="I25" t="s">
        <v>83</v>
      </c>
    </row>
    <row r="26" spans="1:9" x14ac:dyDescent="0.2">
      <c r="A26" t="s">
        <v>102</v>
      </c>
      <c r="B26" t="s">
        <v>94</v>
      </c>
      <c r="C26" t="s">
        <v>96</v>
      </c>
      <c r="D26" t="s">
        <v>60</v>
      </c>
      <c r="F26">
        <v>4003.99</v>
      </c>
      <c r="G26">
        <v>4003.99</v>
      </c>
      <c r="H26">
        <v>0</v>
      </c>
      <c r="I26" t="s">
        <v>84</v>
      </c>
    </row>
    <row r="27" spans="1:9" x14ac:dyDescent="0.2">
      <c r="A27">
        <v>2013</v>
      </c>
      <c r="B27">
        <v>13768.34</v>
      </c>
      <c r="C27">
        <v>13858.8</v>
      </c>
      <c r="D27">
        <f>(B27-C27)/C27*100</f>
        <v>-0.65272606574883196</v>
      </c>
      <c r="F27">
        <v>4895.07</v>
      </c>
      <c r="G27">
        <v>4895.07</v>
      </c>
      <c r="H27">
        <v>0</v>
      </c>
      <c r="I27" t="s">
        <v>85</v>
      </c>
    </row>
    <row r="28" spans="1:9" x14ac:dyDescent="0.2">
      <c r="A28">
        <v>2012</v>
      </c>
      <c r="B28">
        <v>14535.08</v>
      </c>
      <c r="C28">
        <v>14662.95</v>
      </c>
      <c r="D28">
        <f>(B28-C28)/C28*100</f>
        <v>-0.87206189750357743</v>
      </c>
      <c r="F28">
        <v>7794.98</v>
      </c>
      <c r="G28">
        <v>7794.98</v>
      </c>
      <c r="H28">
        <v>0</v>
      </c>
      <c r="I28" t="s">
        <v>86</v>
      </c>
    </row>
    <row r="29" spans="1:9" x14ac:dyDescent="0.2">
      <c r="A29">
        <v>2011</v>
      </c>
      <c r="B29">
        <v>15085.4</v>
      </c>
      <c r="C29">
        <v>15170.89</v>
      </c>
      <c r="D29">
        <f>(B29-C29)/C29*100</f>
        <v>-0.56351341285844003</v>
      </c>
      <c r="F29">
        <v>8066.53</v>
      </c>
      <c r="G29">
        <v>8066.53</v>
      </c>
      <c r="H29">
        <v>0</v>
      </c>
      <c r="I29" t="s">
        <v>87</v>
      </c>
    </row>
    <row r="30" spans="1:9" x14ac:dyDescent="0.2">
      <c r="F30">
        <v>6204.74</v>
      </c>
      <c r="G30">
        <v>6204.74</v>
      </c>
      <c r="H30">
        <v>0</v>
      </c>
      <c r="I30" t="s">
        <v>88</v>
      </c>
    </row>
    <row r="31" spans="1:9" x14ac:dyDescent="0.2">
      <c r="F31">
        <v>3742.1</v>
      </c>
      <c r="G31">
        <v>3177.42</v>
      </c>
      <c r="H31">
        <f>(F31-G31)/G31*100</f>
        <v>17.77165121387792</v>
      </c>
      <c r="I31" t="s">
        <v>89</v>
      </c>
    </row>
    <row r="32" spans="1:9" x14ac:dyDescent="0.2">
      <c r="F32" t="s">
        <v>92</v>
      </c>
      <c r="G32" t="s">
        <v>92</v>
      </c>
      <c r="H32" t="s">
        <v>93</v>
      </c>
    </row>
    <row r="33" spans="6:8" x14ac:dyDescent="0.2">
      <c r="F33">
        <f>SUM(F14:F31)</f>
        <v>96290.23000000001</v>
      </c>
      <c r="G33">
        <f>SUM(G14:G31)</f>
        <v>72016.705900000001</v>
      </c>
      <c r="H33">
        <f>(F33-G33)/G33*100</f>
        <v>33.70540737270796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VI vs no-VI Analysis</vt:lpstr>
      <vt:lpstr>height change analysis</vt:lpstr>
      <vt:lpstr>Buildings by building footprnt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2022-07-18T18:25:13Z</dcterms:created>
  <dcterms:modified xsi:type="dcterms:W3CDTF">2022-08-04T20:46:09Z</dcterms:modified>
</cp:coreProperties>
</file>