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codeName="ThisWorkbook" autoCompressPictures="0"/>
  <mc:AlternateContent xmlns:mc="http://schemas.openxmlformats.org/markup-compatibility/2006">
    <mc:Choice Requires="x15">
      <x15ac:absPath xmlns:x15ac="http://schemas.microsoft.com/office/spreadsheetml/2010/11/ac" url="https://d.docs.live.net/c1ea4d12e57bc814/Moore Stephens/01-Missions/33-EITI Mianmar/2015-2016/Reporting/SIGNED VERSIONS 290318/"/>
    </mc:Choice>
  </mc:AlternateContent>
  <xr:revisionPtr revIDLastSave="81" documentId="12_ncr:500000_{C88B9AA9-1BBA-4A54-B4A9-8068428FB5B9}" xr6:coauthVersionLast="31" xr6:coauthVersionMax="31" xr10:uidLastSave="{522166A4-1985-4393-9F8A-31C4298B3846}"/>
  <bookViews>
    <workbookView xWindow="0" yWindow="0" windowWidth="20490" windowHeight="7545" tabRatio="500" activeTab="3" xr2:uid="{00000000-000D-0000-FFFF-FFFF00000000}"/>
  </bookViews>
  <sheets>
    <sheet name="Introduction" sheetId="6" r:id="rId1"/>
    <sheet name="1. About" sheetId="2" r:id="rId2"/>
    <sheet name="2. Contextual" sheetId="3" r:id="rId3"/>
    <sheet name="3. Revenues" sheetId="10" r:id="rId4"/>
    <sheet name="Revenues - example Norway" sheetId="9" state="hidden" r:id="rId5"/>
    <sheet name="Changelog" sheetId="11" state="hidden" r:id="rId6"/>
  </sheets>
  <calcPr calcId="179017"/>
</workbook>
</file>

<file path=xl/calcChain.xml><?xml version="1.0" encoding="utf-8"?>
<calcChain xmlns="http://schemas.openxmlformats.org/spreadsheetml/2006/main">
  <c r="D81" i="10" l="1"/>
  <c r="D82" i="10" s="1"/>
  <c r="D80" i="10"/>
  <c r="H57" i="10" l="1"/>
  <c r="H56" i="10"/>
  <c r="H55" i="10"/>
  <c r="H54" i="10"/>
  <c r="H17" i="10"/>
  <c r="H16" i="10"/>
  <c r="H15" i="10"/>
  <c r="G57" i="10" l="1"/>
  <c r="G66" i="10"/>
  <c r="G48" i="10"/>
  <c r="DN10" i="10"/>
  <c r="DI59" i="10"/>
  <c r="DI10" i="10" s="1"/>
  <c r="DH59" i="10"/>
  <c r="DE59" i="10"/>
  <c r="DE10" i="10" s="1"/>
  <c r="CZ59" i="10"/>
  <c r="CZ10" i="10" s="1"/>
  <c r="CW59" i="10"/>
  <c r="CV59" i="10"/>
  <c r="CU59" i="10"/>
  <c r="CU10" i="10" s="1"/>
  <c r="CP59" i="10"/>
  <c r="CP10" i="10" s="1"/>
  <c r="CO59" i="10"/>
  <c r="DM10" i="10"/>
  <c r="DL10" i="10"/>
  <c r="DK10" i="10"/>
  <c r="DJ10" i="10"/>
  <c r="DH10" i="10"/>
  <c r="DG10" i="10"/>
  <c r="DF10" i="10"/>
  <c r="DD10" i="10"/>
  <c r="DC10" i="10"/>
  <c r="DB10" i="10"/>
  <c r="DA10" i="10"/>
  <c r="CY10" i="10"/>
  <c r="CX10" i="10"/>
  <c r="CW10" i="10"/>
  <c r="CV10" i="10"/>
  <c r="CT10" i="10"/>
  <c r="CS10" i="10"/>
  <c r="CR10" i="10"/>
  <c r="CQ10" i="10"/>
  <c r="G17" i="10"/>
  <c r="G13" i="10"/>
  <c r="G16" i="10"/>
  <c r="G31" i="10"/>
  <c r="G59" i="10"/>
  <c r="G46" i="10"/>
  <c r="G51" i="10"/>
  <c r="G70" i="10"/>
  <c r="H48" i="10"/>
  <c r="G30" i="10"/>
  <c r="CL46" i="10" l="1"/>
  <c r="CH46" i="10"/>
  <c r="CG46" i="10"/>
  <c r="CC46" i="10" l="1"/>
  <c r="CB46" i="10"/>
  <c r="CA46" i="10"/>
  <c r="CA10" i="10" s="1"/>
  <c r="BY46" i="10"/>
  <c r="BX46" i="10"/>
  <c r="BW46" i="10"/>
  <c r="BV46" i="10"/>
  <c r="CO10" i="10"/>
  <c r="CN10" i="10"/>
  <c r="CM10" i="10"/>
  <c r="CL10" i="10"/>
  <c r="CK10" i="10"/>
  <c r="CJ10" i="10"/>
  <c r="CI10" i="10"/>
  <c r="CH10" i="10"/>
  <c r="CG10" i="10"/>
  <c r="CF10" i="10"/>
  <c r="CE10" i="10"/>
  <c r="CD10" i="10"/>
  <c r="CC10" i="10"/>
  <c r="CB10" i="10"/>
  <c r="BZ10" i="10"/>
  <c r="BY10" i="10"/>
  <c r="BX10" i="10"/>
  <c r="BW10" i="10"/>
  <c r="BV10" i="10"/>
  <c r="BT10" i="10"/>
  <c r="BT46" i="10"/>
  <c r="BO46" i="10"/>
  <c r="BM46" i="10"/>
  <c r="BM10" i="10" s="1"/>
  <c r="BL46" i="10"/>
  <c r="BL10" i="10" s="1"/>
  <c r="BI46" i="10"/>
  <c r="BH46" i="10"/>
  <c r="BG46" i="10"/>
  <c r="BF46" i="10"/>
  <c r="BF10" i="10" s="1"/>
  <c r="BE46" i="10"/>
  <c r="BD46" i="10"/>
  <c r="BD10" i="10" s="1"/>
  <c r="BC46" i="10"/>
  <c r="BC10" i="10" s="1"/>
  <c r="AZ46" i="10"/>
  <c r="AZ10" i="10" s="1"/>
  <c r="AX13" i="10"/>
  <c r="AW13" i="10"/>
  <c r="AW10" i="10" s="1"/>
  <c r="AX46" i="10"/>
  <c r="AX10" i="10" s="1"/>
  <c r="AR46" i="10"/>
  <c r="AR10" i="10" s="1"/>
  <c r="AQ46" i="10"/>
  <c r="AP46" i="10"/>
  <c r="AP10" i="10" s="1"/>
  <c r="AO46" i="10"/>
  <c r="AN46" i="10"/>
  <c r="AN10" i="10" s="1"/>
  <c r="AM46" i="10"/>
  <c r="AL46" i="10"/>
  <c r="AI46" i="10"/>
  <c r="AH46" i="10"/>
  <c r="AH10" i="10" s="1"/>
  <c r="AG46" i="10"/>
  <c r="AF46" i="10"/>
  <c r="AF10" i="10" s="1"/>
  <c r="AE46" i="10"/>
  <c r="AE10" i="10" s="1"/>
  <c r="AC46" i="10"/>
  <c r="AC10" i="10" s="1"/>
  <c r="AB46" i="10"/>
  <c r="Z46" i="10"/>
  <c r="BU10" i="10"/>
  <c r="BS10" i="10"/>
  <c r="BR10" i="10"/>
  <c r="BQ10" i="10"/>
  <c r="BP10" i="10"/>
  <c r="BO10" i="10"/>
  <c r="BN10" i="10"/>
  <c r="BK10" i="10"/>
  <c r="BJ10" i="10"/>
  <c r="BI10" i="10"/>
  <c r="BH10" i="10"/>
  <c r="BG10" i="10"/>
  <c r="BE10" i="10"/>
  <c r="BB10" i="10"/>
  <c r="BA10" i="10"/>
  <c r="AY10" i="10"/>
  <c r="AV10" i="10"/>
  <c r="AU10" i="10"/>
  <c r="AT10" i="10"/>
  <c r="AS10" i="10"/>
  <c r="AQ10" i="10"/>
  <c r="AO10" i="10"/>
  <c r="AM10" i="10"/>
  <c r="AL10" i="10"/>
  <c r="AK10" i="10"/>
  <c r="AJ10" i="10"/>
  <c r="AI10" i="10"/>
  <c r="AG10" i="10"/>
  <c r="AD10" i="10"/>
  <c r="AB10" i="10"/>
  <c r="AA10" i="10"/>
  <c r="Z10" i="10"/>
  <c r="Y46" i="10"/>
  <c r="Y10" i="10" s="1"/>
  <c r="X46" i="10"/>
  <c r="G15" i="10"/>
  <c r="G65" i="10"/>
  <c r="G64" i="10"/>
  <c r="G63" i="10"/>
  <c r="G62" i="10"/>
  <c r="G56" i="10"/>
  <c r="H70" i="10"/>
  <c r="H65" i="10"/>
  <c r="H64" i="10"/>
  <c r="H63" i="10"/>
  <c r="X10" i="10" l="1"/>
  <c r="W10" i="10"/>
  <c r="V10" i="10"/>
  <c r="U10" i="10"/>
  <c r="T10" i="10"/>
  <c r="S10" i="10"/>
  <c r="R10" i="10"/>
  <c r="Q10" i="10"/>
  <c r="P10" i="10"/>
  <c r="O10" i="10"/>
  <c r="N10" i="10"/>
  <c r="H53" i="10"/>
  <c r="H52" i="10" l="1"/>
  <c r="H31" i="10"/>
  <c r="H23" i="10"/>
  <c r="D126" i="3" l="1"/>
  <c r="D127" i="3"/>
  <c r="D136" i="3" l="1"/>
  <c r="D132" i="3"/>
  <c r="D128" i="3"/>
  <c r="D106" i="3"/>
  <c r="D105" i="3"/>
  <c r="D102" i="3"/>
  <c r="D19" i="3"/>
  <c r="D20" i="3"/>
  <c r="D18" i="3"/>
  <c r="D17" i="3"/>
  <c r="D14" i="3"/>
  <c r="D13" i="3"/>
  <c r="G75" i="10" l="1"/>
  <c r="C124" i="10" l="1"/>
  <c r="C123" i="10"/>
  <c r="M10" i="10" l="1"/>
  <c r="L10" i="10"/>
  <c r="K10" i="10"/>
  <c r="J10" i="10"/>
  <c r="H10" i="9"/>
  <c r="H11" i="9"/>
  <c r="H56" i="9" s="1"/>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G56" i="9"/>
  <c r="H19" i="10"/>
  <c r="H20" i="10"/>
  <c r="H22" i="10"/>
  <c r="H24" i="10"/>
  <c r="H27" i="10"/>
  <c r="H28" i="10"/>
  <c r="H26" i="10"/>
  <c r="H30" i="10"/>
  <c r="H32" i="10"/>
  <c r="H33" i="10"/>
  <c r="H37" i="10"/>
  <c r="H42" i="10"/>
  <c r="H43" i="10"/>
  <c r="H44" i="10"/>
  <c r="H47" i="10"/>
  <c r="H50" i="10"/>
  <c r="H58" i="10"/>
  <c r="H59" i="10"/>
  <c r="H61" i="10"/>
  <c r="H62" i="10"/>
  <c r="H67" i="10"/>
  <c r="H68" i="10"/>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N9" i="9"/>
  <c r="M9" i="9"/>
  <c r="L9" i="9"/>
  <c r="K9" i="9"/>
  <c r="J9" i="9"/>
  <c r="I9" i="9"/>
  <c r="H13" i="10"/>
  <c r="H46" i="10"/>
  <c r="I10" i="10"/>
  <c r="H51" i="10"/>
  <c r="H75" i="10" l="1"/>
</calcChain>
</file>

<file path=xl/sharedStrings.xml><?xml version="1.0" encoding="utf-8"?>
<sst xmlns="http://schemas.openxmlformats.org/spreadsheetml/2006/main" count="1363" uniqueCount="616">
  <si>
    <t>Other revenue</t>
  </si>
  <si>
    <t>Commodities</t>
  </si>
  <si>
    <t>4Sea Energy AS</t>
  </si>
  <si>
    <t>A/S Norske Shell</t>
  </si>
  <si>
    <t>Bayerngas Norge AS</t>
  </si>
  <si>
    <t>not included</t>
  </si>
  <si>
    <t>not applicable</t>
  </si>
  <si>
    <t>included</t>
  </si>
  <si>
    <t>State Direct Financial Investment (Petoro)</t>
  </si>
  <si>
    <t>Dividend from ownership of Statoil</t>
  </si>
  <si>
    <t>Oil/gas</t>
  </si>
  <si>
    <t>Name of revenue stream in country</t>
  </si>
  <si>
    <t>Bayerngas Produksjon Norge AS</t>
  </si>
  <si>
    <t>BG Norge AS</t>
  </si>
  <si>
    <t>BP Norge AS</t>
  </si>
  <si>
    <t>Brigde Energy Norge AS</t>
  </si>
  <si>
    <t>Capricorn Norge AS</t>
  </si>
  <si>
    <t>Centrica Energi NUF</t>
  </si>
  <si>
    <t>Chevron Norge AS</t>
  </si>
  <si>
    <t>Concedo ASA</t>
  </si>
  <si>
    <t>ConocoPhillips Skandinavia AS</t>
  </si>
  <si>
    <t>Core Energy AS</t>
  </si>
  <si>
    <t>Dana Petroleum Norway AS2)</t>
  </si>
  <si>
    <t>Det Norske Oljeselskap ASA</t>
  </si>
  <si>
    <t>DONG E&amp;P Norge AS</t>
  </si>
  <si>
    <t>E&amp;P Holding AS</t>
  </si>
  <si>
    <t>E.ON E&amp;P Norge AS</t>
  </si>
  <si>
    <t>Edison International Norway Branch NUF</t>
  </si>
  <si>
    <t>Eni Norge AS</t>
  </si>
  <si>
    <t>EnQuest Norge AS</t>
  </si>
  <si>
    <t>Enterprise Oil Norge AS</t>
  </si>
  <si>
    <t>Explora Petroleum AS</t>
  </si>
  <si>
    <t>ExxonMobil Expl. and Prod. Norway AS2)</t>
  </si>
  <si>
    <t>Faroe Petroleum Norge AS</t>
  </si>
  <si>
    <t>Fortis Petroleum Norway AS</t>
  </si>
  <si>
    <t>Front Exploration AS</t>
  </si>
  <si>
    <t>GDF SUEZ E&amp;P Norge AS</t>
  </si>
  <si>
    <t>Hess Norge AS</t>
  </si>
  <si>
    <t>Idemitsu Petroleum Norge AS</t>
  </si>
  <si>
    <t>Infragas Norge AS</t>
  </si>
  <si>
    <t>Lotos Expl. and Prod.  Norge AS</t>
  </si>
  <si>
    <t>Lukoil Oil Company</t>
  </si>
  <si>
    <t>Lundin Norway AS</t>
  </si>
  <si>
    <t>Maersk Oil Norway AS</t>
  </si>
  <si>
    <t>Marathon Oil Norge AS</t>
  </si>
  <si>
    <t>Nexen Exploration Norge AS</t>
  </si>
  <si>
    <t>Njord Gas Infrastructure AS</t>
  </si>
  <si>
    <t>Noreco Norway AS</t>
  </si>
  <si>
    <t>Norpipe Oil AS</t>
  </si>
  <si>
    <t>Norsea Gas AS</t>
  </si>
  <si>
    <t>Norske AEDC AS</t>
  </si>
  <si>
    <t>North Energy ASA</t>
  </si>
  <si>
    <t>Norwegian Energy Company ASA</t>
  </si>
  <si>
    <t>OMV(Norge) AS</t>
  </si>
  <si>
    <t>Petoro AS</t>
  </si>
  <si>
    <t>Petrolia Norway AS</t>
  </si>
  <si>
    <t>PGNiG Norway AS</t>
  </si>
  <si>
    <t>Premier Oil Norge AS</t>
  </si>
  <si>
    <t>Repsol Exploración SA</t>
  </si>
  <si>
    <t>Repsol Exploration Norge AS</t>
  </si>
  <si>
    <t xml:space="preserve">RN Nordic Oil AS  </t>
  </si>
  <si>
    <t>Rocksource ASA</t>
  </si>
  <si>
    <t>RWE-DEA Norge AS</t>
  </si>
  <si>
    <t>Silex Gas Norway AS</t>
  </si>
  <si>
    <t>Skagen 44 AS</t>
  </si>
  <si>
    <t>Skeie Energy AS</t>
  </si>
  <si>
    <t>Solveig Gas Norway AS</t>
  </si>
  <si>
    <t>Statoil ASA</t>
  </si>
  <si>
    <t>Stratum Energy AS</t>
  </si>
  <si>
    <t>Suncor Energy Norge AS</t>
  </si>
  <si>
    <t>Svenska Petroleum Exploration AS</t>
  </si>
  <si>
    <t>Talisman Energy Norge AS</t>
  </si>
  <si>
    <t>Total E &amp; P Norge AS</t>
  </si>
  <si>
    <t>Tullow Oil (Bream) Norge AS</t>
  </si>
  <si>
    <t>Tullow Oil Norge AS</t>
  </si>
  <si>
    <t>Valiant Petroleum Norge AS</t>
  </si>
  <si>
    <t>VNG Norge AS</t>
  </si>
  <si>
    <t>Wintershall Norge AS</t>
  </si>
  <si>
    <t>Subtotals</t>
  </si>
  <si>
    <t>Legal name</t>
  </si>
  <si>
    <t>Identification #</t>
  </si>
  <si>
    <t>Start Date</t>
  </si>
  <si>
    <t>End Date</t>
  </si>
  <si>
    <t>Oil</t>
  </si>
  <si>
    <t>Gas</t>
  </si>
  <si>
    <t>Mining</t>
  </si>
  <si>
    <t>Other</t>
  </si>
  <si>
    <t>&lt;URL&gt;</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</si>
  <si>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</si>
  <si>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</si>
  <si>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</si>
  <si>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</si>
  <si>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</si>
  <si>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</si>
  <si>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</si>
  <si>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</si>
  <si>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</si>
  <si>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 xml:space="preserve">   Part 2 addresses availability of contextual data, in line with requirements 3 and 4</t>
  </si>
  <si>
    <t>Fields marked in orange are required.</t>
  </si>
  <si>
    <t>Fields marked in yellow are optional.</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</si>
  <si>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</si>
  <si>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</si>
  <si>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</si>
  <si>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</si>
  <si>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</si>
  <si>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</si>
  <si>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</si>
  <si>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</si>
  <si>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</si>
  <si>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</si>
  <si>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</si>
  <si>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</si>
  <si>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Norges Bank</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</si>
  <si>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</si>
  <si>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</si>
  <si>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</si>
  <si>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</si>
  <si>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</si>
  <si>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</si>
  <si>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</si>
  <si>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</si>
  <si>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</si>
  <si>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</si>
  <si>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</si>
  <si>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</si>
  <si>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</si>
  <si>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</si>
  <si>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</si>
  <si>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</si>
  <si>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</si>
  <si>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</si>
  <si>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</si>
  <si>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</si>
  <si>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</si>
  <si>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</si>
  <si>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</si>
  <si>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</si>
  <si>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</si>
  <si>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</si>
  <si>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</si>
  <si>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</si>
  <si>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</si>
  <si>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</si>
  <si>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</si>
  <si>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</si>
  <si>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</si>
  <si>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</si>
  <si>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</si>
  <si>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</si>
  <si>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</si>
  <si>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</si>
  <si>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</si>
  <si>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</si>
  <si>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</si>
  <si>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</si>
  <si>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</si>
  <si>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</si>
  <si>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</si>
  <si>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</si>
  <si>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</si>
  <si>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</si>
  <si>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</si>
  <si>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</si>
  <si>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</si>
  <si>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</si>
  <si>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</si>
  <si>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</si>
  <si>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</si>
  <si>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</si>
  <si>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</si>
  <si>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</si>
  <si>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</si>
  <si>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</si>
  <si>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</si>
  <si>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</si>
  <si>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</si>
  <si>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</si>
  <si>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</si>
  <si>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</si>
  <si>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</si>
  <si>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</si>
  <si>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</si>
  <si>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</si>
  <si>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</si>
  <si>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</si>
  <si>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</si>
  <si>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</si>
  <si>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</si>
  <si>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</si>
  <si>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</si>
  <si>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</si>
  <si>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</si>
  <si>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</si>
  <si>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</si>
  <si>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</si>
  <si>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</si>
  <si>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</si>
  <si>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</si>
  <si>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</si>
  <si>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</si>
  <si>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</si>
  <si>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</si>
  <si>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</si>
  <si>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</si>
  <si>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Figures for payments broken down by ordinary tax and special tax are not available. Therefore figures under Special Tax include also CIT.</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</si>
  <si>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</si>
  <si>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</si>
  <si>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Record figures as reported by government, corrected after reconcilation.</t>
  </si>
  <si>
    <t>About</t>
  </si>
  <si>
    <t xml:space="preserve">   Part 1 covers the basic characteristics about the report</t>
  </si>
  <si>
    <t>Template for Summary Data from the EITI Report</t>
  </si>
  <si>
    <t>Registry 2</t>
  </si>
  <si>
    <t>ISO currency code</t>
  </si>
  <si>
    <t>Publicly available registry of contracts</t>
  </si>
  <si>
    <t>Add/remove rows as necessary, per registry</t>
  </si>
  <si>
    <t>Example: Norway's 2012 EITI Report.</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</si>
  <si>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</si>
  <si>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</si>
  <si>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</si>
  <si>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</si>
  <si>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</si>
  <si>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</si>
  <si>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</si>
  <si>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</si>
  <si>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</si>
  <si>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</si>
  <si>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</si>
  <si>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</si>
  <si>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</si>
  <si>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</si>
  <si>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</si>
  <si>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Does the report address the issue?</t>
  </si>
  <si>
    <t>Does the report address social expenditures?</t>
  </si>
  <si>
    <t>Total volume sold? (indicate unit, add rows as needed)</t>
  </si>
  <si>
    <t>Total revenue received?</t>
  </si>
  <si>
    <t>If yes, what was the total revenue received?</t>
  </si>
  <si>
    <t>Does the report address transportation revenues?</t>
  </si>
  <si>
    <t>Does the report address sub-national payments?</t>
  </si>
  <si>
    <t>Does the report address sub-national transfers?</t>
  </si>
  <si>
    <t>Name of receiving government agency</t>
  </si>
  <si>
    <t>Oljeskattekontoret (Petroleum Tax Office)</t>
  </si>
  <si>
    <t>Oljedirektoratet (Norwegian Petroluem Directorate)</t>
  </si>
  <si>
    <t>Toll- og avgiftsdirektoratet (Directorate of Customs and Excise)</t>
  </si>
  <si>
    <t>NOX avgift (NOX Fee)</t>
  </si>
  <si>
    <t>CO2 avgift (CO2 Fee)</t>
  </si>
  <si>
    <t>Arealavgift (Area Fee)</t>
  </si>
  <si>
    <t>TOTAL, reconciled</t>
  </si>
  <si>
    <t>Revenue, as disclosed by government</t>
  </si>
  <si>
    <t xml:space="preserve">TOTAL, disclosed by government </t>
  </si>
  <si>
    <t>Norway is a special case in that payments from all companies are reconciled down to zero. In most countries, the figures provided in section (B) and the sub-total in (D) will differ.</t>
  </si>
  <si>
    <t>Currency unit</t>
  </si>
  <si>
    <t>D. Reconciled revenue streams per company</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</si>
  <si>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</si>
  <si>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</si>
  <si>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</si>
  <si>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</si>
  <si>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</si>
  <si>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</si>
  <si>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</si>
  <si>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</si>
  <si>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</si>
  <si>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</si>
  <si>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</si>
  <si>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</si>
  <si>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B. Revenue streams (including revenues from extractive industries outside reconciliation)</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</si>
  <si>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</si>
  <si>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</si>
  <si>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</si>
  <si>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</si>
  <si>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</si>
  <si>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</si>
  <si>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</si>
  <si>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&lt;Choose option&gt;</t>
  </si>
  <si>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</si>
  <si>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</si>
  <si>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</si>
  <si>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</si>
  <si>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</si>
  <si>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</si>
  <si>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</si>
  <si>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</si>
  <si>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</si>
  <si>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</si>
  <si>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</si>
  <si>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1415E3</t>
  </si>
  <si>
    <t>Sector</t>
  </si>
  <si>
    <t>Oil &amp; Gas</t>
  </si>
  <si>
    <t>Gold</t>
  </si>
  <si>
    <t>1000 NOK</t>
  </si>
  <si>
    <t>Conversion rate utilised.  USD 1 =</t>
  </si>
  <si>
    <t>GFS codes</t>
  </si>
  <si>
    <t>GFS Descriptions</t>
  </si>
  <si>
    <t>data@eiti.org.</t>
  </si>
  <si>
    <t>Selskapsskatt</t>
  </si>
  <si>
    <t>Særskatt (Special Tax)</t>
  </si>
  <si>
    <t>Disaggregation of Data</t>
  </si>
  <si>
    <t>Oil, value</t>
  </si>
  <si>
    <t>Gas, value</t>
  </si>
  <si>
    <t>Tonnes</t>
  </si>
  <si>
    <t>Included and reconciled</t>
  </si>
  <si>
    <t>Included not reconciled</t>
  </si>
  <si>
    <r>
      <t xml:space="preserve">Record figures as </t>
    </r>
    <r>
      <rPr>
        <b/>
        <i/>
        <sz val="10"/>
        <color theme="1"/>
        <rFont val="Calibri"/>
        <family val="2"/>
        <scheme val="minor"/>
      </rPr>
      <t>reported by government</t>
    </r>
    <r>
      <rPr>
        <i/>
        <sz val="10"/>
        <color theme="1"/>
        <rFont val="Calibri"/>
        <family val="2"/>
        <scheme val="minor"/>
      </rPr>
      <t>, corrected after reconcilation.</t>
    </r>
  </si>
  <si>
    <t>Link to open data policy</t>
  </si>
  <si>
    <t>Public register of licences, oil</t>
  </si>
  <si>
    <t>Public register of licences, mining</t>
  </si>
  <si>
    <t>Company identifier name/source</t>
  </si>
  <si>
    <t>Please include any additional information you wish to highlight regarding revenue data here.</t>
  </si>
  <si>
    <t>[1]</t>
  </si>
  <si>
    <t>Contribution of extractive industries to economy (3.4)</t>
  </si>
  <si>
    <t>Production volume and value (3.5.a)</t>
  </si>
  <si>
    <t>Export volume and value (3.5.b)</t>
  </si>
  <si>
    <t>Distribution of revenues from extractive industries (3.7.a)</t>
  </si>
  <si>
    <t>Register of licences (3.9)</t>
  </si>
  <si>
    <t>Allocation of licences (3.10)</t>
  </si>
  <si>
    <t>Beneficial ownership (3.11)</t>
  </si>
  <si>
    <t>Contracts (3.12)</t>
  </si>
  <si>
    <t>Sale of the state’s share of production or other sales collected in-kind (4.1.c)</t>
  </si>
  <si>
    <t>Infrastructure provisions and barter arrangements (4.1.d)?</t>
  </si>
  <si>
    <t>Social expenditures (4.1.e)</t>
  </si>
  <si>
    <t>Transportation revenues (4.1.f)</t>
  </si>
  <si>
    <t>Sub-national payments (4.2.d)?</t>
  </si>
  <si>
    <t>Sub-national transfers (4.2.e)?</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</si>
  <si>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</si>
  <si>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</si>
  <si>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</si>
  <si>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t xml:space="preserve">   Part 3 covers data on government revenues per revenue stream and company. An example of this part using Norway's 2012 EITI Report is available in a final worksheet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</si>
  <si>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</si>
  <si>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Myanmar</t>
  </si>
  <si>
    <t>Moorstephens LLP</t>
  </si>
  <si>
    <t>Yes</t>
  </si>
  <si>
    <t>Oil &amp; Gas transportation
Pearls</t>
  </si>
  <si>
    <t>http://myanmareiti.org/my/other-reports</t>
  </si>
  <si>
    <t>MMK (Myanmar Kyat)</t>
  </si>
  <si>
    <t>US$ 1 = MMK 995.26</t>
  </si>
  <si>
    <t>No</t>
  </si>
  <si>
    <t>million MMK</t>
  </si>
  <si>
    <t>Barrels</t>
  </si>
  <si>
    <t>MMscf</t>
  </si>
  <si>
    <t>Condensate, volume</t>
  </si>
  <si>
    <t>Condensate, value</t>
  </si>
  <si>
    <t>Ruby &amp; Sapphire, volume</t>
  </si>
  <si>
    <t>carats</t>
  </si>
  <si>
    <t>Ruby &amp; Sapphire, value</t>
  </si>
  <si>
    <t>Appendix 6: Production and export detail</t>
  </si>
  <si>
    <t>Assorted Colour Gem, volume</t>
  </si>
  <si>
    <t>Assorted Colour Gem, value</t>
  </si>
  <si>
    <t>Kg</t>
  </si>
  <si>
    <t>ToZ</t>
  </si>
  <si>
    <t xml:space="preserve"> Jade, Quartzite &amp; Amber, volume</t>
  </si>
  <si>
    <t xml:space="preserve"> Jade, Quartzite &amp; Amber, value</t>
  </si>
  <si>
    <t xml:space="preserve"> Lead Ore, volume</t>
  </si>
  <si>
    <t xml:space="preserve"> Lead Ore, value</t>
  </si>
  <si>
    <t xml:space="preserve"> Lead Concentrate, volume</t>
  </si>
  <si>
    <t xml:space="preserve"> Lead Concentrate, value</t>
  </si>
  <si>
    <t xml:space="preserve"> Zinc Ore, volume</t>
  </si>
  <si>
    <t xml:space="preserve"> Zinc Ore, value</t>
  </si>
  <si>
    <t xml:space="preserve"> Copper Ore, volume</t>
  </si>
  <si>
    <t xml:space="preserve"> Copper Ore, value</t>
  </si>
  <si>
    <t xml:space="preserve"> Iron Ore, volume</t>
  </si>
  <si>
    <t xml:space="preserve"> Iron Ore, value</t>
  </si>
  <si>
    <t xml:space="preserve"> Anitimony Ore, volume</t>
  </si>
  <si>
    <t xml:space="preserve"> Anitimony Ore, value</t>
  </si>
  <si>
    <t xml:space="preserve"> Anitimony Concenteate, volume</t>
  </si>
  <si>
    <t xml:space="preserve"> Anitimony Concenteate, value</t>
  </si>
  <si>
    <t xml:space="preserve"> Zinc Concentrate, volume</t>
  </si>
  <si>
    <t xml:space="preserve"> Zinc Concentrate, value</t>
  </si>
  <si>
    <t xml:space="preserve"> Chromium Ore, volume</t>
  </si>
  <si>
    <t xml:space="preserve"> Chromium Ore, value</t>
  </si>
  <si>
    <t xml:space="preserve"> Tin, volume</t>
  </si>
  <si>
    <t xml:space="preserve"> Tin, value</t>
  </si>
  <si>
    <t xml:space="preserve"> Tungsten, volume</t>
  </si>
  <si>
    <t xml:space="preserve"> Tungsten, value</t>
  </si>
  <si>
    <t xml:space="preserve"> Tin/Tungsten Mixed, volume</t>
  </si>
  <si>
    <t xml:space="preserve"> Tin/Tungsten Mixed, value</t>
  </si>
  <si>
    <t xml:space="preserve"> Tin/Tungsten/Scheelite  Mixed, volume</t>
  </si>
  <si>
    <t xml:space="preserve"> Tin/Tungsten/Scheelite  Mixed, value</t>
  </si>
  <si>
    <t xml:space="preserve"> Gold, volume</t>
  </si>
  <si>
    <t xml:space="preserve"> Gold, value</t>
  </si>
  <si>
    <t xml:space="preserve"> Coal, volume</t>
  </si>
  <si>
    <t xml:space="preserve"> Coal, value</t>
  </si>
  <si>
    <t xml:space="preserve"> Limestone, volume</t>
  </si>
  <si>
    <t xml:space="preserve"> Limestone, value</t>
  </si>
  <si>
    <t xml:space="preserve"> Maganesedioxide, volume</t>
  </si>
  <si>
    <t xml:space="preserve"> Maganesedioxide, value</t>
  </si>
  <si>
    <t xml:space="preserve"> Marble, volume</t>
  </si>
  <si>
    <t xml:space="preserve"> Marble, value</t>
  </si>
  <si>
    <t xml:space="preserve"> Granite, volume</t>
  </si>
  <si>
    <t xml:space="preserve"> Granite, value</t>
  </si>
  <si>
    <t xml:space="preserve"> Gypsum, volume</t>
  </si>
  <si>
    <t xml:space="preserve"> Gypsum, value</t>
  </si>
  <si>
    <t xml:space="preserve"> Bauxite, volume</t>
  </si>
  <si>
    <t xml:space="preserve"> Bauxite, value</t>
  </si>
  <si>
    <t xml:space="preserve"> Limestone(decorative), volume</t>
  </si>
  <si>
    <t xml:space="preserve"> Limestone(decorative), value</t>
  </si>
  <si>
    <t xml:space="preserve"> Barite, volume</t>
  </si>
  <si>
    <t xml:space="preserve"> Barite, value</t>
  </si>
  <si>
    <t xml:space="preserve"> White Clay, volume</t>
  </si>
  <si>
    <t xml:space="preserve"> White Clay, value</t>
  </si>
  <si>
    <t xml:space="preserve"> Barite Powder, volume</t>
  </si>
  <si>
    <t xml:space="preserve"> Barite Powder, value</t>
  </si>
  <si>
    <t xml:space="preserve"> Clay, volume</t>
  </si>
  <si>
    <t xml:space="preserve"> Clay, value</t>
  </si>
  <si>
    <t xml:space="preserve"> Ferro Nickel, volume</t>
  </si>
  <si>
    <t xml:space="preserve"> Ferro Nickel, value</t>
  </si>
  <si>
    <t xml:space="preserve"> Dolomite, volume</t>
  </si>
  <si>
    <t>Zinc Ore, volume</t>
  </si>
  <si>
    <t>Zinc Ore, value</t>
  </si>
  <si>
    <t>Cathode Copper, volume</t>
  </si>
  <si>
    <t>Cathode Copper, value</t>
  </si>
  <si>
    <t>Copper Concentrate, volume</t>
  </si>
  <si>
    <t>Copper Concentrate, value</t>
  </si>
  <si>
    <t>Tin Concentrate, volume</t>
  </si>
  <si>
    <t>Tin Concentrate, value</t>
  </si>
  <si>
    <t>Tin&amp;TungstenMixedConcentrate, volume</t>
  </si>
  <si>
    <t>Tin&amp;TungstenMixedConcentrate, value</t>
  </si>
  <si>
    <t>Scheelite, volume</t>
  </si>
  <si>
    <t>Scheelite, value</t>
  </si>
  <si>
    <t>Section 3.9. Contribution to the Economy</t>
  </si>
  <si>
    <t>Section 1.2. Production and exports</t>
  </si>
  <si>
    <t>Section 3.4.1. Budget process</t>
  </si>
  <si>
    <t>Detail of licenses is disclosed in EITI report</t>
  </si>
  <si>
    <t>Moore Stephens LLP | P a g e 140
Appendix 10: Detail of Licenses</t>
  </si>
  <si>
    <t>All detail about awarding procedures are presented in the MEITI report</t>
  </si>
  <si>
    <t xml:space="preserve">Section 3.2.6. Procedures for the award of Oil &amp; Gas blocks 
Section 3.3.14 Award procedures for mineral concessions and licenses 
Appendix 11: Award Process
</t>
  </si>
  <si>
    <t xml:space="preserve">Section 3.2.9. Policy on disclosure of contracts and licenses 
Section 3.3.14. Award procedures for mineral concessions and licenses </t>
  </si>
  <si>
    <t>Section 6.4. Revenues from the sale of the State’s production share</t>
  </si>
  <si>
    <t>Condensate</t>
  </si>
  <si>
    <t>Tin</t>
  </si>
  <si>
    <t>Refined Tin</t>
  </si>
  <si>
    <t>Section 6.9. Infrastructure provisions and barter arrangements</t>
  </si>
  <si>
    <t>Section 6.6. Social Expenditures and Infrastructure Provisions</t>
  </si>
  <si>
    <t>Section 1.1. 1.1. Revenue generated from the extractive sector</t>
  </si>
  <si>
    <t>Not applicable</t>
  </si>
  <si>
    <t xml:space="preserve"> Dolomite, value</t>
  </si>
  <si>
    <t>Ferro Nickel, volume</t>
  </si>
  <si>
    <t>Ferro Nickel, value</t>
  </si>
  <si>
    <t>Stamp Duties</t>
  </si>
  <si>
    <t xml:space="preserve">Commercial Tax on Imports </t>
  </si>
  <si>
    <t xml:space="preserve">Customs Duties on imports </t>
  </si>
  <si>
    <t>Customs Department</t>
  </si>
  <si>
    <t>Royalties</t>
  </si>
  <si>
    <t>Production Bonus</t>
  </si>
  <si>
    <t>MOGE share (Profit and Cost- G&amp;O sales)</t>
  </si>
  <si>
    <t>Data fee</t>
  </si>
  <si>
    <t>15E</t>
  </si>
  <si>
    <t xml:space="preserve">Revenues not classified </t>
  </si>
  <si>
    <t>Social payments</t>
  </si>
  <si>
    <t>MMK</t>
  </si>
  <si>
    <t>Petronas Carigali Hong Kong Ltd (PCML)</t>
  </si>
  <si>
    <t>Natural Gas/ Condensate</t>
  </si>
  <si>
    <t>TOTAL</t>
  </si>
  <si>
    <t>Natural Gas</t>
  </si>
  <si>
    <t>Daewoo International Corporation</t>
  </si>
  <si>
    <t>Goldpetrol Co Ltd</t>
  </si>
  <si>
    <t>MPRL E&amp;P Pte Ltd</t>
  </si>
  <si>
    <t>Gas/Oil</t>
  </si>
  <si>
    <t>Nippon Oil</t>
  </si>
  <si>
    <t>PTTEP International Ltd.</t>
  </si>
  <si>
    <t>Unocal Myanmar Offshore Co., Ltd</t>
  </si>
  <si>
    <t>Petronas Carigali Myanmar Inc (PCMI)</t>
  </si>
  <si>
    <t>PTTEP South Asia Ltd</t>
  </si>
  <si>
    <t>Ophir Myanmar Ltd</t>
  </si>
  <si>
    <t>Dividend/Profit Sharing  on Oil &amp; Gas transportation</t>
  </si>
  <si>
    <t>Road right fee Oil &amp; Gas transportation (Right of way)</t>
  </si>
  <si>
    <t>Land fees/Dead rent fee</t>
  </si>
  <si>
    <t>Moattama Gas Transportation Company (MGTC)</t>
  </si>
  <si>
    <t>Taninthayi Pipeline Company (TPC)</t>
  </si>
  <si>
    <t>O&amp;G Transportation</t>
  </si>
  <si>
    <t>South-East Asia Gas Pipeline Co (SEAGP)</t>
  </si>
  <si>
    <t>Sale Split</t>
  </si>
  <si>
    <t>Service  Fees</t>
  </si>
  <si>
    <t>Permit fees</t>
  </si>
  <si>
    <t>Incentive fees</t>
  </si>
  <si>
    <t>Royalties on Sales</t>
  </si>
  <si>
    <t>Emporium Fees / Sale Fees</t>
  </si>
  <si>
    <t>Other significant payments (&gt; 50,000 USD)</t>
  </si>
  <si>
    <t>Commercial Tax</t>
  </si>
  <si>
    <t>Income Tax (IT)</t>
  </si>
  <si>
    <t>Capital Gains Tax</t>
  </si>
  <si>
    <t>Gems and Jade</t>
  </si>
  <si>
    <t>Myanmar Win Gate Gems &amp; Jewellery Mining</t>
  </si>
  <si>
    <t>Central committee</t>
  </si>
  <si>
    <t>Sein Lom Taung Tan Gems Ltd. (*)</t>
  </si>
  <si>
    <t>Yar Za Htar Ne Gems Co;Ltd. (*)</t>
  </si>
  <si>
    <t>Myanmar Imperial Jade(Gems &amp; Jewellery) (*)</t>
  </si>
  <si>
    <t>Wai Aung Gabar Gems Co; Ltd. (*)</t>
  </si>
  <si>
    <t>Ayar Jade Co; Ltd.</t>
  </si>
  <si>
    <t>Myat Yamon Gems Co;Ltd. (*)</t>
  </si>
  <si>
    <t>Kyauk Seinn Nagar (Gems)  (*)</t>
  </si>
  <si>
    <t>Myanmar Sithu Jewellery (*)</t>
  </si>
  <si>
    <t>Linn Lett Win Yadanar Gems (*)</t>
  </si>
  <si>
    <t>Yadanar Taung Tann Gems (*)</t>
  </si>
  <si>
    <t>Khin Zaw Aung &amp; Brothers Gems &amp; Jewellery (*)</t>
  </si>
  <si>
    <t>Shwe Gaung Gaung Gems</t>
  </si>
  <si>
    <t>Xie Family (*)</t>
  </si>
  <si>
    <t>Great Genesis Gems Co; Ltd. (*)</t>
  </si>
  <si>
    <t>Richest Gems Co;Ltd. (*)</t>
  </si>
  <si>
    <t>Kyaing International Gems (*)</t>
  </si>
  <si>
    <t>Phyo Thiha Kyaw Gems</t>
  </si>
  <si>
    <t>Kyaw Naing &amp; Brothers</t>
  </si>
  <si>
    <t>HTOO JEWELLERY CO.,LTD.</t>
  </si>
  <si>
    <t>Ngwe Hein Htet Gems &amp; Jewellery</t>
  </si>
  <si>
    <t>Lyan Shan Jewellery Co; Ltd.</t>
  </si>
  <si>
    <t>Yadanar Pyi Phyo Aung Gems And Jewellery Co; Ltd.</t>
  </si>
  <si>
    <t>PAING PHYO THIHA GEMS</t>
  </si>
  <si>
    <t>EIGHTY THOUSAND GEMS &amp; JEWELLERY Co;Ltd</t>
  </si>
  <si>
    <t>Tun Naing Aung  Gems</t>
  </si>
  <si>
    <t>Thit Sar Pan (U Kyaw Min Naing) (private)</t>
  </si>
  <si>
    <t xml:space="preserve">Chaow Brothers Gemstone </t>
  </si>
  <si>
    <t>Mann Ayer Family Co.,Ltd.</t>
  </si>
  <si>
    <t>(1.1.1) Gems &amp; Jewellery (*)</t>
  </si>
  <si>
    <t>Oo Ya Gems &amp; Jewellery Co;Ltd.</t>
  </si>
  <si>
    <t>Myanmar Economics Corporation</t>
  </si>
  <si>
    <t>Pang Huke Duwa Co; Ltd.</t>
  </si>
  <si>
    <t>Khun Pa-Oh Gems &amp; Jewellery</t>
  </si>
  <si>
    <t>Kachin National Development</t>
  </si>
  <si>
    <t xml:space="preserve">Silver Elephant Gems </t>
  </si>
  <si>
    <t>Myo Nwe Gems &amp; Jewellery</t>
  </si>
  <si>
    <t>Shining Star Light Gems &amp; Jewellery (*)</t>
  </si>
  <si>
    <t>Myanma Seinn Lei Aung Gems</t>
  </si>
  <si>
    <t>Myanmar Naing Group</t>
  </si>
  <si>
    <t>Pho Thar Htoo Gems Co; Ltd.</t>
  </si>
  <si>
    <t>RUBY DRAGON JADE &amp; GEMS  Co.,Ltd</t>
  </si>
  <si>
    <t>Thi Raw Mani Gems &amp; Jewellery (*)</t>
  </si>
  <si>
    <t>Kan Par Ni Gems &amp; Jewellery Co.,Ltd.</t>
  </si>
  <si>
    <t>Golden Grate Wall Gems Co., Ltd</t>
  </si>
  <si>
    <t>Kyauk Gyi Gone Gems &amp; Jewellery Co., Ltd</t>
  </si>
  <si>
    <t>Phar Kant Yar Zar Gems &amp; Jewellery Co.,Ltd</t>
  </si>
  <si>
    <t>Zwe Htet Lwin Gems &amp; Jewellery Co.,Ltd</t>
  </si>
  <si>
    <t>Lin Yaung Phyar Gems Co.,Ltd</t>
  </si>
  <si>
    <t>Kaung Wai Yan Gems Co,Ltd</t>
  </si>
  <si>
    <t>Yadanar San Shwin Gems Co., Ltd</t>
  </si>
  <si>
    <t>SHWE BYAIN PHYU CO</t>
  </si>
  <si>
    <t>NILAR YOMA TRADING</t>
  </si>
  <si>
    <t>Jade Mountain Gems Co;Ltd. (*)</t>
  </si>
  <si>
    <t>Ever Winner Gems (*)</t>
  </si>
  <si>
    <t>Than Lwin Aye Yar Gems Co., Ltd. (Kaung Myat Thu Kha Co. Ltd)</t>
  </si>
  <si>
    <t>Jade Padathar Gems  + Shwe Gaung Gaung Gems</t>
  </si>
  <si>
    <t>Khine Myanmar Gems Co;Ltd.</t>
  </si>
  <si>
    <t>Kan Pwint Oo</t>
  </si>
  <si>
    <t>KHA YANN MYAY GEMS</t>
  </si>
  <si>
    <t>Kyay Lin</t>
  </si>
  <si>
    <t>Kyaw Thet Aung</t>
  </si>
  <si>
    <t>Aung Hein Min Gems Co.,Ltd</t>
  </si>
  <si>
    <t>YadanarYaungChi Gems Co,Ltd</t>
  </si>
  <si>
    <t>Yadanar Kaung Kin Gems &amp;JewelleryCo;Ltd</t>
  </si>
  <si>
    <t>Big Jade Gems Co.,Ltd.</t>
  </si>
  <si>
    <t>Golden Wallet Jewellery Co.,Ltd</t>
  </si>
  <si>
    <t>Tun Tauk Sa Gems Co.,Ltd.</t>
  </si>
  <si>
    <t>Production Split</t>
  </si>
  <si>
    <t>Signature bonus/Application fees</t>
  </si>
  <si>
    <t>Revenues from the Sale of the State Share of Production</t>
  </si>
  <si>
    <t>Myanmar CNMC Nickel Co; LTD (*)</t>
  </si>
  <si>
    <t>Myanma Economic Corporation</t>
  </si>
  <si>
    <t>Ruby Dragon Mining Co., Ltd.</t>
  </si>
  <si>
    <t>Shwe Taung Mining Co., Ltd.</t>
  </si>
  <si>
    <t>NgweYi Palae Mining Co.,Ltd (*)</t>
  </si>
  <si>
    <t>Win Myint Mo Industries Co.,Ltd (*)</t>
  </si>
  <si>
    <t>Tha Byu Mining Co.,Ltd (*)</t>
  </si>
  <si>
    <t>GPS Joint Venture Co., Ltd. (*)</t>
  </si>
  <si>
    <t>Max Myanmar Industry Co;.,Ltd (*)</t>
  </si>
  <si>
    <t>Htoo International Industrial Gorup Co.,Ltd</t>
  </si>
  <si>
    <t>Tun Thwin Mining Co., Ltd</t>
  </si>
  <si>
    <t>Shwe Moe Yan Co.,Ltd</t>
  </si>
  <si>
    <t>Myanmar Yang Tse Copper Ltd (*)</t>
  </si>
  <si>
    <t>Sea Sun Star Mining Production &amp; Marketing Co.,Ltd</t>
  </si>
  <si>
    <t>Eastern Mining Co.,Ltd</t>
  </si>
  <si>
    <t>Swan Yadanar Htay Mining Co;Ltd</t>
  </si>
  <si>
    <t>Swan Min Htet Mining Co;Ltd</t>
  </si>
  <si>
    <t>Aung Brother Mining Co;Ltd</t>
  </si>
  <si>
    <t>Eternal Mining Co., Ltd (*)</t>
  </si>
  <si>
    <t>National Prosperity Gold Production Group Ltd.</t>
  </si>
  <si>
    <t>Geo Asia Industrial and Mining Co., Ltd.</t>
  </si>
  <si>
    <t>Myanmar Golden Point Family Co., Ltd.</t>
  </si>
  <si>
    <t>THAN TAW MYAT CO,LTD</t>
  </si>
  <si>
    <t>BAGAN BUSINESS GROUP</t>
  </si>
  <si>
    <t>Delco Co.,Ltd (*)</t>
  </si>
  <si>
    <t>Myanmar Pongpipat Co.,L td (*)</t>
  </si>
  <si>
    <t>Kayar Mine Production  Co., Ltd</t>
  </si>
  <si>
    <t>Ye Htut Kyaw Mining Co.,Ltd</t>
  </si>
  <si>
    <t>Tin/Tungsten Sheelite/Mixed</t>
  </si>
  <si>
    <t>Ferronickel</t>
  </si>
  <si>
    <t>Copper/Gypsum</t>
  </si>
  <si>
    <t>Gypsum</t>
  </si>
  <si>
    <t>Lime Stone Coal</t>
  </si>
  <si>
    <t>Lime Stome</t>
  </si>
  <si>
    <t>Lead /Zinc concentrate</t>
  </si>
  <si>
    <t>Antimony Ore</t>
  </si>
  <si>
    <t>Lead Concentrate</t>
  </si>
  <si>
    <t>Lime Stone</t>
  </si>
  <si>
    <t>Lime Stone / Coal</t>
  </si>
  <si>
    <t>Coal</t>
  </si>
  <si>
    <t>Lead/Ore</t>
  </si>
  <si>
    <t>Copper</t>
  </si>
  <si>
    <t>Tin &amp; Tungsten</t>
  </si>
  <si>
    <t xml:space="preserve">Lime Stone </t>
  </si>
  <si>
    <t>Antimony</t>
  </si>
  <si>
    <t>Tin/ Tungsten Mixed Ore</t>
  </si>
  <si>
    <t>Tin/ Tungsten/Sheelite/Mixed</t>
  </si>
  <si>
    <t>Licence/application Fees</t>
  </si>
  <si>
    <t>Included partially reconciled</t>
  </si>
  <si>
    <t>Internal Revenue Department (IRD)</t>
  </si>
  <si>
    <t>Myanma Oil &amp; Gas Enterprise (MOGE)</t>
  </si>
  <si>
    <t>Myanmar Gems Enterprise(MGE)</t>
  </si>
  <si>
    <t>Myanma Oil &amp; Gas Enterprise (MOGE)/Myanmar Gems Enterprise(MGE)/Mining Enterprise (ME)</t>
  </si>
  <si>
    <t>Myanmar Gems Enterprise(MGE)/Mining Enterprise(ME)</t>
  </si>
  <si>
    <t>Mining Enterprise(ME)/Myanmar Petrochemical Enterprise(MPE)</t>
  </si>
  <si>
    <t>Myanma Oil &amp; Gas Enterprise (MOGE)/Mining Enterprise (ME)</t>
  </si>
  <si>
    <t>Mining Enterprise (ME) /Department of Mines (DoM)/Myanmar Petrochemical Enterprise(MPE)</t>
  </si>
  <si>
    <t>Karim Lourimi/Elyes Kooli</t>
  </si>
  <si>
    <t>karim.lourimi@moorestephens.com/elyes.kooli@moorestephens.com</t>
  </si>
  <si>
    <t>Moore Stephens</t>
  </si>
  <si>
    <t>Withholding taxes</t>
  </si>
  <si>
    <t>Total revenues ( MEITI Report)</t>
  </si>
  <si>
    <t>Total revenues ( excludinf WHT and Social payments)</t>
  </si>
  <si>
    <t>Myanma Oil &amp; Gas Enterprise (MOGE)/Forestry Department/Mining Enterprise(ME)/Department of Geological Service and Mineral Exploration (DGSE)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</si>
</sst>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yyyy\-mm\-dd;@"/>
    <numFmt numFmtId="166" formatCode="_-* #,##0_-;\-* #,##0_-;_-* &quot;-&quot;??_-;_-@_-"/>
    <numFmt numFmtId="167" formatCode="_-* #,##0_-;[Red]\-* #,##0_-;_-* &quot;-&quot;??_-;_-@_-"/>
  </numFmts>
  <fonts count="46">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sz val="12"/>
      <name val="Calibri"/>
      <family val="2"/>
      <scheme val="minor"/>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b/>
      <sz val="11"/>
      <color rgb="FF000000"/>
      <name val="Calibri"/>
      <family val="2"/>
      <scheme val="minor"/>
    </font>
    <font>
      <b/>
      <sz val="12"/>
      <color theme="1"/>
      <name val="Calibri"/>
      <family val="2"/>
      <scheme val="minor"/>
    </font>
    <font>
      <b/>
      <i/>
      <sz val="10"/>
      <color theme="1"/>
      <name val="Calibri"/>
      <family val="2"/>
      <scheme val="minor"/>
    </font>
    <font>
      <i/>
      <sz val="12"/>
      <color rgb="FFA6A6A6"/>
      <name val="Calibri"/>
      <family val="2"/>
    </font>
    <font>
      <sz val="10"/>
      <color theme="1"/>
      <name val="Arial"/>
      <family val="2"/>
    </font>
    <font>
      <sz val="10"/>
      <name val="Arial"/>
      <family val="2"/>
    </font>
    <font>
      <b/>
      <sz val="8"/>
      <color rgb="FF000000"/>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rgb="FFFFCC99"/>
        <bgColor rgb="FF000000"/>
      </patternFill>
    </fill>
    <fill>
      <patternFill patternType="solid">
        <fgColor theme="2"/>
        <bgColor indexed="64"/>
      </patternFill>
    </fill>
    <fill>
      <patternFill patternType="solid">
        <fgColor rgb="FFF2F2F2"/>
      </patternFill>
    </fill>
    <fill>
      <patternFill patternType="solid">
        <fgColor rgb="FFF2F2F2"/>
        <bgColor indexed="64"/>
      </patternFill>
    </fill>
  </fills>
  <borders count="38">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indexed="64"/>
      </left>
      <right style="medium">
        <color indexed="64"/>
      </right>
      <top style="thin">
        <color auto="1"/>
      </top>
      <bottom style="thin">
        <color auto="1"/>
      </bottom>
      <diagonal/>
    </border>
    <border>
      <left style="thin">
        <color indexed="64"/>
      </left>
      <right style="thin">
        <color auto="1"/>
      </right>
      <top/>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s>
  <cellStyleXfs count="33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0" fillId="14" borderId="19"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43" fillId="0" borderId="0"/>
    <xf numFmtId="0" fontId="44" fillId="0" borderId="0"/>
  </cellStyleXfs>
  <cellXfs count="247">
    <xf numFmtId="0" fontId="0" fillId="0" borderId="0" xfId="0"/>
    <xf numFmtId="0" fontId="2" fillId="0" borderId="0" xfId="0" applyFont="1" applyBorder="1" applyAlignment="1">
      <alignment vertical="center" wrapText="1"/>
    </xf>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2" fillId="0" borderId="2" xfId="0" applyFont="1" applyBorder="1" applyAlignment="1">
      <alignment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xf>
    <xf numFmtId="0" fontId="21"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2" xfId="27" applyFont="1" applyBorder="1" applyAlignment="1">
      <alignment vertical="center" wrapText="1"/>
    </xf>
    <xf numFmtId="0" fontId="3" fillId="0" borderId="11" xfId="0" applyFont="1" applyBorder="1" applyAlignment="1">
      <alignment vertical="center" wrapText="1"/>
    </xf>
    <xf numFmtId="0" fontId="3" fillId="0" borderId="9" xfId="0" applyFont="1" applyBorder="1" applyAlignment="1">
      <alignment vertical="center" wrapText="1"/>
    </xf>
    <xf numFmtId="3" fontId="4" fillId="0" borderId="8" xfId="0" applyNumberFormat="1" applyFont="1" applyBorder="1" applyAlignment="1">
      <alignment vertical="center" wrapText="1"/>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2" fillId="0" borderId="1" xfId="0" applyFont="1" applyFill="1" applyBorder="1" applyAlignment="1">
      <alignment vertical="center" wrapText="1"/>
    </xf>
    <xf numFmtId="0" fontId="7" fillId="12" borderId="12" xfId="0" applyFont="1" applyFill="1" applyBorder="1" applyAlignment="1">
      <alignment vertical="center" wrapText="1"/>
    </xf>
    <xf numFmtId="0" fontId="3" fillId="0" borderId="10"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10" xfId="0" applyFont="1" applyFill="1" applyBorder="1" applyAlignment="1">
      <alignment vertical="center" wrapText="1"/>
    </xf>
    <xf numFmtId="0" fontId="2" fillId="0" borderId="4" xfId="0" applyFont="1" applyFill="1" applyBorder="1" applyAlignment="1">
      <alignment vertical="center" wrapText="1"/>
    </xf>
    <xf numFmtId="3" fontId="2" fillId="0" borderId="8" xfId="245" applyNumberFormat="1" applyFont="1" applyFill="1" applyBorder="1" applyAlignment="1">
      <alignment vertical="center" wrapText="1"/>
    </xf>
    <xf numFmtId="3" fontId="2" fillId="0" borderId="8" xfId="245" applyNumberFormat="1" applyFont="1" applyBorder="1" applyAlignment="1">
      <alignment vertical="center" wrapText="1"/>
    </xf>
    <xf numFmtId="3" fontId="3" fillId="0" borderId="8" xfId="245" applyNumberFormat="1" applyFont="1" applyFill="1" applyBorder="1" applyAlignment="1">
      <alignment vertical="center" wrapText="1"/>
    </xf>
    <xf numFmtId="3" fontId="2" fillId="0" borderId="11"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2" fillId="14" borderId="20" xfId="320" applyFont="1" applyBorder="1" applyAlignment="1">
      <alignment horizontal="left" vertical="center" wrapText="1"/>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1" xfId="0" applyFont="1" applyBorder="1" applyAlignment="1">
      <alignment vertical="center" wrapText="1"/>
    </xf>
    <xf numFmtId="0" fontId="35"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10" xfId="0" applyFont="1" applyBorder="1" applyAlignment="1">
      <alignment vertical="center"/>
    </xf>
    <xf numFmtId="0" fontId="14" fillId="0" borderId="0" xfId="0" applyFont="1" applyBorder="1" applyAlignment="1">
      <alignment vertical="center"/>
    </xf>
    <xf numFmtId="0" fontId="11" fillId="0" borderId="0" xfId="0" applyFont="1" applyBorder="1" applyAlignment="1">
      <alignment vertical="center"/>
    </xf>
    <xf numFmtId="0" fontId="13" fillId="6" borderId="0" xfId="0" applyFont="1" applyFill="1" applyBorder="1" applyAlignment="1">
      <alignment horizontal="left" vertical="center" wrapText="1"/>
    </xf>
    <xf numFmtId="0" fontId="33" fillId="0" borderId="0" xfId="128" applyFont="1" applyAlignment="1">
      <alignment vertical="center"/>
    </xf>
    <xf numFmtId="165" fontId="11" fillId="4" borderId="24" xfId="0" applyNumberFormat="1" applyFont="1" applyFill="1" applyBorder="1" applyAlignment="1">
      <alignment horizontal="left" vertical="center" wrapText="1"/>
    </xf>
    <xf numFmtId="0" fontId="34" fillId="0" borderId="0" xfId="0" applyFont="1" applyBorder="1" applyAlignment="1">
      <alignment vertical="center"/>
    </xf>
    <xf numFmtId="165" fontId="11" fillId="4" borderId="26" xfId="0" applyNumberFormat="1" applyFont="1" applyFill="1" applyBorder="1" applyAlignment="1">
      <alignment horizontal="left" vertical="center" wrapText="1"/>
    </xf>
    <xf numFmtId="0" fontId="11" fillId="0" borderId="14" xfId="0" applyFont="1" applyBorder="1" applyAlignment="1">
      <alignment vertical="center" wrapText="1"/>
    </xf>
    <xf numFmtId="0" fontId="35" fillId="0" borderId="0" xfId="0" applyFont="1" applyBorder="1" applyAlignment="1">
      <alignment vertical="center"/>
    </xf>
    <xf numFmtId="0" fontId="14" fillId="0" borderId="14" xfId="0" applyFont="1" applyBorder="1" applyAlignment="1">
      <alignment vertical="center"/>
    </xf>
    <xf numFmtId="165" fontId="11" fillId="11" borderId="26" xfId="0" applyNumberFormat="1"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0" fontId="15" fillId="0" borderId="0" xfId="0" applyFont="1" applyAlignment="1">
      <alignment vertical="center"/>
    </xf>
    <xf numFmtId="0" fontId="14" fillId="0" borderId="10" xfId="0" applyFont="1" applyBorder="1" applyAlignment="1">
      <alignment vertical="center"/>
    </xf>
    <xf numFmtId="0" fontId="15" fillId="0" borderId="0" xfId="0" applyFont="1" applyBorder="1" applyAlignment="1">
      <alignment vertical="center"/>
    </xf>
    <xf numFmtId="0" fontId="11" fillId="6" borderId="0" xfId="0" applyFont="1" applyFill="1" applyBorder="1" applyAlignment="1">
      <alignment horizontal="left" vertical="center" wrapText="1"/>
    </xf>
    <xf numFmtId="0" fontId="34" fillId="0" borderId="10" xfId="0" applyFont="1" applyBorder="1" applyAlignment="1">
      <alignment vertical="center"/>
    </xf>
    <xf numFmtId="0" fontId="2" fillId="0" borderId="0" xfId="0" applyFont="1" applyAlignment="1">
      <alignment vertical="center"/>
    </xf>
    <xf numFmtId="0" fontId="17" fillId="0" borderId="0" xfId="0" applyFont="1" applyAlignment="1">
      <alignment vertical="center"/>
    </xf>
    <xf numFmtId="0" fontId="9" fillId="0" borderId="17" xfId="0" applyFont="1" applyBorder="1" applyAlignment="1">
      <alignment vertical="center"/>
    </xf>
    <xf numFmtId="0" fontId="9" fillId="0" borderId="3" xfId="0" applyFont="1" applyBorder="1" applyAlignment="1">
      <alignment vertical="center"/>
    </xf>
    <xf numFmtId="0" fontId="4" fillId="0" borderId="4" xfId="0" applyFont="1" applyBorder="1" applyAlignment="1">
      <alignment vertical="center"/>
    </xf>
    <xf numFmtId="0" fontId="2" fillId="0" borderId="4" xfId="0" applyFont="1" applyBorder="1" applyAlignment="1">
      <alignment vertical="center"/>
    </xf>
    <xf numFmtId="0" fontId="2" fillId="0" borderId="7" xfId="0" applyFont="1" applyBorder="1" applyAlignment="1">
      <alignment vertical="center"/>
    </xf>
    <xf numFmtId="0" fontId="29" fillId="0" borderId="0" xfId="0" applyFont="1" applyAlignment="1">
      <alignment vertical="center"/>
    </xf>
    <xf numFmtId="0" fontId="2" fillId="0" borderId="18" xfId="0" applyFont="1" applyBorder="1" applyAlignment="1">
      <alignment vertical="center"/>
    </xf>
    <xf numFmtId="0" fontId="4" fillId="0" borderId="2"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8" fillId="0" borderId="0" xfId="0" applyFont="1" applyAlignment="1">
      <alignment vertical="center"/>
    </xf>
    <xf numFmtId="0" fontId="3" fillId="0" borderId="2" xfId="0" applyFont="1" applyBorder="1" applyAlignment="1">
      <alignment horizontal="right" vertical="center" wrapText="1"/>
    </xf>
    <xf numFmtId="0" fontId="0" fillId="10" borderId="0" xfId="0" applyFill="1" applyBorder="1" applyAlignment="1">
      <alignment vertical="center" wrapText="1"/>
    </xf>
    <xf numFmtId="0" fontId="0" fillId="10" borderId="8" xfId="0" applyFill="1" applyBorder="1" applyAlignment="1">
      <alignment vertical="center" wrapText="1"/>
    </xf>
    <xf numFmtId="0" fontId="3" fillId="0" borderId="2" xfId="0" applyFont="1" applyBorder="1" applyAlignment="1">
      <alignment horizontal="right" vertical="center"/>
    </xf>
    <xf numFmtId="0" fontId="2" fillId="10" borderId="0" xfId="0" applyFont="1" applyFill="1" applyBorder="1" applyAlignment="1">
      <alignment vertical="center"/>
    </xf>
    <xf numFmtId="0" fontId="24" fillId="10" borderId="0" xfId="0" applyFont="1" applyFill="1" applyAlignment="1">
      <alignment vertical="center"/>
    </xf>
    <xf numFmtId="0" fontId="24" fillId="10" borderId="0" xfId="0" applyFont="1" applyFill="1" applyBorder="1" applyAlignment="1">
      <alignment vertical="center"/>
    </xf>
    <xf numFmtId="0" fontId="24" fillId="10" borderId="8" xfId="0" applyFont="1" applyFill="1" applyBorder="1" applyAlignment="1">
      <alignment vertical="center"/>
    </xf>
    <xf numFmtId="0" fontId="3" fillId="0" borderId="9" xfId="0" applyFont="1" applyBorder="1" applyAlignment="1">
      <alignment horizontal="right" vertical="center"/>
    </xf>
    <xf numFmtId="0" fontId="2" fillId="10" borderId="10" xfId="0" applyFont="1" applyFill="1" applyBorder="1" applyAlignment="1">
      <alignment vertical="center"/>
    </xf>
    <xf numFmtId="0" fontId="2" fillId="10" borderId="11" xfId="0" applyFont="1" applyFill="1" applyBorder="1" applyAlignment="1">
      <alignment vertical="center"/>
    </xf>
    <xf numFmtId="0" fontId="3" fillId="0" borderId="9" xfId="0" applyFont="1" applyBorder="1" applyAlignment="1">
      <alignment vertical="center"/>
    </xf>
    <xf numFmtId="0" fontId="2" fillId="0" borderId="10" xfId="0" applyFont="1" applyBorder="1" applyAlignment="1">
      <alignment vertical="center"/>
    </xf>
    <xf numFmtId="0" fontId="4" fillId="0" borderId="11" xfId="0" applyFont="1" applyBorder="1" applyAlignment="1">
      <alignment horizontal="right" vertical="center"/>
    </xf>
    <xf numFmtId="3" fontId="10" fillId="0" borderId="10" xfId="0" applyNumberFormat="1" applyFont="1" applyBorder="1" applyAlignment="1">
      <alignment vertical="center"/>
    </xf>
    <xf numFmtId="0" fontId="25" fillId="2" borderId="2" xfId="0" applyFont="1" applyFill="1" applyBorder="1" applyAlignment="1">
      <alignment horizontal="left" vertical="center" wrapText="1"/>
    </xf>
    <xf numFmtId="0" fontId="25" fillId="0" borderId="0" xfId="0" applyFont="1" applyBorder="1" applyAlignment="1">
      <alignment vertical="center" wrapText="1"/>
    </xf>
    <xf numFmtId="0" fontId="26" fillId="2" borderId="2" xfId="0" applyFont="1" applyFill="1" applyBorder="1" applyAlignment="1">
      <alignment horizontal="left" vertical="center" wrapText="1"/>
    </xf>
    <xf numFmtId="0" fontId="26" fillId="0" borderId="0" xfId="0" applyFont="1" applyBorder="1" applyAlignment="1">
      <alignment vertical="center" wrapText="1"/>
    </xf>
    <xf numFmtId="0" fontId="2"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7" borderId="0" xfId="0" applyFont="1" applyFill="1" applyAlignment="1">
      <alignment vertical="center"/>
    </xf>
    <xf numFmtId="0" fontId="3" fillId="2" borderId="2" xfId="0" applyFont="1" applyFill="1" applyBorder="1" applyAlignment="1">
      <alignment horizontal="left" vertical="center"/>
    </xf>
    <xf numFmtId="0" fontId="25" fillId="2" borderId="2" xfId="0" applyFont="1" applyFill="1" applyBorder="1" applyAlignment="1">
      <alignment horizontal="left" vertical="center"/>
    </xf>
    <xf numFmtId="0" fontId="4" fillId="0" borderId="0" xfId="0" applyFont="1" applyBorder="1" applyAlignment="1">
      <alignment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5" xfId="0" applyFont="1" applyBorder="1" applyAlignment="1">
      <alignment vertical="center" wrapText="1"/>
    </xf>
    <xf numFmtId="0" fontId="2" fillId="0" borderId="0" xfId="0" applyFont="1" applyAlignment="1">
      <alignment horizontal="right" vertical="center"/>
    </xf>
    <xf numFmtId="0" fontId="3" fillId="13" borderId="0" xfId="0" applyFont="1" applyFill="1" applyAlignment="1">
      <alignment horizontal="right" vertical="center"/>
    </xf>
    <xf numFmtId="0" fontId="3" fillId="13" borderId="0" xfId="0" applyFont="1" applyFill="1" applyAlignment="1">
      <alignment vertical="center"/>
    </xf>
    <xf numFmtId="0" fontId="9" fillId="0" borderId="0" xfId="0" applyFont="1" applyAlignment="1">
      <alignment vertical="center"/>
    </xf>
    <xf numFmtId="3" fontId="3" fillId="13" borderId="0" xfId="0" applyNumberFormat="1" applyFont="1" applyFill="1" applyAlignment="1">
      <alignment vertical="center"/>
    </xf>
    <xf numFmtId="166" fontId="11" fillId="4" borderId="22" xfId="245" applyNumberFormat="1" applyFont="1" applyFill="1" applyBorder="1" applyAlignment="1">
      <alignment horizontal="left" vertical="center" wrapText="1"/>
    </xf>
    <xf numFmtId="166" fontId="11" fillId="4" borderId="25" xfId="245" applyNumberFormat="1" applyFont="1" applyFill="1" applyBorder="1" applyAlignment="1">
      <alignment horizontal="left" vertical="center" wrapText="1"/>
    </xf>
    <xf numFmtId="0" fontId="11" fillId="4" borderId="31" xfId="0" applyFont="1" applyFill="1" applyBorder="1" applyAlignment="1">
      <alignment horizontal="left" vertical="center" wrapText="1"/>
    </xf>
    <xf numFmtId="0" fontId="5" fillId="5" borderId="31" xfId="128" applyFill="1" applyBorder="1" applyAlignment="1">
      <alignment horizontal="left" vertical="center" wrapText="1"/>
    </xf>
    <xf numFmtId="166" fontId="11" fillId="4" borderId="31" xfId="245" applyNumberFormat="1" applyFont="1" applyFill="1" applyBorder="1" applyAlignment="1">
      <alignment horizontal="left" vertical="center" wrapText="1"/>
    </xf>
    <xf numFmtId="0" fontId="11" fillId="10" borderId="31" xfId="0" applyFont="1" applyFill="1" applyBorder="1" applyAlignment="1">
      <alignment horizontal="left" vertical="center" wrapText="1"/>
    </xf>
    <xf numFmtId="0" fontId="5" fillId="5" borderId="26" xfId="128" applyFill="1" applyBorder="1" applyAlignment="1">
      <alignment horizontal="left" vertical="center" wrapText="1"/>
    </xf>
    <xf numFmtId="0" fontId="5" fillId="5" borderId="29" xfId="128" applyFill="1" applyBorder="1" applyAlignment="1">
      <alignment horizontal="left" vertical="center" wrapText="1"/>
    </xf>
    <xf numFmtId="166" fontId="11" fillId="4" borderId="27" xfId="245" applyNumberFormat="1" applyFont="1" applyFill="1" applyBorder="1" applyAlignment="1">
      <alignment horizontal="left" vertical="center" wrapText="1"/>
    </xf>
    <xf numFmtId="3" fontId="4" fillId="0" borderId="32" xfId="0" applyNumberFormat="1" applyFont="1" applyBorder="1" applyAlignment="1">
      <alignment vertical="center" wrapText="1"/>
    </xf>
    <xf numFmtId="3" fontId="4" fillId="0" borderId="18" xfId="0" applyNumberFormat="1" applyFont="1" applyBorder="1" applyAlignment="1">
      <alignment vertical="center" wrapText="1"/>
    </xf>
    <xf numFmtId="0" fontId="28" fillId="0" borderId="2" xfId="0" applyFont="1" applyBorder="1" applyAlignment="1">
      <alignment vertical="center"/>
    </xf>
    <xf numFmtId="0" fontId="4" fillId="0" borderId="18" xfId="0" applyFont="1" applyBorder="1" applyAlignment="1">
      <alignment horizontal="right" vertical="center"/>
    </xf>
    <xf numFmtId="49" fontId="25" fillId="15" borderId="2" xfId="0" applyNumberFormat="1" applyFont="1" applyFill="1" applyBorder="1" applyAlignment="1">
      <alignment horizontal="left" vertical="center" wrapText="1"/>
    </xf>
    <xf numFmtId="167" fontId="2" fillId="0" borderId="0" xfId="245" applyNumberFormat="1" applyFont="1" applyBorder="1" applyAlignment="1">
      <alignment vertical="center"/>
    </xf>
    <xf numFmtId="49" fontId="26" fillId="15" borderId="2" xfId="0" applyNumberFormat="1" applyFont="1" applyFill="1" applyBorder="1" applyAlignment="1">
      <alignment horizontal="left" vertical="center" wrapText="1"/>
    </xf>
    <xf numFmtId="49" fontId="2" fillId="15" borderId="2" xfId="0" applyNumberFormat="1" applyFont="1" applyFill="1" applyBorder="1" applyAlignment="1">
      <alignment horizontal="left" vertical="center"/>
    </xf>
    <xf numFmtId="49" fontId="26" fillId="15" borderId="2" xfId="0" applyNumberFormat="1" applyFont="1" applyFill="1" applyBorder="1" applyAlignment="1">
      <alignment horizontal="left" vertical="center"/>
    </xf>
    <xf numFmtId="49" fontId="3" fillId="15" borderId="2" xfId="0" applyNumberFormat="1" applyFont="1" applyFill="1" applyBorder="1" applyAlignment="1">
      <alignment horizontal="left" vertical="center"/>
    </xf>
    <xf numFmtId="49" fontId="25" fillId="15" borderId="2" xfId="0" applyNumberFormat="1" applyFont="1" applyFill="1" applyBorder="1" applyAlignment="1">
      <alignment horizontal="left" vertical="center"/>
    </xf>
    <xf numFmtId="49" fontId="2" fillId="15" borderId="2" xfId="0" applyNumberFormat="1" applyFont="1" applyFill="1" applyBorder="1" applyAlignment="1">
      <alignment horizontal="left" vertical="center" wrapText="1"/>
    </xf>
    <xf numFmtId="167" fontId="2" fillId="0" borderId="10" xfId="245" applyNumberFormat="1" applyFont="1" applyBorder="1" applyAlignment="1">
      <alignment vertical="center"/>
    </xf>
    <xf numFmtId="0" fontId="36" fillId="0" borderId="0" xfId="0" applyFont="1" applyAlignment="1">
      <alignment vertical="center"/>
    </xf>
    <xf numFmtId="49" fontId="11" fillId="4" borderId="23" xfId="0" applyNumberFormat="1" applyFont="1" applyFill="1" applyBorder="1" applyAlignment="1">
      <alignment horizontal="left" vertical="center" wrapText="1"/>
    </xf>
    <xf numFmtId="49" fontId="11" fillId="4" borderId="15" xfId="0" applyNumberFormat="1" applyFont="1" applyFill="1" applyBorder="1" applyAlignment="1">
      <alignment horizontal="left" vertical="center" wrapText="1"/>
    </xf>
    <xf numFmtId="49" fontId="11" fillId="4" borderId="28" xfId="0" applyNumberFormat="1" applyFont="1" applyFill="1" applyBorder="1" applyAlignment="1">
      <alignment horizontal="left" vertical="center" wrapText="1"/>
    </xf>
    <xf numFmtId="0" fontId="5" fillId="4" borderId="26" xfId="128" applyFill="1" applyBorder="1" applyAlignment="1">
      <alignment horizontal="left" vertical="center" wrapText="1"/>
    </xf>
    <xf numFmtId="165" fontId="11" fillId="4" borderId="29" xfId="0" applyNumberFormat="1" applyFont="1" applyFill="1" applyBorder="1" applyAlignment="1">
      <alignment horizontal="left" vertical="center" wrapText="1"/>
    </xf>
    <xf numFmtId="0" fontId="3" fillId="0" borderId="10" xfId="0" applyFont="1" applyBorder="1" applyAlignment="1">
      <alignment vertical="center"/>
    </xf>
    <xf numFmtId="49" fontId="25" fillId="15" borderId="0" xfId="0" applyNumberFormat="1" applyFont="1" applyFill="1" applyBorder="1" applyAlignment="1">
      <alignment vertical="center" wrapText="1"/>
    </xf>
    <xf numFmtId="49" fontId="2" fillId="15" borderId="0" xfId="0" applyNumberFormat="1" applyFont="1" applyFill="1" applyBorder="1" applyAlignment="1">
      <alignment vertical="center" wrapText="1"/>
    </xf>
    <xf numFmtId="49" fontId="4" fillId="15" borderId="0" xfId="0" applyNumberFormat="1" applyFont="1" applyFill="1" applyBorder="1" applyAlignment="1">
      <alignment vertical="center" wrapText="1"/>
    </xf>
    <xf numFmtId="49" fontId="2" fillId="15" borderId="1" xfId="0" applyNumberFormat="1" applyFont="1" applyFill="1" applyBorder="1" applyAlignment="1">
      <alignment vertical="center" wrapText="1"/>
    </xf>
    <xf numFmtId="49" fontId="2" fillId="15" borderId="5" xfId="0" applyNumberFormat="1" applyFont="1" applyFill="1" applyBorder="1" applyAlignment="1">
      <alignment vertical="center" wrapText="1"/>
    </xf>
    <xf numFmtId="49" fontId="26" fillId="15" borderId="0" xfId="0" applyNumberFormat="1" applyFont="1" applyFill="1" applyBorder="1" applyAlignment="1">
      <alignment horizontal="left" vertical="center" wrapText="1" indent="2"/>
    </xf>
    <xf numFmtId="49" fontId="2" fillId="15" borderId="0" xfId="0" applyNumberFormat="1" applyFont="1" applyFill="1" applyBorder="1" applyAlignment="1">
      <alignment horizontal="left" vertical="center" wrapText="1" indent="2"/>
    </xf>
    <xf numFmtId="49" fontId="2" fillId="15" borderId="0" xfId="0" applyNumberFormat="1" applyFont="1" applyFill="1" applyBorder="1" applyAlignment="1">
      <alignment horizontal="left" vertical="center" wrapText="1" indent="4"/>
    </xf>
    <xf numFmtId="49" fontId="26" fillId="15" borderId="0" xfId="0" applyNumberFormat="1" applyFont="1" applyFill="1" applyBorder="1" applyAlignment="1">
      <alignment horizontal="left" vertical="center" wrapText="1" indent="4"/>
    </xf>
    <xf numFmtId="49" fontId="2" fillId="15" borderId="0" xfId="0" applyNumberFormat="1" applyFont="1" applyFill="1" applyBorder="1" applyAlignment="1">
      <alignment horizontal="left" vertical="center" wrapText="1" indent="6"/>
    </xf>
    <xf numFmtId="49" fontId="26" fillId="15" borderId="0" xfId="0" applyNumberFormat="1" applyFont="1" applyFill="1" applyBorder="1" applyAlignment="1">
      <alignment horizontal="left" vertical="center" wrapText="1" indent="6"/>
    </xf>
    <xf numFmtId="49" fontId="2" fillId="15" borderId="0" xfId="0" applyNumberFormat="1" applyFont="1" applyFill="1" applyBorder="1" applyAlignment="1">
      <alignment horizontal="left" vertical="center" wrapText="1" indent="8"/>
    </xf>
    <xf numFmtId="0" fontId="11" fillId="0" borderId="4" xfId="0" applyFont="1" applyBorder="1" applyAlignment="1">
      <alignment horizontal="left" vertical="center" wrapText="1"/>
    </xf>
    <xf numFmtId="0" fontId="5" fillId="4" borderId="31" xfId="128"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0" fontId="3" fillId="0" borderId="17" xfId="0" applyFont="1" applyBorder="1" applyAlignment="1">
      <alignment vertical="center" wrapText="1"/>
    </xf>
    <xf numFmtId="0" fontId="0" fillId="5" borderId="32" xfId="0" applyFill="1" applyBorder="1" applyAlignment="1">
      <alignment vertical="center" wrapText="1"/>
    </xf>
    <xf numFmtId="0" fontId="0" fillId="5" borderId="18" xfId="0" applyFill="1" applyBorder="1" applyAlignment="1">
      <alignment vertical="center" wrapText="1"/>
    </xf>
    <xf numFmtId="49" fontId="2" fillId="5" borderId="0" xfId="0" applyNumberFormat="1" applyFont="1" applyFill="1" applyBorder="1" applyAlignment="1">
      <alignment vertical="center"/>
    </xf>
    <xf numFmtId="49" fontId="24" fillId="5" borderId="0" xfId="0" applyNumberFormat="1" applyFont="1" applyFill="1" applyBorder="1" applyAlignment="1">
      <alignment vertical="center"/>
    </xf>
    <xf numFmtId="0" fontId="3" fillId="0" borderId="17" xfId="0" applyFont="1" applyBorder="1" applyAlignment="1">
      <alignment vertical="center"/>
    </xf>
    <xf numFmtId="0" fontId="2" fillId="10" borderId="18" xfId="0" applyFont="1" applyFill="1" applyBorder="1" applyAlignment="1">
      <alignment vertical="center"/>
    </xf>
    <xf numFmtId="49" fontId="42" fillId="15" borderId="0" xfId="0" applyNumberFormat="1" applyFont="1" applyFill="1" applyBorder="1" applyAlignment="1">
      <alignment horizontal="left" vertical="center" wrapText="1" indent="2"/>
    </xf>
    <xf numFmtId="0" fontId="20"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21" fillId="0" borderId="0" xfId="0" applyFont="1" applyFill="1" applyAlignment="1">
      <alignment vertical="center"/>
    </xf>
    <xf numFmtId="165" fontId="11" fillId="4" borderId="15" xfId="0" applyNumberFormat="1" applyFont="1" applyFill="1" applyBorder="1" applyAlignment="1">
      <alignment horizontal="left" vertical="center" wrapText="1"/>
    </xf>
    <xf numFmtId="0" fontId="11" fillId="4" borderId="33" xfId="0" applyFont="1" applyFill="1" applyBorder="1" applyAlignment="1">
      <alignment horizontal="left" wrapText="1"/>
    </xf>
    <xf numFmtId="165" fontId="11" fillId="4" borderId="34" xfId="0" applyNumberFormat="1" applyFont="1" applyFill="1" applyBorder="1" applyAlignment="1">
      <alignment horizontal="left" wrapText="1"/>
    </xf>
    <xf numFmtId="0" fontId="11" fillId="4" borderId="34" xfId="0" applyFont="1" applyFill="1" applyBorder="1" applyAlignment="1">
      <alignment horizontal="left" wrapText="1"/>
    </xf>
    <xf numFmtId="0" fontId="11" fillId="5" borderId="34" xfId="0" applyFont="1" applyFill="1" applyBorder="1" applyAlignment="1">
      <alignment horizontal="left" wrapText="1"/>
    </xf>
    <xf numFmtId="0" fontId="5" fillId="4" borderId="31" xfId="128" applyFill="1" applyBorder="1" applyAlignment="1">
      <alignment horizontal="left" vertical="center" wrapText="1"/>
    </xf>
    <xf numFmtId="0" fontId="5" fillId="10" borderId="35" xfId="128" applyFill="1" applyBorder="1" applyAlignment="1">
      <alignment horizontal="left" wrapText="1"/>
    </xf>
    <xf numFmtId="165" fontId="11" fillId="4" borderId="26" xfId="0" applyNumberFormat="1" applyFont="1" applyFill="1" applyBorder="1" applyAlignment="1">
      <alignment horizontal="left" wrapText="1"/>
    </xf>
    <xf numFmtId="0" fontId="11" fillId="5" borderId="26" xfId="0" applyFont="1" applyFill="1" applyBorder="1" applyAlignment="1">
      <alignment horizontal="left" wrapText="1"/>
    </xf>
    <xf numFmtId="165" fontId="11" fillId="4" borderId="26" xfId="0" applyNumberFormat="1" applyFont="1" applyFill="1" applyBorder="1" applyAlignment="1">
      <alignment horizontal="left" vertical="top" wrapText="1"/>
    </xf>
    <xf numFmtId="0" fontId="11" fillId="10" borderId="36" xfId="0" applyFont="1" applyFill="1" applyBorder="1" applyAlignment="1">
      <alignment horizontal="left" vertical="center" wrapText="1"/>
    </xf>
    <xf numFmtId="0" fontId="11" fillId="10" borderId="18" xfId="0" applyFont="1" applyFill="1" applyBorder="1" applyAlignment="1">
      <alignment horizontal="left" vertical="center" wrapText="1"/>
    </xf>
    <xf numFmtId="165" fontId="11" fillId="4" borderId="37" xfId="0" applyNumberFormat="1" applyFont="1" applyFill="1" applyBorder="1" applyAlignment="1">
      <alignment horizontal="left" vertical="center" wrapText="1"/>
    </xf>
    <xf numFmtId="0" fontId="11" fillId="0" borderId="14" xfId="0" applyFont="1" applyBorder="1"/>
    <xf numFmtId="0" fontId="7" fillId="3" borderId="8" xfId="27" applyFont="1" applyBorder="1" applyAlignment="1">
      <alignment vertical="center" wrapText="1"/>
    </xf>
    <xf numFmtId="0" fontId="2" fillId="2" borderId="2" xfId="0" applyFont="1" applyFill="1" applyBorder="1" applyAlignment="1">
      <alignment horizontal="left" vertical="top"/>
    </xf>
    <xf numFmtId="0" fontId="2" fillId="0" borderId="0" xfId="0" applyFont="1" applyAlignment="1">
      <alignment vertical="center" wrapText="1"/>
    </xf>
    <xf numFmtId="0" fontId="2" fillId="10" borderId="0" xfId="0" applyFont="1" applyFill="1" applyBorder="1" applyAlignment="1">
      <alignment vertical="center" wrapText="1"/>
    </xf>
    <xf numFmtId="0" fontId="2" fillId="10" borderId="10" xfId="0" applyFont="1" applyFill="1" applyBorder="1" applyAlignment="1">
      <alignment vertical="center" wrapText="1"/>
    </xf>
    <xf numFmtId="3" fontId="45" fillId="0" borderId="0" xfId="0" applyNumberFormat="1" applyFont="1"/>
    <xf numFmtId="3" fontId="2" fillId="0" borderId="0" xfId="0" applyNumberFormat="1" applyFont="1" applyAlignment="1">
      <alignment vertical="center"/>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39" fillId="7" borderId="0" xfId="0" applyFont="1" applyFill="1" applyAlignment="1">
      <alignment vertical="center"/>
    </xf>
    <xf numFmtId="0" fontId="40"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5" fontId="11" fillId="5" borderId="25" xfId="0" applyNumberFormat="1" applyFont="1" applyFill="1" applyBorder="1" applyAlignment="1">
      <alignment horizontal="left" vertical="center" wrapText="1"/>
    </xf>
    <xf numFmtId="165" fontId="11" fillId="5" borderId="15" xfId="0" applyNumberFormat="1" applyFont="1" applyFill="1" applyBorder="1" applyAlignment="1">
      <alignment horizontal="left" vertical="center" wrapText="1"/>
    </xf>
    <xf numFmtId="0" fontId="11" fillId="10" borderId="25"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5" borderId="25" xfId="0" applyFont="1" applyFill="1" applyBorder="1" applyAlignment="1">
      <alignment horizontal="left" vertical="center" wrapText="1"/>
    </xf>
    <xf numFmtId="0" fontId="11" fillId="5" borderId="15" xfId="0" applyFont="1" applyFill="1" applyBorder="1" applyAlignment="1">
      <alignment horizontal="left" vertical="center" wrapText="1"/>
    </xf>
    <xf numFmtId="165" fontId="11" fillId="4" borderId="25" xfId="0" applyNumberFormat="1" applyFont="1" applyFill="1" applyBorder="1" applyAlignment="1">
      <alignment horizontal="left" wrapText="1"/>
    </xf>
    <xf numFmtId="165" fontId="11" fillId="4" borderId="15" xfId="0" applyNumberFormat="1" applyFont="1" applyFill="1" applyBorder="1" applyAlignment="1">
      <alignment horizontal="left" wrapText="1"/>
    </xf>
    <xf numFmtId="0" fontId="11" fillId="5" borderId="25" xfId="0" applyFont="1" applyFill="1" applyBorder="1" applyAlignment="1">
      <alignment horizontal="left" vertical="top" wrapText="1"/>
    </xf>
    <xf numFmtId="0" fontId="11" fillId="5" borderId="15" xfId="0" applyFont="1" applyFill="1" applyBorder="1" applyAlignment="1">
      <alignment horizontal="left" vertical="top" wrapText="1"/>
    </xf>
    <xf numFmtId="165" fontId="11" fillId="4" borderId="25" xfId="0" applyNumberFormat="1" applyFont="1" applyFill="1" applyBorder="1" applyAlignment="1">
      <alignment horizontal="left" vertical="top" wrapText="1"/>
    </xf>
    <xf numFmtId="165" fontId="11" fillId="4" borderId="15" xfId="0" applyNumberFormat="1" applyFont="1" applyFill="1" applyBorder="1" applyAlignment="1">
      <alignment horizontal="left" vertical="top" wrapText="1"/>
    </xf>
    <xf numFmtId="165" fontId="11" fillId="4" borderId="25" xfId="0" applyNumberFormat="1"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165" fontId="11" fillId="5" borderId="27" xfId="0" applyNumberFormat="1" applyFont="1" applyFill="1" applyBorder="1" applyAlignment="1">
      <alignment horizontal="left" vertical="center" wrapText="1"/>
    </xf>
    <xf numFmtId="165" fontId="11" fillId="5" borderId="28" xfId="0" applyNumberFormat="1" applyFont="1" applyFill="1" applyBorder="1" applyAlignment="1">
      <alignment horizontal="left" vertical="center" wrapText="1"/>
    </xf>
    <xf numFmtId="0" fontId="11" fillId="10" borderId="22" xfId="0" applyFont="1" applyFill="1" applyBorder="1" applyAlignment="1">
      <alignment horizontal="left" vertical="center" wrapText="1"/>
    </xf>
    <xf numFmtId="0" fontId="11" fillId="10" borderId="23"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3" fontId="14" fillId="0" borderId="2" xfId="0" applyNumberFormat="1" applyFont="1" applyBorder="1" applyAlignment="1">
      <alignment vertical="center"/>
    </xf>
    <xf numFmtId="0" fontId="37" fillId="0" borderId="0" xfId="0" applyFont="1" applyBorder="1" applyAlignment="1">
      <alignment vertical="center"/>
    </xf>
    <xf numFmtId="0" fontId="9" fillId="0" borderId="3" xfId="0" applyFont="1" applyBorder="1" applyAlignment="1">
      <alignment horizontal="left" vertical="center"/>
    </xf>
    <xf numFmtId="0" fontId="0" fillId="0" borderId="4" xfId="0" applyBorder="1" applyAlignment="1">
      <alignment vertical="center"/>
    </xf>
    <xf numFmtId="0" fontId="29" fillId="0" borderId="0" xfId="0" applyFont="1" applyAlignment="1">
      <alignment vertical="center"/>
    </xf>
    <xf numFmtId="0" fontId="28" fillId="0" borderId="0" xfId="0" applyFont="1" applyAlignment="1">
      <alignment vertical="center"/>
    </xf>
    <xf numFmtId="0" fontId="17" fillId="0" borderId="0" xfId="0" applyFont="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7" xfId="0" applyFont="1" applyBorder="1" applyAlignment="1">
      <alignment vertical="center"/>
    </xf>
    <xf numFmtId="0" fontId="28" fillId="0" borderId="2" xfId="0" applyFont="1" applyBorder="1" applyAlignment="1">
      <alignment horizontal="left" vertical="center" wrapText="1"/>
    </xf>
    <xf numFmtId="0" fontId="38" fillId="0" borderId="0" xfId="0" applyFont="1" applyBorder="1" applyAlignment="1">
      <alignment horizontal="left" vertical="center" wrapText="1"/>
    </xf>
    <xf numFmtId="0" fontId="38" fillId="0" borderId="8" xfId="0" applyFont="1" applyBorder="1" applyAlignment="1">
      <alignment horizontal="left" vertical="center" wrapText="1"/>
    </xf>
    <xf numFmtId="0" fontId="31" fillId="0" borderId="3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28" fillId="0" borderId="0" xfId="0" applyFont="1" applyBorder="1" applyAlignment="1">
      <alignment horizontal="left" vertical="center" wrapText="1"/>
    </xf>
    <xf numFmtId="0" fontId="28" fillId="0" borderId="8" xfId="0" applyFont="1" applyBorder="1" applyAlignment="1">
      <alignment horizontal="left" vertical="center" wrapText="1"/>
    </xf>
    <xf numFmtId="0" fontId="9" fillId="0" borderId="4" xfId="0" applyFont="1" applyBorder="1" applyAlignment="1">
      <alignment horizontal="left" vertical="center"/>
    </xf>
    <xf numFmtId="0" fontId="31" fillId="0" borderId="3" xfId="0" applyFont="1" applyBorder="1" applyAlignment="1">
      <alignment vertical="center" wrapText="1"/>
    </xf>
    <xf numFmtId="0" fontId="0" fillId="0" borderId="4" xfId="0" applyBorder="1" applyAlignment="1">
      <alignment vertical="center" wrapText="1"/>
    </xf>
    <xf numFmtId="0" fontId="0" fillId="0" borderId="7" xfId="0" applyBorder="1" applyAlignment="1">
      <alignment vertical="center" wrapText="1"/>
    </xf>
    <xf numFmtId="3" fontId="3" fillId="0" borderId="0" xfId="0" applyNumberFormat="1" applyFont="1" applyAlignment="1">
      <alignment vertical="center"/>
    </xf>
    <xf numFmtId="0" fontId="3" fillId="0" borderId="0" xfId="0" applyFont="1" applyAlignment="1">
      <alignment vertical="center"/>
    </xf>
  </cellXfs>
  <cellStyles count="333">
    <cellStyle name="Entrée" xfId="27" builtinId="20"/>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Milliers" xfId="245" builtinId="3"/>
    <cellStyle name="Normal" xfId="0" builtinId="0"/>
    <cellStyle name="Normal 2 5" xfId="332" xr:uid="{4E46E953-AD9D-4306-ABA5-99A92F12E984}"/>
    <cellStyle name="Normal 5" xfId="331" xr:uid="{A26C2A33-CA7B-48D4-8797-ECE0D3311114}"/>
    <cellStyle name="Sortie" xfId="320" builtinId="21"/>
  </cellStyles>
  <dxfs count="18">
    <dxf>
      <font>
        <color auto="1"/>
      </font>
      <fill>
        <patternFill patternType="solid">
          <fgColor indexed="64"/>
          <bgColor rgb="FFFABF8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colors>
    <mruColors>
      <color rgb="FFA6A6A6"/>
      <color rgb="FFFABF8F"/>
      <color rgb="FFF7FAB4"/>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karim.lourimi@moorestephens.com/elyes.kooli@moorestephens.com" TargetMode="External"/><Relationship Id="rId1" Type="http://schemas.openxmlformats.org/officeDocument/2006/relationships/hyperlink" Target="http://myanmareiti.org/my/other-repor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48"/>
  <sheetViews>
    <sheetView showGridLines="0" topLeftCell="A8" workbookViewId="0">
      <selection activeCell="B29" sqref="B29"/>
    </sheetView>
  </sheetViews>
  <sheetFormatPr baseColWidth="10" defaultColWidth="3.5" defaultRowHeight="24" customHeight="1"/>
  <cols>
    <col min="1" max="1" width="3.5" style="8"/>
    <col min="2" max="2" width="30.375" style="8" customWidth="1"/>
    <col min="3" max="3" width="37.875" style="8" customWidth="1"/>
    <col min="4" max="4" width="85.875" style="8" customWidth="1"/>
    <col min="5" max="16384" width="3.5" style="8"/>
  </cols>
  <sheetData>
    <row r="1" spans="2:4" ht="15.95" customHeight="1"/>
    <row r="2" spans="2:4" ht="20.25">
      <c r="B2" s="201" t="s">
        <v>210</v>
      </c>
      <c r="C2" s="197"/>
      <c r="D2" s="197"/>
    </row>
    <row r="3" spans="2:4" ht="15.95" customHeight="1">
      <c r="B3" s="171" t="s">
        <v>322</v>
      </c>
      <c r="C3" s="171"/>
      <c r="D3" s="171"/>
    </row>
    <row r="4" spans="2:4" ht="15.95" customHeight="1">
      <c r="B4" s="169"/>
      <c r="C4" s="170"/>
      <c r="D4" s="170"/>
    </row>
    <row r="5" spans="2:4" ht="15.95" customHeight="1">
      <c r="B5" s="170" t="s">
        <v>323</v>
      </c>
      <c r="C5" s="170"/>
      <c r="D5" s="170"/>
    </row>
    <row r="6" spans="2:4" ht="15.95" customHeight="1">
      <c r="B6" s="202" t="s">
        <v>324</v>
      </c>
      <c r="C6" s="202"/>
      <c r="D6" s="202"/>
    </row>
    <row r="7" spans="2:4" ht="15.95" customHeight="1">
      <c r="B7" s="202"/>
      <c r="C7" s="202"/>
      <c r="D7" s="202"/>
    </row>
    <row r="8" spans="2:4" ht="15.95" customHeight="1">
      <c r="B8" s="196"/>
      <c r="C8" s="197"/>
      <c r="D8" s="197"/>
    </row>
    <row r="9" spans="2:4" ht="15.95" customHeight="1">
      <c r="B9" s="196" t="s">
        <v>326</v>
      </c>
      <c r="C9" s="197"/>
      <c r="D9" s="197"/>
    </row>
    <row r="10" spans="2:4" ht="15.95" customHeight="1">
      <c r="B10" s="196" t="s">
        <v>107</v>
      </c>
      <c r="C10" s="197"/>
      <c r="D10" s="197"/>
    </row>
    <row r="11" spans="2:4" ht="15.95" customHeight="1">
      <c r="B11" s="196"/>
      <c r="C11" s="197"/>
      <c r="D11" s="197"/>
    </row>
    <row r="12" spans="2:4" ht="15.95" customHeight="1">
      <c r="B12" s="196" t="s">
        <v>108</v>
      </c>
      <c r="C12" s="197"/>
      <c r="D12" s="197"/>
    </row>
    <row r="13" spans="2:4" ht="15.95" customHeight="1">
      <c r="B13" s="196" t="s">
        <v>209</v>
      </c>
      <c r="C13" s="197"/>
      <c r="D13" s="197"/>
    </row>
    <row r="14" spans="2:4" ht="15.95" customHeight="1">
      <c r="B14" s="196" t="s">
        <v>97</v>
      </c>
      <c r="C14" s="197"/>
      <c r="D14" s="197"/>
    </row>
    <row r="15" spans="2:4" ht="15.95" customHeight="1">
      <c r="B15" s="196" t="s">
        <v>325</v>
      </c>
      <c r="C15" s="197"/>
      <c r="D15" s="197"/>
    </row>
    <row r="16" spans="2:4" ht="15.95" customHeight="1">
      <c r="B16" s="196"/>
      <c r="C16" s="197"/>
      <c r="D16" s="197"/>
    </row>
    <row r="17" spans="2:4" ht="15.95" customHeight="1">
      <c r="B17" s="199" t="s">
        <v>98</v>
      </c>
      <c r="C17" s="200"/>
      <c r="D17" s="174"/>
    </row>
    <row r="18" spans="2:4" ht="15.95" customHeight="1">
      <c r="B18" s="198" t="s">
        <v>99</v>
      </c>
      <c r="C18" s="197"/>
      <c r="D18" s="174"/>
    </row>
    <row r="19" spans="2:4" ht="15.95" customHeight="1">
      <c r="B19" s="173"/>
      <c r="C19" s="173"/>
      <c r="D19" s="173"/>
    </row>
    <row r="20" spans="2:4" ht="15.95" customHeight="1">
      <c r="B20" s="172"/>
      <c r="C20" s="172"/>
      <c r="D20" s="172"/>
    </row>
    <row r="21" spans="2:4" ht="15.95" customHeight="1">
      <c r="B21" s="172" t="s">
        <v>265</v>
      </c>
      <c r="C21" s="172"/>
      <c r="D21" s="41" t="s">
        <v>292</v>
      </c>
    </row>
    <row r="22" spans="2:4" ht="15.95" customHeight="1">
      <c r="B22" s="9"/>
      <c r="C22" s="9"/>
      <c r="D22" s="9"/>
    </row>
    <row r="23" spans="2:4" ht="15.95" customHeight="1">
      <c r="B23" s="9"/>
      <c r="C23" s="9"/>
    </row>
    <row r="24" spans="2:4" ht="15.95" customHeight="1"/>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row r="47" ht="12.75"/>
    <row r="48" ht="12.75"/>
  </sheetData>
  <mergeCells count="13">
    <mergeCell ref="B11:D11"/>
    <mergeCell ref="B8:D8"/>
    <mergeCell ref="B18:C18"/>
    <mergeCell ref="B17:C17"/>
    <mergeCell ref="B2:D2"/>
    <mergeCell ref="B12:D12"/>
    <mergeCell ref="B13:D13"/>
    <mergeCell ref="B14:D14"/>
    <mergeCell ref="B15:D15"/>
    <mergeCell ref="B16:D16"/>
    <mergeCell ref="B6:D7"/>
    <mergeCell ref="B9:D9"/>
    <mergeCell ref="B10:D10"/>
  </mergeCells>
  <phoneticPr fontId="8" type="noConversion"/>
  <hyperlinks>
    <hyperlink ref="D21" r:id="rId1" xr:uid="{00000000-0004-0000-0000-000000000000}"/>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37"/>
  <sheetViews>
    <sheetView showGridLines="0" topLeftCell="A12" workbookViewId="0">
      <selection activeCell="A26" sqref="A26"/>
    </sheetView>
  </sheetViews>
  <sheetFormatPr baseColWidth="10" defaultColWidth="3.5" defaultRowHeight="24" customHeight="1"/>
  <cols>
    <col min="1" max="1" width="3.5" style="46"/>
    <col min="2" max="2" width="53.375" style="46" customWidth="1"/>
    <col min="3" max="3" width="27" style="46" customWidth="1"/>
    <col min="4" max="4" width="35.375" style="46" bestFit="1" customWidth="1"/>
    <col min="5" max="5" width="38.375" style="46" customWidth="1"/>
    <col min="6" max="16384" width="3.5" style="46"/>
  </cols>
  <sheetData>
    <row r="1" spans="2:5" ht="15.95" customHeight="1"/>
    <row r="2" spans="2:5" ht="24.95" customHeight="1">
      <c r="B2" s="47" t="s">
        <v>208</v>
      </c>
    </row>
    <row r="3" spans="2:5" ht="15.95" customHeight="1">
      <c r="B3" s="48" t="s">
        <v>109</v>
      </c>
    </row>
    <row r="4" spans="2:5" ht="15.95" customHeight="1" thickBot="1">
      <c r="D4" s="10" t="s">
        <v>91</v>
      </c>
      <c r="E4" s="10" t="s">
        <v>261</v>
      </c>
    </row>
    <row r="5" spans="2:5" ht="15.95" customHeight="1" thickTop="1">
      <c r="B5" s="49" t="s">
        <v>101</v>
      </c>
      <c r="C5" s="49"/>
      <c r="D5" s="176" t="s">
        <v>327</v>
      </c>
      <c r="E5" s="40"/>
    </row>
    <row r="6" spans="2:5" ht="15.95" customHeight="1">
      <c r="B6" s="50" t="s">
        <v>102</v>
      </c>
      <c r="C6" s="49" t="s">
        <v>81</v>
      </c>
      <c r="D6" s="177">
        <v>41730</v>
      </c>
      <c r="E6" s="40"/>
    </row>
    <row r="7" spans="2:5" ht="15.95" customHeight="1">
      <c r="B7" s="51"/>
      <c r="C7" s="49" t="s">
        <v>82</v>
      </c>
      <c r="D7" s="177">
        <v>42094</v>
      </c>
      <c r="E7" s="40"/>
    </row>
    <row r="8" spans="2:5" ht="15.95" customHeight="1">
      <c r="B8" s="49" t="s">
        <v>103</v>
      </c>
      <c r="C8" s="52"/>
      <c r="D8" s="178" t="s">
        <v>328</v>
      </c>
      <c r="E8" s="40"/>
    </row>
    <row r="9" spans="2:5" ht="15.95" customHeight="1">
      <c r="B9" s="49" t="s">
        <v>104</v>
      </c>
      <c r="C9" s="49"/>
      <c r="D9" s="177">
        <v>43189</v>
      </c>
      <c r="E9" s="40"/>
    </row>
    <row r="10" spans="2:5" ht="15.95" customHeight="1">
      <c r="B10" s="50" t="s">
        <v>105</v>
      </c>
      <c r="C10" s="49" t="s">
        <v>83</v>
      </c>
      <c r="D10" s="119" t="s">
        <v>329</v>
      </c>
      <c r="E10" s="40"/>
    </row>
    <row r="11" spans="2:5" ht="15.95" customHeight="1">
      <c r="B11" s="53" t="s">
        <v>94</v>
      </c>
      <c r="C11" s="49" t="s">
        <v>84</v>
      </c>
      <c r="D11" s="119" t="s">
        <v>329</v>
      </c>
      <c r="E11" s="40"/>
    </row>
    <row r="12" spans="2:5" ht="15.95" customHeight="1">
      <c r="B12" s="54"/>
      <c r="C12" s="49" t="s">
        <v>85</v>
      </c>
      <c r="D12" s="119" t="s">
        <v>329</v>
      </c>
      <c r="E12" s="40"/>
    </row>
    <row r="13" spans="2:5" ht="25.5">
      <c r="B13" s="54"/>
      <c r="C13" s="49" t="s">
        <v>86</v>
      </c>
      <c r="D13" s="179" t="s">
        <v>330</v>
      </c>
      <c r="E13" s="40"/>
    </row>
    <row r="14" spans="2:5" ht="15.95" customHeight="1">
      <c r="B14" s="50" t="s">
        <v>106</v>
      </c>
      <c r="C14" s="50" t="s">
        <v>95</v>
      </c>
      <c r="D14" s="180" t="s">
        <v>331</v>
      </c>
      <c r="E14" s="40"/>
    </row>
    <row r="15" spans="2:5" ht="15.95" customHeight="1">
      <c r="B15" s="53" t="s">
        <v>96</v>
      </c>
      <c r="C15" s="49" t="s">
        <v>269</v>
      </c>
      <c r="D15" s="159" t="s">
        <v>87</v>
      </c>
      <c r="E15" s="40"/>
    </row>
    <row r="16" spans="2:5" ht="15.95" customHeight="1">
      <c r="B16" s="53"/>
      <c r="C16" s="49" t="s">
        <v>302</v>
      </c>
      <c r="D16" s="159" t="s">
        <v>87</v>
      </c>
      <c r="E16" s="40"/>
    </row>
    <row r="17" spans="2:5" ht="15.95" customHeight="1">
      <c r="C17" s="52" t="s">
        <v>88</v>
      </c>
      <c r="D17" s="120" t="s">
        <v>87</v>
      </c>
      <c r="E17" s="40"/>
    </row>
    <row r="18" spans="2:5" ht="15.95" customHeight="1">
      <c r="B18" s="49" t="s">
        <v>113</v>
      </c>
      <c r="C18" s="49"/>
      <c r="D18" s="121">
        <v>15</v>
      </c>
      <c r="E18" s="40"/>
    </row>
    <row r="19" spans="2:5" ht="15.95" customHeight="1">
      <c r="B19" s="49" t="s">
        <v>114</v>
      </c>
      <c r="C19" s="49"/>
      <c r="D19" s="121">
        <v>141</v>
      </c>
      <c r="E19" s="40"/>
    </row>
    <row r="20" spans="2:5" ht="15.95" customHeight="1">
      <c r="B20" s="50" t="s">
        <v>117</v>
      </c>
      <c r="C20" s="49" t="s">
        <v>212</v>
      </c>
      <c r="D20" s="177" t="s">
        <v>332</v>
      </c>
      <c r="E20" s="40"/>
    </row>
    <row r="21" spans="2:5" ht="15.95" customHeight="1">
      <c r="B21" s="51"/>
      <c r="C21" s="49" t="s">
        <v>289</v>
      </c>
      <c r="D21" s="177" t="s">
        <v>333</v>
      </c>
      <c r="E21" s="40"/>
    </row>
    <row r="22" spans="2:5" ht="15.95" customHeight="1">
      <c r="B22" s="50" t="s">
        <v>295</v>
      </c>
      <c r="C22" s="49" t="s">
        <v>89</v>
      </c>
      <c r="D22" s="119" t="s">
        <v>329</v>
      </c>
      <c r="E22" s="40"/>
    </row>
    <row r="23" spans="2:5" ht="15.95" customHeight="1">
      <c r="B23" s="53" t="s">
        <v>263</v>
      </c>
      <c r="C23" s="49" t="s">
        <v>90</v>
      </c>
      <c r="D23" s="119" t="s">
        <v>329</v>
      </c>
      <c r="E23" s="40"/>
    </row>
    <row r="24" spans="2:5" ht="15.95" customHeight="1">
      <c r="B24" s="54"/>
      <c r="C24" s="50" t="s">
        <v>100</v>
      </c>
      <c r="D24" s="119" t="s">
        <v>334</v>
      </c>
      <c r="E24" s="40"/>
    </row>
    <row r="25" spans="2:5" ht="15.95" customHeight="1">
      <c r="B25" s="50" t="s">
        <v>221</v>
      </c>
      <c r="C25" s="49" t="s">
        <v>218</v>
      </c>
      <c r="D25" s="122" t="s">
        <v>609</v>
      </c>
      <c r="E25" s="40"/>
    </row>
    <row r="26" spans="2:5" ht="15.95" customHeight="1">
      <c r="B26" s="54"/>
      <c r="C26" s="49" t="s">
        <v>220</v>
      </c>
      <c r="D26" s="178" t="s">
        <v>611</v>
      </c>
      <c r="E26" s="40"/>
    </row>
    <row r="27" spans="2:5" ht="15.95" customHeight="1" thickBot="1">
      <c r="B27" s="52"/>
      <c r="C27" s="49" t="s">
        <v>219</v>
      </c>
      <c r="D27" s="181" t="s">
        <v>610</v>
      </c>
      <c r="E27" s="40"/>
    </row>
    <row r="28" spans="2:5" ht="15.95" customHeight="1" thickTop="1">
      <c r="B28" s="54"/>
      <c r="C28" s="54"/>
      <c r="D28" s="55"/>
    </row>
    <row r="29" spans="2:5" ht="15.95" customHeight="1">
      <c r="B29" s="54"/>
      <c r="C29" s="54"/>
      <c r="D29" s="55"/>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xWindow="955" yWindow="668" count="9">
    <dataValidation allowBlank="1" showInputMessage="1" showErrorMessage="1" promptTitle="EITI Report URL" prompt="Please insert direct URL to EITI Report (or report folder) on National EITI website." sqref="D14" xr:uid="{00000000-0002-0000-0100-000006000000}"/>
    <dataValidation allowBlank="1" showInputMessage="1" showErrorMessage="1" promptTitle="Data files (CSV, excel)" prompt="Please insert direct URL to accompanying data files for report on National EITI website._x000a__x000a_Data files refer to excel, CSV or similar. PDFs are not to be included here" sqref="D15" xr:uid="{00000000-0002-0000-0100-000007000000}"/>
    <dataValidation allowBlank="1" showInputMessage="1" showErrorMessage="1" promptTitle="Additional relevant files" prompt="If several files relevant to the report exist, please indicate as such here. If several, please copy this into several rows." sqref="D17" xr:uid="{00000000-0002-0000-0100-000008000000}"/>
    <dataValidation type="decimal" errorStyle="warning" allowBlank="1" showInputMessage="1" showErrorMessage="1" errorTitle="Non-number value detected" error="Only input numbers in this cell. If additional information is appropriate, please include in appropriate columns on the right." promptTitle="Reporting government entities" prompt="Please input how many government entities reported on revenues received" sqref="D18" xr:uid="{00000000-0002-0000-0100-000009000000}">
      <formula1>0</formula1>
      <formula2>9999999999999990000</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Reporting companies" prompt="Please input the number of companies reporting on payments to the government" sqref="D19" xr:uid="{00000000-0002-0000-0100-00000A000000}">
      <formula1>0</formula1>
      <formula2>9999999999999990000</formula2>
    </dataValidation>
    <dataValidation allowBlank="1" showInputMessage="1" showErrorMessage="1" promptTitle="Open data policy" prompt="Please insert direct URL to Open data policy on National EITI website." sqref="D16" xr:uid="{00000000-0002-0000-0100-00000B000000}"/>
    <dataValidation type="list" showInputMessage="1" showErrorMessage="1" errorTitle="Invalid entry" error="_x000a_Please choose among the following:_x000a__x000a_Yes_x000a_No_x000a_Not applicable" promptTitle="Choose among the following" prompt="_x000a_Yes_x000a_No_x000a_Not applicable" sqref="D10:D12 D22:D24" xr:uid="{00000000-0002-0000-0100-00000C000000}">
      <formula1>"Yes,No,Not applicable,&lt;choose option&gt;"</formula1>
    </dataValidation>
    <dataValidation type="list" showDropDown="1" showInputMessage="1" showErrorMessage="1" errorTitle="Please do not edit these cells" error="Please do not edit these cells" sqref="C1:C12 C14:C16 A1:B29 C18:C29 D28:E30 D1:E4" xr:uid="{00000000-0002-0000-0100-00000D000000}">
      <formula1>"#ERROR!"</formula1>
    </dataValidation>
    <dataValidation allowBlank="1" sqref="D6:D7 D9 D20:D21" xr:uid="{65CC09C5-1B87-4560-B75D-C1E696C5724D}"/>
  </dataValidations>
  <hyperlinks>
    <hyperlink ref="D14" r:id="rId1" xr:uid="{FB799685-04D2-4D90-82F6-230F03BE0502}"/>
    <hyperlink ref="D27" r:id="rId2" xr:uid="{6A80DFD8-0682-4D1D-A671-E6F121EFFA6A}"/>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143"/>
  <sheetViews>
    <sheetView showGridLines="0" topLeftCell="C1" zoomScale="115" zoomScaleNormal="115" workbookViewId="0">
      <selection activeCell="C17" sqref="C17"/>
    </sheetView>
  </sheetViews>
  <sheetFormatPr baseColWidth="10" defaultColWidth="3.5" defaultRowHeight="24" customHeight="1"/>
  <cols>
    <col min="1" max="1" width="3.5" style="46"/>
    <col min="2" max="2" width="53.5" style="46" customWidth="1"/>
    <col min="3" max="3" width="52.5" style="46" bestFit="1" customWidth="1"/>
    <col min="4" max="4" width="26.25" style="46" customWidth="1"/>
    <col min="5" max="5" width="15.125" style="46" bestFit="1" customWidth="1"/>
    <col min="6" max="6" width="38.375" style="46" customWidth="1"/>
    <col min="7" max="7" width="32.125" style="46" customWidth="1"/>
    <col min="8" max="8" width="46.5" style="46" customWidth="1"/>
    <col min="9" max="16384" width="3.5" style="46"/>
  </cols>
  <sheetData>
    <row r="1" spans="2:8" ht="15.95" customHeight="1"/>
    <row r="2" spans="2:8" ht="24.95" customHeight="1">
      <c r="B2" s="47" t="s">
        <v>92</v>
      </c>
      <c r="C2" s="7"/>
      <c r="E2" s="10"/>
    </row>
    <row r="3" spans="2:8" ht="15.95" customHeight="1">
      <c r="B3" s="56"/>
      <c r="E3" s="10"/>
    </row>
    <row r="4" spans="2:8" ht="15" customHeight="1" thickBot="1">
      <c r="D4" s="10" t="s">
        <v>91</v>
      </c>
      <c r="E4" s="10" t="s">
        <v>222</v>
      </c>
      <c r="F4" s="11" t="s">
        <v>262</v>
      </c>
      <c r="G4" s="10" t="s">
        <v>261</v>
      </c>
      <c r="H4" s="38"/>
    </row>
    <row r="5" spans="2:8" ht="16.5" customHeight="1" thickBot="1">
      <c r="B5" s="50" t="s">
        <v>308</v>
      </c>
      <c r="C5" s="49" t="s">
        <v>276</v>
      </c>
      <c r="D5" s="117">
        <v>4797493</v>
      </c>
      <c r="E5" s="140" t="s">
        <v>335</v>
      </c>
      <c r="F5" s="57" t="s">
        <v>417</v>
      </c>
      <c r="G5" s="40"/>
    </row>
    <row r="6" spans="2:8" ht="16.5" customHeight="1">
      <c r="B6" s="58" t="s">
        <v>223</v>
      </c>
      <c r="C6" s="49" t="s">
        <v>273</v>
      </c>
      <c r="D6" s="118">
        <v>65261890.200000003</v>
      </c>
      <c r="E6" s="140" t="s">
        <v>335</v>
      </c>
      <c r="F6" s="59" t="s">
        <v>417</v>
      </c>
      <c r="G6" s="40"/>
    </row>
    <row r="7" spans="2:8" ht="16.5" customHeight="1">
      <c r="C7" s="60" t="s">
        <v>274</v>
      </c>
      <c r="D7" s="118">
        <v>3408193</v>
      </c>
      <c r="E7" s="141" t="s">
        <v>335</v>
      </c>
      <c r="F7" s="59" t="s">
        <v>417</v>
      </c>
      <c r="G7" s="40"/>
    </row>
    <row r="8" spans="2:8" ht="16.5" customHeight="1">
      <c r="B8" s="54"/>
      <c r="C8" s="49" t="s">
        <v>275</v>
      </c>
      <c r="D8" s="118">
        <v>16538398</v>
      </c>
      <c r="E8" s="141" t="s">
        <v>335</v>
      </c>
      <c r="F8" s="59" t="s">
        <v>417</v>
      </c>
      <c r="G8" s="40"/>
    </row>
    <row r="9" spans="2:8" ht="16.5" customHeight="1">
      <c r="B9" s="54"/>
      <c r="C9" s="49" t="s">
        <v>277</v>
      </c>
      <c r="D9" s="118">
        <v>6616559</v>
      </c>
      <c r="E9" s="141" t="s">
        <v>335</v>
      </c>
      <c r="F9" s="59" t="s">
        <v>417</v>
      </c>
      <c r="G9" s="40"/>
    </row>
    <row r="10" spans="2:8" ht="16.5" customHeight="1">
      <c r="B10" s="54"/>
      <c r="C10" s="49" t="s">
        <v>278</v>
      </c>
      <c r="D10" s="118">
        <v>12464350</v>
      </c>
      <c r="E10" s="141" t="s">
        <v>335</v>
      </c>
      <c r="F10" s="59" t="s">
        <v>417</v>
      </c>
      <c r="G10" s="40"/>
    </row>
    <row r="11" spans="2:8" ht="15.95" customHeight="1">
      <c r="B11" s="50" t="s">
        <v>309</v>
      </c>
      <c r="C11" s="49" t="s">
        <v>224</v>
      </c>
      <c r="D11" s="118">
        <v>1744317</v>
      </c>
      <c r="E11" s="160" t="s">
        <v>336</v>
      </c>
      <c r="F11" s="59" t="s">
        <v>418</v>
      </c>
      <c r="G11" s="40"/>
    </row>
    <row r="12" spans="2:8" ht="15.95" customHeight="1">
      <c r="B12" s="58" t="s">
        <v>223</v>
      </c>
      <c r="C12" s="49" t="s">
        <v>296</v>
      </c>
      <c r="D12" s="118">
        <v>171904</v>
      </c>
      <c r="E12" s="141" t="s">
        <v>335</v>
      </c>
      <c r="F12" s="59" t="s">
        <v>418</v>
      </c>
      <c r="G12" s="40"/>
    </row>
    <row r="13" spans="2:8" ht="15.95" customHeight="1">
      <c r="B13" s="61"/>
      <c r="C13" s="49" t="s">
        <v>225</v>
      </c>
      <c r="D13" s="118">
        <f>651584+645</f>
        <v>652229</v>
      </c>
      <c r="E13" s="141" t="s">
        <v>337</v>
      </c>
      <c r="F13" s="59" t="s">
        <v>418</v>
      </c>
      <c r="G13" s="40"/>
    </row>
    <row r="14" spans="2:8" ht="15.95" customHeight="1">
      <c r="B14" s="61"/>
      <c r="C14" s="49" t="s">
        <v>297</v>
      </c>
      <c r="D14" s="118">
        <f>5894336+5835</f>
        <v>5900171</v>
      </c>
      <c r="E14" s="141" t="s">
        <v>335</v>
      </c>
      <c r="F14" s="59" t="s">
        <v>418</v>
      </c>
      <c r="G14" s="40"/>
    </row>
    <row r="15" spans="2:8" ht="15.95" customHeight="1">
      <c r="B15" s="61"/>
      <c r="C15" s="49" t="s">
        <v>338</v>
      </c>
      <c r="D15" s="118">
        <v>2869870</v>
      </c>
      <c r="E15" s="175" t="s">
        <v>336</v>
      </c>
      <c r="F15" s="59" t="s">
        <v>418</v>
      </c>
      <c r="G15" s="40"/>
    </row>
    <row r="16" spans="2:8" ht="15.95" customHeight="1">
      <c r="B16"/>
      <c r="C16" s="49" t="s">
        <v>339</v>
      </c>
      <c r="D16" s="118">
        <v>209572</v>
      </c>
      <c r="E16" s="141" t="s">
        <v>335</v>
      </c>
      <c r="F16" s="59" t="s">
        <v>418</v>
      </c>
      <c r="G16" s="40"/>
    </row>
    <row r="17" spans="2:7" ht="15.95" customHeight="1">
      <c r="B17"/>
      <c r="C17" s="49" t="s">
        <v>340</v>
      </c>
      <c r="D17" s="118">
        <f>1027960+7424691+53300+2533835</f>
        <v>11039786</v>
      </c>
      <c r="E17" s="160" t="s">
        <v>341</v>
      </c>
      <c r="F17" s="182" t="s">
        <v>343</v>
      </c>
      <c r="G17" s="40"/>
    </row>
    <row r="18" spans="2:7" ht="15.95" customHeight="1">
      <c r="B18"/>
      <c r="C18" s="49" t="s">
        <v>342</v>
      </c>
      <c r="D18" s="118">
        <f>83.37+669.28+2.62+2.62</f>
        <v>757.89</v>
      </c>
      <c r="E18" s="141" t="s">
        <v>335</v>
      </c>
      <c r="F18" s="182" t="s">
        <v>343</v>
      </c>
      <c r="G18" s="40"/>
    </row>
    <row r="19" spans="2:7" ht="15.95" customHeight="1">
      <c r="B19"/>
      <c r="C19" s="49" t="s">
        <v>344</v>
      </c>
      <c r="D19" s="118">
        <f>35+8797</f>
        <v>8832</v>
      </c>
      <c r="E19" s="160" t="s">
        <v>346</v>
      </c>
      <c r="F19" s="182" t="s">
        <v>343</v>
      </c>
      <c r="G19" s="40"/>
    </row>
    <row r="20" spans="2:7" ht="15.95" customHeight="1">
      <c r="B20"/>
      <c r="C20" s="49" t="s">
        <v>345</v>
      </c>
      <c r="D20" s="118">
        <f>1.8+110.26</f>
        <v>112.06</v>
      </c>
      <c r="E20" s="141" t="s">
        <v>335</v>
      </c>
      <c r="F20" s="182" t="s">
        <v>343</v>
      </c>
      <c r="G20" s="40"/>
    </row>
    <row r="21" spans="2:7" ht="15.95" customHeight="1">
      <c r="B21"/>
      <c r="C21" s="49" t="s">
        <v>348</v>
      </c>
      <c r="D21" s="118">
        <v>16892879</v>
      </c>
      <c r="E21" s="175" t="s">
        <v>346</v>
      </c>
      <c r="F21" s="182" t="s">
        <v>343</v>
      </c>
      <c r="G21" s="40"/>
    </row>
    <row r="22" spans="2:7" ht="15.95" customHeight="1">
      <c r="B22" s="61"/>
      <c r="C22" s="49" t="s">
        <v>349</v>
      </c>
      <c r="D22" s="118">
        <v>35746.46</v>
      </c>
      <c r="E22" s="141" t="s">
        <v>335</v>
      </c>
      <c r="F22" s="182" t="s">
        <v>343</v>
      </c>
      <c r="G22" s="40"/>
    </row>
    <row r="23" spans="2:7" ht="15.95" customHeight="1">
      <c r="B23" s="61"/>
      <c r="C23" s="49" t="s">
        <v>350</v>
      </c>
      <c r="D23" s="118">
        <v>24309</v>
      </c>
      <c r="E23" s="160" t="s">
        <v>298</v>
      </c>
      <c r="F23" s="182" t="s">
        <v>343</v>
      </c>
      <c r="G23" s="40"/>
    </row>
    <row r="24" spans="2:7" ht="15.95" customHeight="1">
      <c r="B24" s="61"/>
      <c r="C24" s="49" t="s">
        <v>351</v>
      </c>
      <c r="D24" s="118">
        <v>1459</v>
      </c>
      <c r="E24" s="141" t="s">
        <v>335</v>
      </c>
      <c r="F24" s="182" t="s">
        <v>343</v>
      </c>
      <c r="G24" s="40"/>
    </row>
    <row r="25" spans="2:7" ht="15.95" customHeight="1">
      <c r="B25" s="61"/>
      <c r="C25" s="49" t="s">
        <v>352</v>
      </c>
      <c r="D25" s="118">
        <v>5403</v>
      </c>
      <c r="E25" s="175" t="s">
        <v>298</v>
      </c>
      <c r="F25" s="182" t="s">
        <v>343</v>
      </c>
      <c r="G25" s="40"/>
    </row>
    <row r="26" spans="2:7" ht="15.95" customHeight="1">
      <c r="B26" s="61"/>
      <c r="C26" s="49" t="s">
        <v>353</v>
      </c>
      <c r="D26" s="118">
        <v>432</v>
      </c>
      <c r="E26" s="141" t="s">
        <v>335</v>
      </c>
      <c r="F26" s="182" t="s">
        <v>343</v>
      </c>
      <c r="G26" s="40"/>
    </row>
    <row r="27" spans="2:7" ht="15.95" customHeight="1">
      <c r="B27" s="61"/>
      <c r="C27" s="49" t="s">
        <v>354</v>
      </c>
      <c r="D27" s="118">
        <v>3030</v>
      </c>
      <c r="E27" s="175" t="s">
        <v>298</v>
      </c>
      <c r="F27" s="182" t="s">
        <v>343</v>
      </c>
      <c r="G27" s="40"/>
    </row>
    <row r="28" spans="2:7" ht="15.95" customHeight="1">
      <c r="B28" s="61"/>
      <c r="C28" s="49" t="s">
        <v>355</v>
      </c>
      <c r="D28" s="118">
        <v>242</v>
      </c>
      <c r="E28" s="141" t="s">
        <v>335</v>
      </c>
      <c r="F28" s="182" t="s">
        <v>343</v>
      </c>
      <c r="G28" s="40"/>
    </row>
    <row r="29" spans="2:7" ht="15.95" customHeight="1">
      <c r="B29" s="61"/>
      <c r="C29" s="49" t="s">
        <v>356</v>
      </c>
      <c r="D29" s="118">
        <v>10110</v>
      </c>
      <c r="E29" s="175" t="s">
        <v>298</v>
      </c>
      <c r="F29" s="182" t="s">
        <v>343</v>
      </c>
      <c r="G29" s="40"/>
    </row>
    <row r="30" spans="2:7" ht="15.95" customHeight="1">
      <c r="B30" s="61"/>
      <c r="C30" s="49" t="s">
        <v>357</v>
      </c>
      <c r="D30" s="118">
        <v>506</v>
      </c>
      <c r="E30" s="141" t="s">
        <v>335</v>
      </c>
      <c r="F30" s="182" t="s">
        <v>343</v>
      </c>
      <c r="G30" s="40"/>
    </row>
    <row r="31" spans="2:7" ht="15.95" customHeight="1">
      <c r="B31" s="61"/>
      <c r="C31" s="49" t="s">
        <v>358</v>
      </c>
      <c r="D31" s="118">
        <v>11955</v>
      </c>
      <c r="E31" s="175" t="s">
        <v>298</v>
      </c>
      <c r="F31" s="182" t="s">
        <v>343</v>
      </c>
      <c r="G31" s="40"/>
    </row>
    <row r="32" spans="2:7" ht="15.95" customHeight="1">
      <c r="B32" s="61"/>
      <c r="C32" s="49" t="s">
        <v>359</v>
      </c>
      <c r="D32" s="118">
        <v>454</v>
      </c>
      <c r="E32" s="141" t="s">
        <v>335</v>
      </c>
      <c r="F32" s="182" t="s">
        <v>343</v>
      </c>
      <c r="G32" s="40"/>
    </row>
    <row r="33" spans="2:7" ht="15.95" customHeight="1">
      <c r="B33" s="61"/>
      <c r="C33" s="49" t="s">
        <v>360</v>
      </c>
      <c r="D33" s="118">
        <v>10585</v>
      </c>
      <c r="E33" s="175" t="s">
        <v>298</v>
      </c>
      <c r="F33" s="182" t="s">
        <v>343</v>
      </c>
      <c r="G33" s="40"/>
    </row>
    <row r="34" spans="2:7" ht="15.95" customHeight="1">
      <c r="B34" s="61"/>
      <c r="C34" s="49" t="s">
        <v>361</v>
      </c>
      <c r="D34" s="118">
        <v>3705</v>
      </c>
      <c r="E34" s="141" t="s">
        <v>335</v>
      </c>
      <c r="F34" s="182" t="s">
        <v>343</v>
      </c>
      <c r="G34" s="40"/>
    </row>
    <row r="35" spans="2:7" ht="15.95" customHeight="1">
      <c r="B35" s="61"/>
      <c r="C35" s="49" t="s">
        <v>362</v>
      </c>
      <c r="D35" s="118">
        <v>1140</v>
      </c>
      <c r="E35" s="175" t="s">
        <v>298</v>
      </c>
      <c r="F35" s="182" t="s">
        <v>343</v>
      </c>
      <c r="G35" s="40"/>
    </row>
    <row r="36" spans="2:7" ht="15.95" customHeight="1">
      <c r="B36" s="61"/>
      <c r="C36" s="49" t="s">
        <v>363</v>
      </c>
      <c r="D36" s="118">
        <v>570</v>
      </c>
      <c r="E36" s="141" t="s">
        <v>335</v>
      </c>
      <c r="F36" s="182" t="s">
        <v>343</v>
      </c>
      <c r="G36" s="40"/>
    </row>
    <row r="37" spans="2:7" ht="15.95" customHeight="1">
      <c r="B37" s="61"/>
      <c r="C37" s="49" t="s">
        <v>364</v>
      </c>
      <c r="D37" s="118">
        <v>382</v>
      </c>
      <c r="E37" s="175" t="s">
        <v>298</v>
      </c>
      <c r="F37" s="182" t="s">
        <v>343</v>
      </c>
      <c r="G37" s="40"/>
    </row>
    <row r="38" spans="2:7" ht="15.95" customHeight="1">
      <c r="B38" s="61"/>
      <c r="C38" s="49" t="s">
        <v>365</v>
      </c>
      <c r="D38" s="118">
        <v>57</v>
      </c>
      <c r="E38" s="141" t="s">
        <v>335</v>
      </c>
      <c r="F38" s="182" t="s">
        <v>343</v>
      </c>
      <c r="G38" s="40"/>
    </row>
    <row r="39" spans="2:7" ht="15.95" customHeight="1">
      <c r="B39" s="61"/>
      <c r="C39" s="49" t="s">
        <v>366</v>
      </c>
      <c r="D39" s="118">
        <v>1000</v>
      </c>
      <c r="E39" s="175" t="s">
        <v>298</v>
      </c>
      <c r="F39" s="182" t="s">
        <v>343</v>
      </c>
      <c r="G39" s="40"/>
    </row>
    <row r="40" spans="2:7" ht="15.95" customHeight="1">
      <c r="B40" s="61"/>
      <c r="C40" s="49" t="s">
        <v>367</v>
      </c>
      <c r="D40" s="118">
        <v>80</v>
      </c>
      <c r="E40" s="141" t="s">
        <v>335</v>
      </c>
      <c r="F40" s="182" t="s">
        <v>343</v>
      </c>
      <c r="G40" s="40"/>
    </row>
    <row r="41" spans="2:7" ht="15.95" customHeight="1">
      <c r="B41" s="61"/>
      <c r="C41" s="49" t="s">
        <v>368</v>
      </c>
      <c r="D41" s="118">
        <v>535</v>
      </c>
      <c r="E41" s="175" t="s">
        <v>298</v>
      </c>
      <c r="F41" s="182" t="s">
        <v>343</v>
      </c>
      <c r="G41" s="40"/>
    </row>
    <row r="42" spans="2:7" ht="15.95" customHeight="1">
      <c r="B42" s="61"/>
      <c r="C42" s="49" t="s">
        <v>369</v>
      </c>
      <c r="D42" s="118">
        <v>4033</v>
      </c>
      <c r="E42" s="141" t="s">
        <v>335</v>
      </c>
      <c r="F42" s="182" t="s">
        <v>343</v>
      </c>
      <c r="G42" s="40"/>
    </row>
    <row r="43" spans="2:7" ht="15.95" customHeight="1">
      <c r="B43" s="61"/>
      <c r="C43" s="49" t="s">
        <v>370</v>
      </c>
      <c r="D43" s="118">
        <v>5</v>
      </c>
      <c r="E43" s="175" t="s">
        <v>298</v>
      </c>
      <c r="F43" s="182" t="s">
        <v>343</v>
      </c>
      <c r="G43" s="40"/>
    </row>
    <row r="44" spans="2:7" ht="15.95" customHeight="1">
      <c r="B44" s="61"/>
      <c r="C44" s="49" t="s">
        <v>371</v>
      </c>
      <c r="D44" s="118">
        <v>76</v>
      </c>
      <c r="E44" s="141" t="s">
        <v>335</v>
      </c>
      <c r="F44" s="182" t="s">
        <v>343</v>
      </c>
      <c r="G44" s="40"/>
    </row>
    <row r="45" spans="2:7" ht="15.95" customHeight="1">
      <c r="B45" s="61"/>
      <c r="C45" s="49" t="s">
        <v>372</v>
      </c>
      <c r="D45" s="118">
        <v>487</v>
      </c>
      <c r="E45" s="175" t="s">
        <v>298</v>
      </c>
      <c r="F45" s="182" t="s">
        <v>343</v>
      </c>
      <c r="G45" s="40"/>
    </row>
    <row r="46" spans="2:7" ht="15.95" customHeight="1">
      <c r="B46" s="61"/>
      <c r="C46" s="49" t="s">
        <v>373</v>
      </c>
      <c r="D46" s="118">
        <v>4243</v>
      </c>
      <c r="E46" s="141" t="s">
        <v>335</v>
      </c>
      <c r="F46" s="182" t="s">
        <v>343</v>
      </c>
      <c r="G46" s="40"/>
    </row>
    <row r="47" spans="2:7" ht="15.95" customHeight="1">
      <c r="B47" s="61"/>
      <c r="C47" s="49" t="s">
        <v>374</v>
      </c>
      <c r="D47" s="118">
        <v>614</v>
      </c>
      <c r="E47" s="175" t="s">
        <v>298</v>
      </c>
      <c r="F47" s="182" t="s">
        <v>343</v>
      </c>
      <c r="G47" s="40"/>
    </row>
    <row r="48" spans="2:7" ht="15.95" customHeight="1">
      <c r="B48" s="61"/>
      <c r="C48" s="49" t="s">
        <v>375</v>
      </c>
      <c r="D48" s="118">
        <v>5574</v>
      </c>
      <c r="E48" s="141" t="s">
        <v>335</v>
      </c>
      <c r="F48" s="182" t="s">
        <v>343</v>
      </c>
      <c r="G48" s="40"/>
    </row>
    <row r="49" spans="2:7" ht="15.95" customHeight="1">
      <c r="B49" s="61"/>
      <c r="C49" s="49" t="s">
        <v>376</v>
      </c>
      <c r="D49" s="118">
        <v>42181</v>
      </c>
      <c r="E49" s="175" t="s">
        <v>347</v>
      </c>
      <c r="F49" s="182" t="s">
        <v>343</v>
      </c>
      <c r="G49" s="40"/>
    </row>
    <row r="50" spans="2:7" ht="15.95" customHeight="1">
      <c r="B50" s="61"/>
      <c r="C50" s="49" t="s">
        <v>377</v>
      </c>
      <c r="D50" s="118">
        <v>53202</v>
      </c>
      <c r="E50" s="141" t="s">
        <v>335</v>
      </c>
      <c r="F50" s="182" t="s">
        <v>343</v>
      </c>
      <c r="G50" s="40"/>
    </row>
    <row r="51" spans="2:7" ht="15.95" customHeight="1">
      <c r="B51" s="61"/>
      <c r="C51" s="49" t="s">
        <v>378</v>
      </c>
      <c r="D51" s="118">
        <v>386732</v>
      </c>
      <c r="E51" s="175" t="s">
        <v>298</v>
      </c>
      <c r="F51" s="182" t="s">
        <v>343</v>
      </c>
      <c r="G51" s="40"/>
    </row>
    <row r="52" spans="2:7" ht="15.95" customHeight="1">
      <c r="B52" s="61"/>
      <c r="C52" s="49" t="s">
        <v>379</v>
      </c>
      <c r="D52" s="118">
        <v>420</v>
      </c>
      <c r="E52" s="141" t="s">
        <v>335</v>
      </c>
      <c r="F52" s="182" t="s">
        <v>343</v>
      </c>
      <c r="G52" s="40"/>
    </row>
    <row r="53" spans="2:7" ht="15.95" customHeight="1">
      <c r="B53" s="61"/>
      <c r="C53" s="49" t="s">
        <v>380</v>
      </c>
      <c r="D53" s="118">
        <v>1759493</v>
      </c>
      <c r="E53" s="175" t="s">
        <v>298</v>
      </c>
      <c r="F53" s="182" t="s">
        <v>343</v>
      </c>
      <c r="G53" s="40"/>
    </row>
    <row r="54" spans="2:7" ht="15.95" customHeight="1">
      <c r="B54" s="61"/>
      <c r="C54" s="49" t="s">
        <v>381</v>
      </c>
      <c r="D54" s="118">
        <v>2024</v>
      </c>
      <c r="E54" s="141" t="s">
        <v>335</v>
      </c>
      <c r="F54" s="182" t="s">
        <v>343</v>
      </c>
      <c r="G54" s="40"/>
    </row>
    <row r="55" spans="2:7" ht="15.95" customHeight="1">
      <c r="B55" s="61"/>
      <c r="C55" s="49" t="s">
        <v>382</v>
      </c>
      <c r="D55" s="118">
        <v>17112</v>
      </c>
      <c r="E55" s="175" t="s">
        <v>298</v>
      </c>
      <c r="F55" s="182" t="s">
        <v>343</v>
      </c>
      <c r="G55" s="40"/>
    </row>
    <row r="56" spans="2:7" ht="15.95" customHeight="1">
      <c r="B56" s="61"/>
      <c r="C56" s="49" t="s">
        <v>383</v>
      </c>
      <c r="D56" s="118">
        <v>893</v>
      </c>
      <c r="E56" s="141" t="s">
        <v>335</v>
      </c>
      <c r="F56" s="182" t="s">
        <v>343</v>
      </c>
      <c r="G56" s="40"/>
    </row>
    <row r="57" spans="2:7" ht="15.95" customHeight="1">
      <c r="B57" s="61"/>
      <c r="C57" s="49" t="s">
        <v>384</v>
      </c>
      <c r="D57" s="118">
        <v>6723</v>
      </c>
      <c r="E57" s="175" t="s">
        <v>298</v>
      </c>
      <c r="F57" s="182" t="s">
        <v>343</v>
      </c>
      <c r="G57" s="40"/>
    </row>
    <row r="58" spans="2:7" ht="15.95" customHeight="1">
      <c r="B58" s="61"/>
      <c r="C58" s="49" t="s">
        <v>385</v>
      </c>
      <c r="D58" s="118">
        <v>744</v>
      </c>
      <c r="E58" s="141" t="s">
        <v>335</v>
      </c>
      <c r="F58" s="182" t="s">
        <v>343</v>
      </c>
      <c r="G58" s="40"/>
    </row>
    <row r="59" spans="2:7" ht="15.95" customHeight="1">
      <c r="B59" s="61"/>
      <c r="C59" s="49" t="s">
        <v>386</v>
      </c>
      <c r="D59" s="118">
        <v>330</v>
      </c>
      <c r="E59" s="175" t="s">
        <v>298</v>
      </c>
      <c r="F59" s="182" t="s">
        <v>343</v>
      </c>
      <c r="G59" s="40"/>
    </row>
    <row r="60" spans="2:7" ht="15.95" customHeight="1">
      <c r="B60" s="61"/>
      <c r="C60" s="49" t="s">
        <v>387</v>
      </c>
      <c r="D60" s="118">
        <v>5</v>
      </c>
      <c r="E60" s="141" t="s">
        <v>335</v>
      </c>
      <c r="F60" s="182" t="s">
        <v>343</v>
      </c>
      <c r="G60" s="40"/>
    </row>
    <row r="61" spans="2:7" ht="15.95" customHeight="1">
      <c r="B61" s="61"/>
      <c r="C61" s="49" t="s">
        <v>388</v>
      </c>
      <c r="D61" s="118">
        <v>104994</v>
      </c>
      <c r="E61" s="175" t="s">
        <v>298</v>
      </c>
      <c r="F61" s="182" t="s">
        <v>343</v>
      </c>
      <c r="G61" s="40"/>
    </row>
    <row r="62" spans="2:7" ht="15.95" customHeight="1">
      <c r="B62" s="61"/>
      <c r="C62" s="49" t="s">
        <v>389</v>
      </c>
      <c r="D62" s="118">
        <v>1050</v>
      </c>
      <c r="E62" s="141" t="s">
        <v>335</v>
      </c>
      <c r="F62" s="182" t="s">
        <v>343</v>
      </c>
      <c r="G62" s="40"/>
    </row>
    <row r="63" spans="2:7" ht="15.95" customHeight="1">
      <c r="B63" s="61"/>
      <c r="C63" s="49" t="s">
        <v>390</v>
      </c>
      <c r="D63" s="118">
        <v>5845</v>
      </c>
      <c r="E63" s="175" t="s">
        <v>298</v>
      </c>
      <c r="F63" s="182" t="s">
        <v>343</v>
      </c>
      <c r="G63" s="40"/>
    </row>
    <row r="64" spans="2:7" ht="15.95" customHeight="1">
      <c r="B64" s="61"/>
      <c r="C64" s="49" t="s">
        <v>391</v>
      </c>
      <c r="D64" s="118">
        <v>35</v>
      </c>
      <c r="E64" s="141" t="s">
        <v>335</v>
      </c>
      <c r="F64" s="182" t="s">
        <v>343</v>
      </c>
      <c r="G64" s="40"/>
    </row>
    <row r="65" spans="2:7" ht="15.95" customHeight="1">
      <c r="B65" s="61"/>
      <c r="C65" s="49" t="s">
        <v>392</v>
      </c>
      <c r="D65" s="118">
        <v>2133</v>
      </c>
      <c r="E65" s="175" t="s">
        <v>298</v>
      </c>
      <c r="F65" s="182" t="s">
        <v>343</v>
      </c>
      <c r="G65" s="40"/>
    </row>
    <row r="66" spans="2:7" ht="15.95" customHeight="1">
      <c r="B66" s="61"/>
      <c r="C66" s="49" t="s">
        <v>393</v>
      </c>
      <c r="D66" s="118">
        <v>43</v>
      </c>
      <c r="E66" s="141" t="s">
        <v>335</v>
      </c>
      <c r="F66" s="182" t="s">
        <v>343</v>
      </c>
      <c r="G66" s="40"/>
    </row>
    <row r="67" spans="2:7" ht="15.95" customHeight="1">
      <c r="B67" s="61"/>
      <c r="C67" s="49" t="s">
        <v>394</v>
      </c>
      <c r="D67" s="118">
        <v>23060</v>
      </c>
      <c r="E67" s="175" t="s">
        <v>298</v>
      </c>
      <c r="F67" s="182" t="s">
        <v>343</v>
      </c>
      <c r="G67" s="40"/>
    </row>
    <row r="68" spans="2:7" ht="15.95" customHeight="1">
      <c r="B68" s="61"/>
      <c r="C68" s="49" t="s">
        <v>395</v>
      </c>
      <c r="D68" s="118">
        <v>277</v>
      </c>
      <c r="E68" s="141" t="s">
        <v>335</v>
      </c>
      <c r="F68" s="182" t="s">
        <v>343</v>
      </c>
      <c r="G68" s="40"/>
    </row>
    <row r="69" spans="2:7" ht="15.95" customHeight="1">
      <c r="B69" s="61"/>
      <c r="C69" s="49" t="s">
        <v>396</v>
      </c>
      <c r="D69" s="118">
        <v>3800</v>
      </c>
      <c r="E69" s="175" t="s">
        <v>298</v>
      </c>
      <c r="F69" s="182" t="s">
        <v>343</v>
      </c>
      <c r="G69" s="40"/>
    </row>
    <row r="70" spans="2:7" ht="15.95" customHeight="1">
      <c r="B70" s="61"/>
      <c r="C70" s="49" t="s">
        <v>397</v>
      </c>
      <c r="D70" s="118">
        <v>23</v>
      </c>
      <c r="E70" s="141" t="s">
        <v>335</v>
      </c>
      <c r="F70" s="182" t="s">
        <v>343</v>
      </c>
      <c r="G70" s="40"/>
    </row>
    <row r="71" spans="2:7" ht="15.95" customHeight="1">
      <c r="B71" s="61"/>
      <c r="C71" s="49" t="s">
        <v>398</v>
      </c>
      <c r="D71" s="118">
        <v>3367</v>
      </c>
      <c r="E71" s="141" t="s">
        <v>298</v>
      </c>
      <c r="F71" s="59" t="s">
        <v>343</v>
      </c>
      <c r="G71" s="40"/>
    </row>
    <row r="72" spans="2:7" ht="15.95" customHeight="1">
      <c r="B72" s="61"/>
      <c r="C72" s="49" t="s">
        <v>399</v>
      </c>
      <c r="D72" s="118">
        <v>337</v>
      </c>
      <c r="E72" s="141" t="s">
        <v>335</v>
      </c>
      <c r="F72" s="59" t="s">
        <v>343</v>
      </c>
      <c r="G72" s="40"/>
    </row>
    <row r="73" spans="2:7" ht="15.95" customHeight="1">
      <c r="B73" s="61"/>
      <c r="C73" s="49" t="s">
        <v>400</v>
      </c>
      <c r="D73" s="118">
        <v>1700</v>
      </c>
      <c r="E73" s="141" t="s">
        <v>298</v>
      </c>
      <c r="F73" s="59" t="s">
        <v>343</v>
      </c>
      <c r="G73" s="40"/>
    </row>
    <row r="74" spans="2:7" ht="15.95" customHeight="1">
      <c r="B74" s="61"/>
      <c r="C74" s="49" t="s">
        <v>401</v>
      </c>
      <c r="D74" s="118">
        <v>10</v>
      </c>
      <c r="E74" s="141" t="s">
        <v>335</v>
      </c>
      <c r="F74" s="59" t="s">
        <v>343</v>
      </c>
      <c r="G74" s="40"/>
    </row>
    <row r="75" spans="2:7" ht="15.95" customHeight="1">
      <c r="B75" s="61"/>
      <c r="C75" s="49" t="s">
        <v>402</v>
      </c>
      <c r="D75" s="118">
        <v>90621</v>
      </c>
      <c r="E75" s="141" t="s">
        <v>298</v>
      </c>
      <c r="F75" s="59" t="s">
        <v>343</v>
      </c>
      <c r="G75" s="40"/>
    </row>
    <row r="76" spans="2:7" ht="15.95" customHeight="1">
      <c r="B76" s="61"/>
      <c r="C76" s="49" t="s">
        <v>403</v>
      </c>
      <c r="D76" s="118">
        <v>397788</v>
      </c>
      <c r="E76" s="141" t="s">
        <v>335</v>
      </c>
      <c r="F76" s="59" t="s">
        <v>343</v>
      </c>
      <c r="G76" s="40"/>
    </row>
    <row r="77" spans="2:7" ht="15.95" customHeight="1">
      <c r="B77" s="61"/>
      <c r="C77" s="62" t="s">
        <v>404</v>
      </c>
      <c r="D77" s="118">
        <v>2200</v>
      </c>
      <c r="E77" s="160" t="s">
        <v>298</v>
      </c>
      <c r="F77" s="59" t="s">
        <v>343</v>
      </c>
      <c r="G77" s="40"/>
    </row>
    <row r="78" spans="2:7" ht="15.95" customHeight="1">
      <c r="B78" s="61"/>
      <c r="C78" s="62" t="s">
        <v>433</v>
      </c>
      <c r="D78" s="118">
        <v>10</v>
      </c>
      <c r="E78" s="141" t="s">
        <v>335</v>
      </c>
      <c r="F78" s="59" t="s">
        <v>343</v>
      </c>
      <c r="G78" s="40"/>
    </row>
    <row r="79" spans="2:7" ht="15.95" customHeight="1">
      <c r="B79" s="50" t="s">
        <v>310</v>
      </c>
      <c r="C79" s="49" t="s">
        <v>225</v>
      </c>
      <c r="D79" s="118">
        <v>530469</v>
      </c>
      <c r="E79" s="141" t="s">
        <v>337</v>
      </c>
      <c r="F79" s="59" t="s">
        <v>343</v>
      </c>
      <c r="G79" s="40"/>
    </row>
    <row r="80" spans="2:7" ht="15.95" customHeight="1">
      <c r="B80" s="58" t="s">
        <v>223</v>
      </c>
      <c r="C80" s="49" t="s">
        <v>297</v>
      </c>
      <c r="D80" s="118">
        <v>4798711</v>
      </c>
      <c r="E80" s="141" t="s">
        <v>335</v>
      </c>
      <c r="F80" s="59" t="s">
        <v>343</v>
      </c>
      <c r="G80" s="40"/>
    </row>
    <row r="81" spans="2:7" ht="15.95" customHeight="1">
      <c r="B81" s="61"/>
      <c r="C81" s="49" t="s">
        <v>338</v>
      </c>
      <c r="D81" s="118">
        <v>1376527</v>
      </c>
      <c r="E81" s="175" t="s">
        <v>336</v>
      </c>
      <c r="F81" s="59" t="s">
        <v>343</v>
      </c>
      <c r="G81" s="40"/>
    </row>
    <row r="82" spans="2:7" ht="15.95" customHeight="1">
      <c r="B82" s="61"/>
      <c r="C82" s="49" t="s">
        <v>339</v>
      </c>
      <c r="D82" s="118">
        <v>100521</v>
      </c>
      <c r="E82" s="141" t="s">
        <v>335</v>
      </c>
      <c r="F82" s="59" t="s">
        <v>343</v>
      </c>
      <c r="G82" s="40"/>
    </row>
    <row r="83" spans="2:7" ht="15.95" customHeight="1">
      <c r="B83" s="61"/>
      <c r="C83" s="49" t="s">
        <v>350</v>
      </c>
      <c r="D83" s="118">
        <v>20064</v>
      </c>
      <c r="E83" s="175" t="s">
        <v>298</v>
      </c>
      <c r="F83" s="182" t="s">
        <v>343</v>
      </c>
      <c r="G83" s="40"/>
    </row>
    <row r="84" spans="2:7" ht="15.95" customHeight="1">
      <c r="B84" s="61"/>
      <c r="C84" s="49" t="s">
        <v>351</v>
      </c>
      <c r="D84" s="118">
        <v>2436</v>
      </c>
      <c r="E84" s="141" t="s">
        <v>335</v>
      </c>
      <c r="F84" s="182" t="s">
        <v>343</v>
      </c>
      <c r="G84" s="40"/>
    </row>
    <row r="85" spans="2:7" ht="15.95" customHeight="1">
      <c r="B85" s="61"/>
      <c r="C85" s="49" t="s">
        <v>352</v>
      </c>
      <c r="D85" s="118">
        <v>4000</v>
      </c>
      <c r="E85" s="175" t="s">
        <v>298</v>
      </c>
      <c r="F85" s="182" t="s">
        <v>343</v>
      </c>
      <c r="G85" s="40"/>
    </row>
    <row r="86" spans="2:7" ht="15.95" customHeight="1">
      <c r="B86"/>
      <c r="C86" s="49" t="s">
        <v>353</v>
      </c>
      <c r="D86" s="118">
        <v>2584</v>
      </c>
      <c r="E86" s="141" t="s">
        <v>335</v>
      </c>
      <c r="F86" s="182" t="s">
        <v>343</v>
      </c>
      <c r="G86" s="40"/>
    </row>
    <row r="87" spans="2:7" ht="15.95" customHeight="1">
      <c r="B87"/>
      <c r="C87" s="49" t="s">
        <v>356</v>
      </c>
      <c r="D87" s="118">
        <v>100</v>
      </c>
      <c r="E87" s="175" t="s">
        <v>298</v>
      </c>
      <c r="F87" s="182" t="s">
        <v>343</v>
      </c>
      <c r="G87" s="40"/>
    </row>
    <row r="88" spans="2:7" ht="15.95" customHeight="1">
      <c r="B88"/>
      <c r="C88" s="49" t="s">
        <v>357</v>
      </c>
      <c r="D88" s="118">
        <v>20</v>
      </c>
      <c r="E88" s="141" t="s">
        <v>335</v>
      </c>
      <c r="F88" s="182" t="s">
        <v>343</v>
      </c>
      <c r="G88" s="40"/>
    </row>
    <row r="89" spans="2:7" ht="15.95" customHeight="1">
      <c r="B89"/>
      <c r="C89" s="49" t="s">
        <v>358</v>
      </c>
      <c r="D89" s="118">
        <v>1191</v>
      </c>
      <c r="E89" s="175" t="s">
        <v>298</v>
      </c>
      <c r="F89" s="182" t="s">
        <v>343</v>
      </c>
      <c r="G89" s="40"/>
    </row>
    <row r="90" spans="2:7" ht="15.95" customHeight="1">
      <c r="B90"/>
      <c r="C90" s="49" t="s">
        <v>359</v>
      </c>
      <c r="D90" s="118">
        <v>34</v>
      </c>
      <c r="E90" s="141" t="s">
        <v>335</v>
      </c>
      <c r="F90" s="182" t="s">
        <v>343</v>
      </c>
      <c r="G90" s="40"/>
    </row>
    <row r="91" spans="2:7" ht="15.95" customHeight="1">
      <c r="B91"/>
      <c r="C91" s="49" t="s">
        <v>360</v>
      </c>
      <c r="D91" s="118">
        <v>1985</v>
      </c>
      <c r="E91" s="175" t="s">
        <v>298</v>
      </c>
      <c r="F91" s="182" t="s">
        <v>343</v>
      </c>
      <c r="G91" s="40"/>
    </row>
    <row r="92" spans="2:7" ht="15.95" customHeight="1">
      <c r="B92" s="61"/>
      <c r="C92" s="49" t="s">
        <v>361</v>
      </c>
      <c r="D92" s="118">
        <v>953</v>
      </c>
      <c r="E92" s="141" t="s">
        <v>335</v>
      </c>
      <c r="F92" s="182" t="s">
        <v>343</v>
      </c>
      <c r="G92" s="40"/>
    </row>
    <row r="93" spans="2:7" ht="15.95" customHeight="1">
      <c r="B93" s="61"/>
      <c r="C93" s="49" t="s">
        <v>362</v>
      </c>
      <c r="D93" s="118">
        <v>1500</v>
      </c>
      <c r="E93" s="175" t="s">
        <v>298</v>
      </c>
      <c r="F93" s="182" t="s">
        <v>343</v>
      </c>
      <c r="G93" s="40"/>
    </row>
    <row r="94" spans="2:7" ht="15.95" customHeight="1">
      <c r="B94" s="61"/>
      <c r="C94" s="49" t="s">
        <v>363</v>
      </c>
      <c r="D94" s="118">
        <v>2801</v>
      </c>
      <c r="E94" s="141" t="s">
        <v>335</v>
      </c>
      <c r="F94" s="182" t="s">
        <v>343</v>
      </c>
      <c r="G94" s="40"/>
    </row>
    <row r="95" spans="2:7" ht="15.95" customHeight="1">
      <c r="B95" s="61"/>
      <c r="C95" s="49" t="s">
        <v>405</v>
      </c>
      <c r="D95" s="118">
        <v>825</v>
      </c>
      <c r="E95" s="175" t="s">
        <v>298</v>
      </c>
      <c r="F95" s="182" t="s">
        <v>343</v>
      </c>
      <c r="G95" s="40"/>
    </row>
    <row r="96" spans="2:7" ht="15.95" customHeight="1">
      <c r="B96" s="61"/>
      <c r="C96" s="49" t="s">
        <v>406</v>
      </c>
      <c r="D96" s="118">
        <v>61</v>
      </c>
      <c r="E96" s="141" t="s">
        <v>335</v>
      </c>
      <c r="F96" s="182" t="s">
        <v>343</v>
      </c>
      <c r="G96" s="40"/>
    </row>
    <row r="97" spans="2:7" ht="15.95" customHeight="1">
      <c r="B97" s="61"/>
      <c r="C97" s="49" t="s">
        <v>407</v>
      </c>
      <c r="D97" s="118">
        <v>30125</v>
      </c>
      <c r="E97" s="175" t="s">
        <v>298</v>
      </c>
      <c r="F97" s="182" t="s">
        <v>343</v>
      </c>
      <c r="G97" s="40"/>
    </row>
    <row r="98" spans="2:7" ht="15.95" customHeight="1">
      <c r="B98" s="61"/>
      <c r="C98" s="49" t="s">
        <v>408</v>
      </c>
      <c r="D98" s="118">
        <v>155699</v>
      </c>
      <c r="E98" s="141" t="s">
        <v>335</v>
      </c>
      <c r="F98" s="182" t="s">
        <v>343</v>
      </c>
      <c r="G98" s="40"/>
    </row>
    <row r="99" spans="2:7" ht="15.95" customHeight="1">
      <c r="B99" s="61"/>
      <c r="C99" s="49" t="s">
        <v>409</v>
      </c>
      <c r="D99" s="118">
        <v>520</v>
      </c>
      <c r="E99" s="141" t="s">
        <v>298</v>
      </c>
      <c r="F99" s="182" t="s">
        <v>343</v>
      </c>
      <c r="G99" s="40"/>
    </row>
    <row r="100" spans="2:7" ht="15.95" customHeight="1">
      <c r="B100" s="61"/>
      <c r="C100" s="49" t="s">
        <v>410</v>
      </c>
      <c r="D100" s="118">
        <v>310</v>
      </c>
      <c r="E100" s="141" t="s">
        <v>335</v>
      </c>
      <c r="F100" s="182" t="s">
        <v>343</v>
      </c>
      <c r="G100" s="40"/>
    </row>
    <row r="101" spans="2:7" ht="15.95" customHeight="1">
      <c r="B101" s="61"/>
      <c r="C101" s="49" t="s">
        <v>411</v>
      </c>
      <c r="D101" s="118">
        <v>257</v>
      </c>
      <c r="E101" s="141" t="s">
        <v>298</v>
      </c>
      <c r="F101" s="182" t="s">
        <v>343</v>
      </c>
      <c r="G101" s="40"/>
    </row>
    <row r="102" spans="2:7" ht="15.95" customHeight="1">
      <c r="B102" s="61"/>
      <c r="C102" s="49" t="s">
        <v>412</v>
      </c>
      <c r="D102" s="118">
        <f>1683+78</f>
        <v>1761</v>
      </c>
      <c r="E102" s="141" t="s">
        <v>335</v>
      </c>
      <c r="F102" s="182" t="s">
        <v>343</v>
      </c>
      <c r="G102" s="40"/>
    </row>
    <row r="103" spans="2:7" ht="15.95" customHeight="1">
      <c r="B103" s="61"/>
      <c r="C103" s="49" t="s">
        <v>413</v>
      </c>
      <c r="D103" s="118">
        <v>132</v>
      </c>
      <c r="E103" s="141" t="s">
        <v>298</v>
      </c>
      <c r="F103" s="182" t="s">
        <v>343</v>
      </c>
      <c r="G103" s="40"/>
    </row>
    <row r="104" spans="2:7" ht="15.95" customHeight="1">
      <c r="B104" s="61"/>
      <c r="C104" s="49" t="s">
        <v>414</v>
      </c>
      <c r="D104" s="118">
        <v>1253</v>
      </c>
      <c r="E104" s="141" t="s">
        <v>335</v>
      </c>
      <c r="F104" s="182" t="s">
        <v>343</v>
      </c>
      <c r="G104" s="40"/>
    </row>
    <row r="105" spans="2:7" ht="15.95" customHeight="1">
      <c r="B105" s="61"/>
      <c r="C105" s="49" t="s">
        <v>415</v>
      </c>
      <c r="D105" s="118">
        <f>59+145</f>
        <v>204</v>
      </c>
      <c r="E105" s="141" t="s">
        <v>298</v>
      </c>
      <c r="F105" s="182" t="s">
        <v>343</v>
      </c>
      <c r="G105" s="40"/>
    </row>
    <row r="106" spans="2:7" ht="15.95" customHeight="1">
      <c r="B106" s="61"/>
      <c r="C106" s="49" t="s">
        <v>416</v>
      </c>
      <c r="D106" s="118">
        <f>528+1631</f>
        <v>2159</v>
      </c>
      <c r="E106" s="141" t="s">
        <v>335</v>
      </c>
      <c r="F106" s="182" t="s">
        <v>343</v>
      </c>
      <c r="G106" s="40"/>
    </row>
    <row r="107" spans="2:7" ht="15.95" customHeight="1">
      <c r="B107" s="61"/>
      <c r="C107" s="49" t="s">
        <v>434</v>
      </c>
      <c r="D107" s="118">
        <v>90662</v>
      </c>
      <c r="E107" s="175" t="s">
        <v>298</v>
      </c>
      <c r="F107" s="182" t="s">
        <v>343</v>
      </c>
      <c r="G107" s="40"/>
    </row>
    <row r="108" spans="2:7" ht="15.95" customHeight="1">
      <c r="B108" s="61"/>
      <c r="C108" s="49" t="s">
        <v>435</v>
      </c>
      <c r="D108" s="118">
        <v>23530</v>
      </c>
      <c r="E108" s="141" t="s">
        <v>335</v>
      </c>
      <c r="F108" s="182" t="s">
        <v>343</v>
      </c>
      <c r="G108" s="40"/>
    </row>
    <row r="109" spans="2:7" ht="15.95" customHeight="1">
      <c r="B109" s="50" t="s">
        <v>311</v>
      </c>
      <c r="C109" s="49" t="s">
        <v>279</v>
      </c>
      <c r="D109" s="205" t="s">
        <v>329</v>
      </c>
      <c r="E109" s="206"/>
      <c r="F109" s="59" t="s">
        <v>419</v>
      </c>
      <c r="G109" s="40"/>
    </row>
    <row r="110" spans="2:7" ht="15.95" customHeight="1">
      <c r="B110" s="53" t="s">
        <v>216</v>
      </c>
      <c r="C110" s="49" t="s">
        <v>115</v>
      </c>
      <c r="D110" s="207"/>
      <c r="E110" s="208"/>
      <c r="F110" s="63"/>
      <c r="G110" s="40"/>
    </row>
    <row r="111" spans="2:7" ht="15.95" customHeight="1">
      <c r="B111" s="54"/>
      <c r="C111" s="49" t="s">
        <v>217</v>
      </c>
      <c r="D111" s="207"/>
      <c r="E111" s="208"/>
      <c r="F111" s="123"/>
      <c r="G111" s="40"/>
    </row>
    <row r="112" spans="2:7" ht="15.95" customHeight="1">
      <c r="B112" s="53"/>
      <c r="C112" s="49" t="s">
        <v>229</v>
      </c>
      <c r="D112" s="207"/>
      <c r="E112" s="208"/>
      <c r="F112" s="123"/>
      <c r="G112" s="40"/>
    </row>
    <row r="113" spans="2:7" ht="15.95" customHeight="1">
      <c r="B113" s="64" t="s">
        <v>312</v>
      </c>
      <c r="C113" s="65" t="s">
        <v>303</v>
      </c>
      <c r="D113" s="209" t="s">
        <v>334</v>
      </c>
      <c r="E113" s="210"/>
      <c r="F113" s="143"/>
      <c r="G113" s="40"/>
    </row>
    <row r="114" spans="2:7" ht="15.95" customHeight="1">
      <c r="B114" s="53" t="s">
        <v>230</v>
      </c>
      <c r="C114" s="65" t="s">
        <v>304</v>
      </c>
      <c r="D114" s="209" t="s">
        <v>334</v>
      </c>
      <c r="E114" s="210"/>
      <c r="F114" s="143"/>
      <c r="G114" s="40"/>
    </row>
    <row r="115" spans="2:7" ht="15.95" customHeight="1">
      <c r="B115" s="66"/>
      <c r="C115" s="49" t="s">
        <v>226</v>
      </c>
      <c r="D115" s="211" t="s">
        <v>420</v>
      </c>
      <c r="E115" s="212"/>
      <c r="F115" s="183" t="s">
        <v>421</v>
      </c>
      <c r="G115" s="40"/>
    </row>
    <row r="116" spans="2:7" ht="76.5">
      <c r="B116" s="64" t="s">
        <v>313</v>
      </c>
      <c r="C116" s="65" t="s">
        <v>93</v>
      </c>
      <c r="D116" s="213" t="s">
        <v>422</v>
      </c>
      <c r="E116" s="214"/>
      <c r="F116" s="182" t="s">
        <v>423</v>
      </c>
      <c r="G116" s="40"/>
    </row>
    <row r="117" spans="2:7" ht="15.95" customHeight="1">
      <c r="B117" s="64" t="s">
        <v>314</v>
      </c>
      <c r="C117" s="65" t="s">
        <v>116</v>
      </c>
      <c r="D117" s="215" t="s">
        <v>334</v>
      </c>
      <c r="E117" s="216"/>
      <c r="F117" s="143"/>
      <c r="G117" s="40"/>
    </row>
    <row r="118" spans="2:7" ht="51">
      <c r="B118" s="64" t="s">
        <v>315</v>
      </c>
      <c r="C118" s="65" t="s">
        <v>227</v>
      </c>
      <c r="D118" s="205" t="s">
        <v>329</v>
      </c>
      <c r="E118" s="206"/>
      <c r="F118" s="184" t="s">
        <v>424</v>
      </c>
      <c r="G118" s="40"/>
    </row>
    <row r="119" spans="2:7" ht="15.95" customHeight="1">
      <c r="B119" s="10" t="s">
        <v>214</v>
      </c>
      <c r="C119" s="65" t="s">
        <v>228</v>
      </c>
      <c r="D119" s="205" t="s">
        <v>334</v>
      </c>
      <c r="E119" s="206"/>
      <c r="F119" s="63"/>
      <c r="G119" s="40"/>
    </row>
    <row r="120" spans="2:7" ht="15.95" customHeight="1">
      <c r="C120" s="65" t="s">
        <v>213</v>
      </c>
      <c r="D120" s="203" t="s">
        <v>334</v>
      </c>
      <c r="E120" s="204"/>
      <c r="F120" s="123"/>
      <c r="G120" s="40"/>
    </row>
    <row r="121" spans="2:7" ht="15.95" customHeight="1" thickBot="1">
      <c r="B121" s="67"/>
      <c r="C121" s="62" t="s">
        <v>211</v>
      </c>
      <c r="D121" s="217"/>
      <c r="E121" s="218"/>
      <c r="F121" s="124"/>
      <c r="G121" s="40"/>
    </row>
    <row r="122" spans="2:7" ht="15.95" customHeight="1">
      <c r="B122" s="68"/>
      <c r="C122" s="68"/>
      <c r="D122" s="69"/>
      <c r="E122" s="69"/>
      <c r="F122" s="69"/>
    </row>
    <row r="123" spans="2:7" ht="15.95" customHeight="1" thickBot="1">
      <c r="D123" s="221" t="s">
        <v>110</v>
      </c>
      <c r="E123" s="222"/>
    </row>
    <row r="124" spans="2:7" ht="25.5">
      <c r="B124" s="50" t="s">
        <v>316</v>
      </c>
      <c r="C124" s="49" t="s">
        <v>231</v>
      </c>
      <c r="D124" s="219" t="s">
        <v>329</v>
      </c>
      <c r="E124" s="220"/>
      <c r="F124" s="57" t="s">
        <v>425</v>
      </c>
      <c r="G124" s="40"/>
    </row>
    <row r="125" spans="2:7" ht="13.5" thickBot="1">
      <c r="B125" s="54"/>
      <c r="C125" s="49" t="s">
        <v>233</v>
      </c>
      <c r="D125" s="185"/>
      <c r="E125" s="186"/>
      <c r="F125" s="187"/>
      <c r="G125" s="40"/>
    </row>
    <row r="126" spans="2:7" ht="26.25" thickBot="1">
      <c r="B126" s="54"/>
      <c r="C126" s="188" t="s">
        <v>426</v>
      </c>
      <c r="D126" s="118">
        <f>535763+291038</f>
        <v>826801</v>
      </c>
      <c r="E126" s="175" t="s">
        <v>336</v>
      </c>
      <c r="F126" s="57" t="s">
        <v>425</v>
      </c>
      <c r="G126" s="40"/>
    </row>
    <row r="127" spans="2:7" ht="26.25" thickBot="1">
      <c r="B127" s="54"/>
      <c r="C127" s="188" t="s">
        <v>83</v>
      </c>
      <c r="D127" s="118">
        <f>153241+65729+149527</f>
        <v>368497</v>
      </c>
      <c r="E127" s="175" t="s">
        <v>336</v>
      </c>
      <c r="F127" s="57" t="s">
        <v>425</v>
      </c>
      <c r="G127" s="40"/>
    </row>
    <row r="128" spans="2:7" ht="26.25" thickBot="1">
      <c r="B128" s="54"/>
      <c r="C128" s="188" t="s">
        <v>84</v>
      </c>
      <c r="D128" s="118">
        <f>81589+53867+12</f>
        <v>135468</v>
      </c>
      <c r="E128" s="141" t="s">
        <v>337</v>
      </c>
      <c r="F128" s="57" t="s">
        <v>425</v>
      </c>
      <c r="G128" s="40"/>
    </row>
    <row r="129" spans="2:7" ht="26.25" thickBot="1">
      <c r="B129" s="54"/>
      <c r="C129" s="188" t="s">
        <v>287</v>
      </c>
      <c r="D129" s="118">
        <v>21547</v>
      </c>
      <c r="E129" s="175" t="s">
        <v>347</v>
      </c>
      <c r="F129" s="57" t="s">
        <v>425</v>
      </c>
      <c r="G129" s="40"/>
    </row>
    <row r="130" spans="2:7" ht="26.25" thickBot="1">
      <c r="B130" s="54"/>
      <c r="C130" s="188" t="s">
        <v>427</v>
      </c>
      <c r="D130" s="118">
        <v>181.1</v>
      </c>
      <c r="E130" s="175" t="s">
        <v>298</v>
      </c>
      <c r="F130" s="57" t="s">
        <v>425</v>
      </c>
      <c r="G130" s="40"/>
    </row>
    <row r="131" spans="2:7" ht="26.25" thickBot="1">
      <c r="B131" s="54"/>
      <c r="C131" s="188" t="s">
        <v>428</v>
      </c>
      <c r="D131" s="118">
        <v>132.80000000000001</v>
      </c>
      <c r="E131" s="175" t="s">
        <v>298</v>
      </c>
      <c r="F131" s="57" t="s">
        <v>425</v>
      </c>
      <c r="G131" s="40"/>
    </row>
    <row r="132" spans="2:7" ht="26.25" thickBot="1">
      <c r="C132" s="49" t="s">
        <v>234</v>
      </c>
      <c r="D132" s="118">
        <f>1403766+393051+30826+30390.73</f>
        <v>1858033.73</v>
      </c>
      <c r="E132" s="141" t="s">
        <v>335</v>
      </c>
      <c r="F132" s="57" t="s">
        <v>425</v>
      </c>
      <c r="G132" s="40"/>
    </row>
    <row r="133" spans="2:7" ht="26.25" thickBot="1">
      <c r="B133" s="50" t="s">
        <v>317</v>
      </c>
      <c r="C133" s="49" t="s">
        <v>231</v>
      </c>
      <c r="D133" s="205" t="s">
        <v>329</v>
      </c>
      <c r="E133" s="206"/>
      <c r="F133" s="57" t="s">
        <v>429</v>
      </c>
      <c r="G133" s="40"/>
    </row>
    <row r="134" spans="2:7" ht="26.25" thickBot="1">
      <c r="B134" s="58" t="s">
        <v>223</v>
      </c>
      <c r="C134" s="49" t="s">
        <v>235</v>
      </c>
      <c r="D134" s="118">
        <v>0</v>
      </c>
      <c r="E134" s="141" t="s">
        <v>335</v>
      </c>
      <c r="F134" s="57" t="s">
        <v>429</v>
      </c>
      <c r="G134" s="40"/>
    </row>
    <row r="135" spans="2:7" ht="26.25" thickBot="1">
      <c r="B135" s="50" t="s">
        <v>318</v>
      </c>
      <c r="C135" s="52" t="s">
        <v>232</v>
      </c>
      <c r="D135" s="205" t="s">
        <v>329</v>
      </c>
      <c r="E135" s="206"/>
      <c r="F135" s="57" t="s">
        <v>430</v>
      </c>
      <c r="G135" s="40"/>
    </row>
    <row r="136" spans="2:7" ht="26.25" thickBot="1">
      <c r="B136" s="58" t="s">
        <v>223</v>
      </c>
      <c r="C136" s="49" t="s">
        <v>235</v>
      </c>
      <c r="D136" s="118">
        <f>12192922697/1000000</f>
        <v>12192.922697</v>
      </c>
      <c r="E136" s="141" t="s">
        <v>335</v>
      </c>
      <c r="F136" s="57" t="s">
        <v>430</v>
      </c>
      <c r="G136" s="40"/>
    </row>
    <row r="137" spans="2:7" ht="26.25" thickBot="1">
      <c r="B137" s="50" t="s">
        <v>319</v>
      </c>
      <c r="C137" s="52" t="s">
        <v>236</v>
      </c>
      <c r="D137" s="205" t="s">
        <v>329</v>
      </c>
      <c r="E137" s="206"/>
      <c r="F137" s="57" t="s">
        <v>431</v>
      </c>
      <c r="G137" s="40"/>
    </row>
    <row r="138" spans="2:7" ht="25.5">
      <c r="B138" s="58" t="s">
        <v>223</v>
      </c>
      <c r="C138" s="49" t="s">
        <v>235</v>
      </c>
      <c r="D138" s="118">
        <v>497772</v>
      </c>
      <c r="E138" s="141" t="s">
        <v>335</v>
      </c>
      <c r="F138" s="57" t="s">
        <v>431</v>
      </c>
      <c r="G138" s="40"/>
    </row>
    <row r="139" spans="2:7" ht="15.95" customHeight="1">
      <c r="B139" s="50" t="s">
        <v>320</v>
      </c>
      <c r="C139" s="52" t="s">
        <v>237</v>
      </c>
      <c r="D139" s="205" t="s">
        <v>432</v>
      </c>
      <c r="E139" s="206"/>
      <c r="F139" s="59"/>
      <c r="G139" s="40"/>
    </row>
    <row r="140" spans="2:7" ht="15.95" customHeight="1">
      <c r="B140" s="58" t="s">
        <v>223</v>
      </c>
      <c r="C140" s="49" t="s">
        <v>235</v>
      </c>
      <c r="D140" s="118"/>
      <c r="E140" s="141"/>
      <c r="F140" s="59"/>
      <c r="G140" s="40"/>
    </row>
    <row r="141" spans="2:7" ht="15.95" customHeight="1">
      <c r="B141" s="50" t="s">
        <v>321</v>
      </c>
      <c r="C141" s="52" t="s">
        <v>238</v>
      </c>
      <c r="D141" s="205" t="s">
        <v>432</v>
      </c>
      <c r="E141" s="206"/>
      <c r="F141" s="59"/>
      <c r="G141" s="40"/>
    </row>
    <row r="142" spans="2:7" ht="15.95" customHeight="1" thickBot="1">
      <c r="B142" s="70" t="s">
        <v>223</v>
      </c>
      <c r="C142" s="49" t="s">
        <v>235</v>
      </c>
      <c r="D142" s="125"/>
      <c r="E142" s="142"/>
      <c r="F142" s="144"/>
      <c r="G142" s="40"/>
    </row>
    <row r="143" spans="2:7" ht="15.95" customHeight="1">
      <c r="B143" s="158"/>
    </row>
  </sheetData>
  <mergeCells count="20">
    <mergeCell ref="D141:E141"/>
    <mergeCell ref="D121:E121"/>
    <mergeCell ref="D124:E124"/>
    <mergeCell ref="D133:E133"/>
    <mergeCell ref="D135:E135"/>
    <mergeCell ref="D137:E137"/>
    <mergeCell ref="D139:E139"/>
    <mergeCell ref="D123:E123"/>
    <mergeCell ref="D120:E120"/>
    <mergeCell ref="D109:E109"/>
    <mergeCell ref="D110:E110"/>
    <mergeCell ref="D111:E111"/>
    <mergeCell ref="D112:E112"/>
    <mergeCell ref="D113:E113"/>
    <mergeCell ref="D114:E114"/>
    <mergeCell ref="D115:E115"/>
    <mergeCell ref="D116:E116"/>
    <mergeCell ref="D117:E117"/>
    <mergeCell ref="D118:E118"/>
    <mergeCell ref="D119:E119"/>
  </mergeCells>
  <dataValidations xWindow="1241" yWindow="758" count="27">
    <dataValidation allowBlank="1" sqref="F110 F118:F119 F17:F70 F83:F108 D113:D114 D116 F116" xr:uid="{00000000-0002-0000-0200-000000000000}"/>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9" xr:uid="{00000000-0002-0000-0200-000001000000}">
      <formula1>2</formula1>
    </dataValidation>
    <dataValidation type="textLength" operator="equal" showInputMessage="1" showErrorMessage="1" errorTitle="Invalid entry" error="Invalid entry" promptTitle="Please input unit" prompt="Please input currency according to 3-letter ISO currency code." sqref="E142 E128 E134 E136 E140 E108 E5:E10 E12:E14 E16 E18 E20 E22 E68 E70:E76 E78:E80 E82 E84 E86 E88 E90 E92 E132 E24 E26 E28 E30 E32 E34 E36 E38 E40 E42 E44 E46 E48 E50 E52 E54 E56 E58 E60 E62 E64 E66 E94 E96 E98:E106 E138" xr:uid="{00000000-0002-0000-0200-000002000000}">
      <formula1>3</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5" xr:uid="{00000000-0002-0000-0200-000003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6" xr:uid="{00000000-0002-0000-0200-000004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7" xr:uid="{00000000-0002-0000-0200-000005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 xr:uid="{00000000-0002-0000-0200-000006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11:D108 D126:D132" xr:uid="{00000000-0002-0000-0200-000007000000}">
      <formula1>0</formula1>
    </dataValidation>
    <dataValidation allowBlank="1" showInputMessage="1" showErrorMessage="1" promptTitle="If no, provide explanation" prompt="If EI revenues are not recorded in government accounts or budgets, please specify why or any additional related comments here." sqref="D110:E110" xr:uid="{00000000-0002-0000-0200-000008000000}"/>
    <dataValidation allowBlank="1" showInputMessage="1" promptTitle="Source" prompt="Please insert source of information, either as section in EITI report, or direct URL to external source." sqref="F109 F71:F82 F5:F16" xr:uid="{00000000-0002-0000-0200-000009000000}"/>
    <dataValidation allowBlank="1" showInputMessage="1" promptTitle="Government accounts/budget" prompt="Please input name of government accounts/budget, containing revenues from extractive industries." sqref="D111:E111" xr:uid="{00000000-0002-0000-0200-00000B000000}"/>
    <dataValidation allowBlank="1" showInputMessage="1" promptTitle="Government accounts/budget URL" prompt="Please input direct URL to government accounts/budget, containing revenues from extractive industries." sqref="F111" xr:uid="{00000000-0002-0000-0200-00000C000000}"/>
    <dataValidation allowBlank="1" showInputMessage="1" promptTitle="Other financial reports" prompt="Please input name of other documents, containing revenues from extractive industries." sqref="D112:E112" xr:uid="{00000000-0002-0000-0200-00000D000000}"/>
    <dataValidation allowBlank="1" showInputMessage="1" promptTitle="Other reports URL" prompt="Please input direct URL to other documents containing revenues from extractive industries." sqref="F112" xr:uid="{00000000-0002-0000-0200-00000E000000}"/>
    <dataValidation allowBlank="1" showInputMessage="1" showErrorMessage="1" promptTitle="Registry URL" prompt="Please insert direct URL to the registry._x000a_Any additional information, please include in comment section" sqref="F113:F114 F117 F120:F121" xr:uid="{00000000-0002-0000-0200-00000F000000}"/>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ocial expenditure" prompt="Please input only numbers in this cell. If other information is required, include this in comment section" sqref="D136" xr:uid="{00000000-0002-0000-0200-000013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ransportation revenues" prompt="Please input only numbers in this cell. If other information is required, include this in comment section" sqref="D138" xr:uid="{00000000-0002-0000-0200-000014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payments" prompt="Please input only numbers in this cell. If other information is required, include this in comment section" sqref="D140" xr:uid="{00000000-0002-0000-0200-000015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transfers" prompt="Please input only numbers in this cell. If other information is required, include this in comment section" sqref="D142" xr:uid="{00000000-0002-0000-0200-000016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0" xr:uid="{00000000-0002-0000-0200-000017000000}">
      <formula1>2</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E11 E97 E17 E19 E23 E15 E69 E77 E67 E65 E81 E83 E85 E89 E87 E91 E21 E25 E27 E29 E31 E33 E35 E37 E39 E41 E43 E45 E47 E49 E51 E53 E55 E57 E59 E61 E63 E93 E95 E107 E126:E127 E129:E131" xr:uid="{00000000-0002-0000-0200-000018000000}">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frastructure and barter" prompt="Please input only numbers in this cell. If other information is required, include this in comment section" sqref="D134" xr:uid="{00000000-0002-0000-0200-000019000000}">
      <formula1>2</formula1>
    </dataValidation>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D109:E109 D118:E119 D135:E135 D133:E133 D137:E137 D139:E139 D141:E141 D124:E125" xr:uid="{00000000-0002-0000-0200-00001A000000}">
      <formula1>"Yes,No,Partially,Not applicable,&lt;choose option&gt;"</formula1>
    </dataValidation>
    <dataValidation allowBlank="1" showInputMessage="1" promptTitle="Name of register" prompt="Please input name of register" sqref="D120:E121 D117:E117" xr:uid="{00000000-0002-0000-0200-00001B000000}"/>
    <dataValidation type="list" showDropDown="1" showInputMessage="1" showErrorMessage="1" errorTitle="Please do not edit these cells" error="Please do not edit these cells" sqref="C109:C120 C5:C10 C124:C125 C132:C142 B1:B1048576" xr:uid="{00000000-0002-0000-0200-00001C000000}">
      <formula1>"#ERROR!"</formula1>
    </dataValidation>
    <dataValidation type="custom" allowBlank="1" showInputMessage="1" showErrorMessage="1" errorTitle="Volume or value not specified" error="Please indicate whether volume or value, by including _x000a_&quot;, volume&quot; or &quot;, value&quot; at the end." promptTitle="Commodity volume/value" prompt="Please insert commodity, and specify whether volume or value, by including &quot;, volume&quot; or &quot;, value&quot; at the end." sqref="C11:C108" xr:uid="{00000000-0002-0000-0200-00000A000000}">
      <formula1>OR(ISNUMBER(SEARCH(", volume",C11)),ISNUMBER(SEARCH(", value",C11)))</formula1>
    </dataValidation>
    <dataValidation allowBlank="1" showInputMessage="1" promptTitle="Source" prompt="Please insert source of information, as section in EITI report" sqref="F124:F142" xr:uid="{00000000-0002-0000-0200-000012000000}"/>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2:DN124"/>
  <sheetViews>
    <sheetView showGridLines="0" tabSelected="1" topLeftCell="A69" zoomScaleNormal="100" zoomScalePageLayoutView="85" workbookViewId="0">
      <selection activeCell="C86" sqref="C86"/>
    </sheetView>
  </sheetViews>
  <sheetFormatPr baseColWidth="10" defaultColWidth="10.875" defaultRowHeight="15.75"/>
  <cols>
    <col min="1" max="1" width="3.625" style="71" customWidth="1"/>
    <col min="2" max="2" width="10.25" style="71" bestFit="1" customWidth="1"/>
    <col min="3" max="3" width="62.375" style="71" customWidth="1"/>
    <col min="4" max="4" width="24.25" style="71" customWidth="1"/>
    <col min="5" max="5" width="26.5" style="71" customWidth="1"/>
    <col min="6" max="6" width="18.375" style="71" bestFit="1" customWidth="1"/>
    <col min="7" max="7" width="18.75" style="71" customWidth="1"/>
    <col min="8" max="8" width="16.125" style="71" customWidth="1"/>
    <col min="9" max="11" width="15.5" style="71" bestFit="1" customWidth="1"/>
    <col min="12" max="13" width="14.625" style="71" bestFit="1" customWidth="1"/>
    <col min="14" max="19" width="14.625" style="71" customWidth="1"/>
    <col min="20" max="21" width="15.5" style="71" bestFit="1" customWidth="1"/>
    <col min="22" max="118" width="14.625" style="71" customWidth="1"/>
    <col min="119" max="16384" width="10.875" style="71"/>
  </cols>
  <sheetData>
    <row r="2" spans="2:118" ht="26.25">
      <c r="B2" s="229" t="s">
        <v>195</v>
      </c>
      <c r="C2" s="229"/>
      <c r="D2" s="229"/>
      <c r="G2" s="166" t="s">
        <v>250</v>
      </c>
      <c r="H2" s="74" t="s">
        <v>198</v>
      </c>
      <c r="I2" s="75"/>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row>
    <row r="3" spans="2:118">
      <c r="B3" s="227" t="s">
        <v>196</v>
      </c>
      <c r="C3" s="227"/>
      <c r="D3" s="227"/>
      <c r="G3" s="167" t="s">
        <v>447</v>
      </c>
      <c r="H3" s="128" t="s">
        <v>205</v>
      </c>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c r="CF3" s="81"/>
      <c r="CG3" s="81"/>
      <c r="CH3" s="81"/>
      <c r="CI3" s="81"/>
      <c r="CJ3" s="81"/>
      <c r="CK3" s="81"/>
      <c r="CL3" s="81"/>
      <c r="CM3" s="81"/>
      <c r="CN3" s="81"/>
      <c r="CO3" s="81"/>
      <c r="CP3" s="81"/>
      <c r="CQ3" s="81"/>
      <c r="CR3" s="81"/>
      <c r="CS3" s="81"/>
      <c r="CT3" s="81"/>
      <c r="CU3" s="81"/>
      <c r="CV3" s="81"/>
      <c r="CW3" s="81"/>
      <c r="CX3" s="81"/>
      <c r="CY3" s="81"/>
      <c r="CZ3" s="81"/>
      <c r="DA3" s="81"/>
      <c r="DB3" s="81"/>
      <c r="DC3" s="81"/>
      <c r="DD3" s="81"/>
      <c r="DE3" s="81"/>
      <c r="DF3" s="81"/>
      <c r="DG3" s="81"/>
      <c r="DH3" s="81"/>
      <c r="DI3" s="81"/>
      <c r="DJ3" s="81"/>
      <c r="DK3" s="81"/>
      <c r="DL3" s="81"/>
      <c r="DM3" s="81"/>
      <c r="DN3" s="81"/>
    </row>
    <row r="4" spans="2:118" ht="78.75">
      <c r="B4" s="228" t="s">
        <v>202</v>
      </c>
      <c r="C4" s="228"/>
      <c r="D4" s="228"/>
      <c r="G4" s="161" t="s">
        <v>305</v>
      </c>
      <c r="H4" s="84" t="s">
        <v>79</v>
      </c>
      <c r="I4" s="192" t="s">
        <v>448</v>
      </c>
      <c r="J4" s="85" t="s">
        <v>450</v>
      </c>
      <c r="K4" s="85" t="s">
        <v>452</v>
      </c>
      <c r="L4" s="85" t="s">
        <v>453</v>
      </c>
      <c r="M4" s="85" t="s">
        <v>454</v>
      </c>
      <c r="N4" s="85" t="s">
        <v>456</v>
      </c>
      <c r="O4" s="85" t="s">
        <v>457</v>
      </c>
      <c r="P4" s="85" t="s">
        <v>458</v>
      </c>
      <c r="Q4" s="85" t="s">
        <v>459</v>
      </c>
      <c r="R4" s="85" t="s">
        <v>460</v>
      </c>
      <c r="S4" s="85" t="s">
        <v>461</v>
      </c>
      <c r="T4" s="85" t="s">
        <v>465</v>
      </c>
      <c r="U4" s="85" t="s">
        <v>466</v>
      </c>
      <c r="V4" s="85" t="s">
        <v>468</v>
      </c>
      <c r="W4" s="85" t="s">
        <v>480</v>
      </c>
      <c r="X4" s="85" t="s">
        <v>482</v>
      </c>
      <c r="Y4" s="85" t="s">
        <v>483</v>
      </c>
      <c r="Z4" s="85" t="s">
        <v>484</v>
      </c>
      <c r="AA4" s="85" t="s">
        <v>485</v>
      </c>
      <c r="AB4" s="85" t="s">
        <v>486</v>
      </c>
      <c r="AC4" s="85" t="s">
        <v>487</v>
      </c>
      <c r="AD4" s="85" t="s">
        <v>488</v>
      </c>
      <c r="AE4" s="85" t="s">
        <v>489</v>
      </c>
      <c r="AF4" s="85" t="s">
        <v>490</v>
      </c>
      <c r="AG4" s="85" t="s">
        <v>491</v>
      </c>
      <c r="AH4" s="85" t="s">
        <v>492</v>
      </c>
      <c r="AI4" s="85" t="s">
        <v>493</v>
      </c>
      <c r="AJ4" s="85" t="s">
        <v>494</v>
      </c>
      <c r="AK4" s="85" t="s">
        <v>495</v>
      </c>
      <c r="AL4" s="85" t="s">
        <v>496</v>
      </c>
      <c r="AM4" s="85" t="s">
        <v>497</v>
      </c>
      <c r="AN4" s="85" t="s">
        <v>498</v>
      </c>
      <c r="AO4" s="85" t="s">
        <v>499</v>
      </c>
      <c r="AP4" s="85" t="s">
        <v>500</v>
      </c>
      <c r="AQ4" s="85" t="s">
        <v>501</v>
      </c>
      <c r="AR4" s="85" t="s">
        <v>502</v>
      </c>
      <c r="AS4" s="85" t="s">
        <v>503</v>
      </c>
      <c r="AT4" s="85" t="s">
        <v>504</v>
      </c>
      <c r="AU4" s="85" t="s">
        <v>505</v>
      </c>
      <c r="AV4" s="85" t="s">
        <v>506</v>
      </c>
      <c r="AW4" s="85" t="s">
        <v>507</v>
      </c>
      <c r="AX4" s="85" t="s">
        <v>508</v>
      </c>
      <c r="AY4" s="85" t="s">
        <v>509</v>
      </c>
      <c r="AZ4" s="85" t="s">
        <v>510</v>
      </c>
      <c r="BA4" s="85" t="s">
        <v>511</v>
      </c>
      <c r="BB4" s="85" t="s">
        <v>512</v>
      </c>
      <c r="BC4" s="85" t="s">
        <v>513</v>
      </c>
      <c r="BD4" s="85" t="s">
        <v>514</v>
      </c>
      <c r="BE4" s="85" t="s">
        <v>515</v>
      </c>
      <c r="BF4" s="85" t="s">
        <v>516</v>
      </c>
      <c r="BG4" s="85" t="s">
        <v>517</v>
      </c>
      <c r="BH4" s="85" t="s">
        <v>518</v>
      </c>
      <c r="BI4" s="85" t="s">
        <v>519</v>
      </c>
      <c r="BJ4" s="85" t="s">
        <v>520</v>
      </c>
      <c r="BK4" s="85" t="s">
        <v>521</v>
      </c>
      <c r="BL4" s="85" t="s">
        <v>522</v>
      </c>
      <c r="BM4" s="85" t="s">
        <v>523</v>
      </c>
      <c r="BN4" s="85" t="s">
        <v>524</v>
      </c>
      <c r="BO4" s="85" t="s">
        <v>525</v>
      </c>
      <c r="BP4" s="85" t="s">
        <v>526</v>
      </c>
      <c r="BQ4" s="85" t="s">
        <v>527</v>
      </c>
      <c r="BR4" s="85" t="s">
        <v>528</v>
      </c>
      <c r="BS4" s="85" t="s">
        <v>529</v>
      </c>
      <c r="BT4" s="85" t="s">
        <v>530</v>
      </c>
      <c r="BU4" s="85" t="s">
        <v>531</v>
      </c>
      <c r="BV4" s="85" t="s">
        <v>532</v>
      </c>
      <c r="BW4" s="85" t="s">
        <v>533</v>
      </c>
      <c r="BX4" s="85" t="s">
        <v>534</v>
      </c>
      <c r="BY4" s="85" t="s">
        <v>535</v>
      </c>
      <c r="BZ4" s="85" t="s">
        <v>536</v>
      </c>
      <c r="CA4" s="85" t="s">
        <v>537</v>
      </c>
      <c r="CB4" s="85" t="s">
        <v>538</v>
      </c>
      <c r="CC4" s="85" t="s">
        <v>539</v>
      </c>
      <c r="CD4" s="85" t="s">
        <v>540</v>
      </c>
      <c r="CE4" s="85" t="s">
        <v>541</v>
      </c>
      <c r="CF4" s="85" t="s">
        <v>542</v>
      </c>
      <c r="CG4" s="85" t="s">
        <v>543</v>
      </c>
      <c r="CH4" s="85" t="s">
        <v>544</v>
      </c>
      <c r="CI4" s="85" t="s">
        <v>545</v>
      </c>
      <c r="CJ4" s="85" t="s">
        <v>546</v>
      </c>
      <c r="CK4" s="85" t="s">
        <v>547</v>
      </c>
      <c r="CL4" s="85" t="s">
        <v>548</v>
      </c>
      <c r="CM4" s="85" t="s">
        <v>552</v>
      </c>
      <c r="CN4" s="85" t="s">
        <v>553</v>
      </c>
      <c r="CO4" s="85" t="s">
        <v>554</v>
      </c>
      <c r="CP4" s="85" t="s">
        <v>555</v>
      </c>
      <c r="CQ4" s="85" t="s">
        <v>556</v>
      </c>
      <c r="CR4" s="85" t="s">
        <v>557</v>
      </c>
      <c r="CS4" s="85" t="s">
        <v>558</v>
      </c>
      <c r="CT4" s="85" t="s">
        <v>559</v>
      </c>
      <c r="CU4" s="85" t="s">
        <v>560</v>
      </c>
      <c r="CV4" s="85" t="s">
        <v>561</v>
      </c>
      <c r="CW4" s="85" t="s">
        <v>562</v>
      </c>
      <c r="CX4" s="85" t="s">
        <v>563</v>
      </c>
      <c r="CY4" s="85" t="s">
        <v>564</v>
      </c>
      <c r="CZ4" s="85" t="s">
        <v>565</v>
      </c>
      <c r="DA4" s="85" t="s">
        <v>566</v>
      </c>
      <c r="DB4" s="85" t="s">
        <v>567</v>
      </c>
      <c r="DC4" s="85" t="s">
        <v>568</v>
      </c>
      <c r="DD4" s="85" t="s">
        <v>569</v>
      </c>
      <c r="DE4" s="85" t="s">
        <v>570</v>
      </c>
      <c r="DF4" s="85" t="s">
        <v>571</v>
      </c>
      <c r="DG4" s="85" t="s">
        <v>572</v>
      </c>
      <c r="DH4" s="85" t="s">
        <v>573</v>
      </c>
      <c r="DI4" s="85" t="s">
        <v>574</v>
      </c>
      <c r="DJ4" s="85" t="s">
        <v>575</v>
      </c>
      <c r="DK4" s="85" t="s">
        <v>576</v>
      </c>
      <c r="DL4" s="85" t="s">
        <v>577</v>
      </c>
      <c r="DM4" s="85" t="s">
        <v>578</v>
      </c>
      <c r="DN4" s="85" t="s">
        <v>579</v>
      </c>
    </row>
    <row r="5" spans="2:118">
      <c r="B5" s="83"/>
      <c r="G5" s="162"/>
      <c r="H5" s="87" t="s">
        <v>80</v>
      </c>
      <c r="I5" s="164"/>
      <c r="J5" s="164"/>
      <c r="K5" s="164"/>
      <c r="L5" s="165"/>
      <c r="M5" s="165"/>
      <c r="N5" s="165"/>
      <c r="O5" s="165"/>
      <c r="P5" s="165"/>
      <c r="Q5" s="165"/>
      <c r="R5" s="165"/>
      <c r="S5" s="165"/>
      <c r="T5" s="165"/>
      <c r="U5" s="165"/>
      <c r="V5" s="165"/>
      <c r="W5" s="165"/>
      <c r="X5" s="165"/>
      <c r="Y5" s="165"/>
      <c r="Z5" s="165"/>
      <c r="AA5" s="165"/>
      <c r="AB5" s="165"/>
      <c r="AC5" s="16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c r="BE5" s="165"/>
      <c r="BF5" s="165"/>
      <c r="BG5" s="165"/>
      <c r="BH5" s="165"/>
      <c r="BI5" s="165"/>
      <c r="BJ5" s="165"/>
      <c r="BK5" s="165"/>
      <c r="BL5" s="165"/>
      <c r="BM5" s="165"/>
      <c r="BN5" s="165"/>
      <c r="BO5" s="165"/>
      <c r="BP5" s="165"/>
      <c r="BQ5" s="165"/>
      <c r="BR5" s="165"/>
      <c r="BS5" s="165"/>
      <c r="BT5" s="165"/>
      <c r="BU5" s="165"/>
      <c r="BV5" s="165"/>
      <c r="BW5" s="165"/>
      <c r="BX5" s="165"/>
      <c r="BY5" s="165"/>
      <c r="BZ5" s="165"/>
      <c r="CA5" s="165"/>
      <c r="CB5" s="165"/>
      <c r="CC5" s="165"/>
      <c r="CD5" s="165"/>
      <c r="CE5" s="165"/>
      <c r="CF5" s="165"/>
      <c r="CG5" s="165"/>
      <c r="CH5" s="165"/>
      <c r="CI5" s="165"/>
      <c r="CJ5" s="165"/>
      <c r="CK5" s="165"/>
      <c r="CL5" s="165"/>
      <c r="CM5" s="165"/>
      <c r="CN5" s="165"/>
      <c r="CO5" s="165"/>
      <c r="CP5" s="165"/>
      <c r="CQ5" s="165"/>
      <c r="CR5" s="165"/>
      <c r="CS5" s="165"/>
      <c r="CT5" s="165"/>
      <c r="CU5" s="165"/>
      <c r="CV5" s="165"/>
      <c r="CW5" s="165"/>
      <c r="CX5" s="165"/>
      <c r="CY5" s="165"/>
      <c r="CZ5" s="165"/>
      <c r="DA5" s="165"/>
      <c r="DB5" s="165"/>
      <c r="DC5" s="165"/>
      <c r="DD5" s="165"/>
      <c r="DE5" s="165"/>
      <c r="DF5" s="165"/>
      <c r="DG5" s="165"/>
      <c r="DH5" s="165"/>
      <c r="DI5" s="165"/>
      <c r="DJ5" s="165"/>
      <c r="DK5" s="165"/>
      <c r="DL5" s="165"/>
      <c r="DM5" s="165"/>
      <c r="DN5" s="165"/>
    </row>
    <row r="6" spans="2:118" s="191" customFormat="1">
      <c r="G6" s="162"/>
      <c r="H6" s="84" t="s">
        <v>285</v>
      </c>
      <c r="I6" s="192" t="s">
        <v>286</v>
      </c>
      <c r="J6" s="192" t="s">
        <v>286</v>
      </c>
      <c r="K6" s="192" t="s">
        <v>286</v>
      </c>
      <c r="L6" s="192" t="s">
        <v>286</v>
      </c>
      <c r="M6" s="192" t="s">
        <v>286</v>
      </c>
      <c r="N6" s="192" t="s">
        <v>286</v>
      </c>
      <c r="O6" s="192" t="s">
        <v>286</v>
      </c>
      <c r="P6" s="192" t="s">
        <v>286</v>
      </c>
      <c r="Q6" s="192" t="s">
        <v>286</v>
      </c>
      <c r="R6" s="192" t="s">
        <v>286</v>
      </c>
      <c r="S6" s="192" t="s">
        <v>286</v>
      </c>
      <c r="T6" s="192" t="s">
        <v>86</v>
      </c>
      <c r="U6" s="192" t="s">
        <v>86</v>
      </c>
      <c r="V6" s="192" t="s">
        <v>86</v>
      </c>
      <c r="W6" s="192" t="s">
        <v>86</v>
      </c>
      <c r="X6" s="192" t="s">
        <v>86</v>
      </c>
      <c r="Y6" s="192" t="s">
        <v>86</v>
      </c>
      <c r="Z6" s="192" t="s">
        <v>86</v>
      </c>
      <c r="AA6" s="192" t="s">
        <v>86</v>
      </c>
      <c r="AB6" s="192" t="s">
        <v>86</v>
      </c>
      <c r="AC6" s="192" t="s">
        <v>86</v>
      </c>
      <c r="AD6" s="192" t="s">
        <v>86</v>
      </c>
      <c r="AE6" s="192" t="s">
        <v>86</v>
      </c>
      <c r="AF6" s="192" t="s">
        <v>86</v>
      </c>
      <c r="AG6" s="192" t="s">
        <v>86</v>
      </c>
      <c r="AH6" s="192" t="s">
        <v>86</v>
      </c>
      <c r="AI6" s="192" t="s">
        <v>86</v>
      </c>
      <c r="AJ6" s="192" t="s">
        <v>86</v>
      </c>
      <c r="AK6" s="192" t="s">
        <v>86</v>
      </c>
      <c r="AL6" s="192" t="s">
        <v>86</v>
      </c>
      <c r="AM6" s="192" t="s">
        <v>86</v>
      </c>
      <c r="AN6" s="192" t="s">
        <v>86</v>
      </c>
      <c r="AO6" s="192" t="s">
        <v>86</v>
      </c>
      <c r="AP6" s="192" t="s">
        <v>86</v>
      </c>
      <c r="AQ6" s="192" t="s">
        <v>86</v>
      </c>
      <c r="AR6" s="192" t="s">
        <v>86</v>
      </c>
      <c r="AS6" s="192" t="s">
        <v>86</v>
      </c>
      <c r="AT6" s="192" t="s">
        <v>86</v>
      </c>
      <c r="AU6" s="192" t="s">
        <v>86</v>
      </c>
      <c r="AV6" s="192" t="s">
        <v>86</v>
      </c>
      <c r="AW6" s="192" t="s">
        <v>86</v>
      </c>
      <c r="AX6" s="192" t="s">
        <v>86</v>
      </c>
      <c r="AY6" s="192" t="s">
        <v>86</v>
      </c>
      <c r="AZ6" s="192" t="s">
        <v>86</v>
      </c>
      <c r="BA6" s="192" t="s">
        <v>86</v>
      </c>
      <c r="BB6" s="192" t="s">
        <v>86</v>
      </c>
      <c r="BC6" s="192" t="s">
        <v>86</v>
      </c>
      <c r="BD6" s="192" t="s">
        <v>86</v>
      </c>
      <c r="BE6" s="192" t="s">
        <v>86</v>
      </c>
      <c r="BF6" s="192" t="s">
        <v>86</v>
      </c>
      <c r="BG6" s="192" t="s">
        <v>86</v>
      </c>
      <c r="BH6" s="192" t="s">
        <v>86</v>
      </c>
      <c r="BI6" s="192" t="s">
        <v>86</v>
      </c>
      <c r="BJ6" s="192" t="s">
        <v>86</v>
      </c>
      <c r="BK6" s="192" t="s">
        <v>86</v>
      </c>
      <c r="BL6" s="192" t="s">
        <v>86</v>
      </c>
      <c r="BM6" s="192" t="s">
        <v>86</v>
      </c>
      <c r="BN6" s="192" t="s">
        <v>86</v>
      </c>
      <c r="BO6" s="192" t="s">
        <v>86</v>
      </c>
      <c r="BP6" s="192" t="s">
        <v>86</v>
      </c>
      <c r="BQ6" s="192" t="s">
        <v>86</v>
      </c>
      <c r="BR6" s="192" t="s">
        <v>86</v>
      </c>
      <c r="BS6" s="192" t="s">
        <v>86</v>
      </c>
      <c r="BT6" s="192" t="s">
        <v>86</v>
      </c>
      <c r="BU6" s="192" t="s">
        <v>86</v>
      </c>
      <c r="BV6" s="192" t="s">
        <v>86</v>
      </c>
      <c r="BW6" s="192" t="s">
        <v>86</v>
      </c>
      <c r="BX6" s="192" t="s">
        <v>86</v>
      </c>
      <c r="BY6" s="192" t="s">
        <v>86</v>
      </c>
      <c r="BZ6" s="192" t="s">
        <v>86</v>
      </c>
      <c r="CA6" s="192" t="s">
        <v>86</v>
      </c>
      <c r="CB6" s="192" t="s">
        <v>86</v>
      </c>
      <c r="CC6" s="192" t="s">
        <v>86</v>
      </c>
      <c r="CD6" s="192" t="s">
        <v>86</v>
      </c>
      <c r="CE6" s="192" t="s">
        <v>86</v>
      </c>
      <c r="CF6" s="192" t="s">
        <v>86</v>
      </c>
      <c r="CG6" s="192" t="s">
        <v>86</v>
      </c>
      <c r="CH6" s="192" t="s">
        <v>86</v>
      </c>
      <c r="CI6" s="192" t="s">
        <v>86</v>
      </c>
      <c r="CJ6" s="192" t="s">
        <v>86</v>
      </c>
      <c r="CK6" s="192" t="s">
        <v>86</v>
      </c>
      <c r="CL6" s="192" t="s">
        <v>86</v>
      </c>
      <c r="CM6" s="192" t="s">
        <v>85</v>
      </c>
      <c r="CN6" s="192" t="s">
        <v>85</v>
      </c>
      <c r="CO6" s="192" t="s">
        <v>85</v>
      </c>
      <c r="CP6" s="192" t="s">
        <v>85</v>
      </c>
      <c r="CQ6" s="192" t="s">
        <v>85</v>
      </c>
      <c r="CR6" s="192" t="s">
        <v>85</v>
      </c>
      <c r="CS6" s="192" t="s">
        <v>85</v>
      </c>
      <c r="CT6" s="192" t="s">
        <v>85</v>
      </c>
      <c r="CU6" s="192" t="s">
        <v>85</v>
      </c>
      <c r="CV6" s="192" t="s">
        <v>85</v>
      </c>
      <c r="CW6" s="192" t="s">
        <v>85</v>
      </c>
      <c r="CX6" s="192" t="s">
        <v>85</v>
      </c>
      <c r="CY6" s="192" t="s">
        <v>85</v>
      </c>
      <c r="CZ6" s="192" t="s">
        <v>85</v>
      </c>
      <c r="DA6" s="192" t="s">
        <v>85</v>
      </c>
      <c r="DB6" s="192" t="s">
        <v>85</v>
      </c>
      <c r="DC6" s="192" t="s">
        <v>85</v>
      </c>
      <c r="DD6" s="192" t="s">
        <v>85</v>
      </c>
      <c r="DE6" s="192" t="s">
        <v>85</v>
      </c>
      <c r="DF6" s="192" t="s">
        <v>85</v>
      </c>
      <c r="DG6" s="192" t="s">
        <v>85</v>
      </c>
      <c r="DH6" s="192" t="s">
        <v>85</v>
      </c>
      <c r="DI6" s="192" t="s">
        <v>85</v>
      </c>
      <c r="DJ6" s="192" t="s">
        <v>85</v>
      </c>
      <c r="DK6" s="192" t="s">
        <v>85</v>
      </c>
      <c r="DL6" s="192" t="s">
        <v>85</v>
      </c>
      <c r="DM6" s="192" t="s">
        <v>85</v>
      </c>
      <c r="DN6" s="192" t="s">
        <v>85</v>
      </c>
    </row>
    <row r="7" spans="2:118" ht="31.5">
      <c r="G7" s="163"/>
      <c r="H7" s="92" t="s">
        <v>1</v>
      </c>
      <c r="I7" s="193" t="s">
        <v>449</v>
      </c>
      <c r="J7" s="93" t="s">
        <v>451</v>
      </c>
      <c r="K7" s="93" t="s">
        <v>451</v>
      </c>
      <c r="L7" s="93" t="s">
        <v>83</v>
      </c>
      <c r="M7" s="193" t="s">
        <v>455</v>
      </c>
      <c r="N7" s="193" t="s">
        <v>455</v>
      </c>
      <c r="O7" s="193" t="s">
        <v>84</v>
      </c>
      <c r="P7" s="193" t="s">
        <v>455</v>
      </c>
      <c r="Q7" s="193" t="s">
        <v>455</v>
      </c>
      <c r="R7" s="193" t="s">
        <v>455</v>
      </c>
      <c r="S7" s="193" t="s">
        <v>455</v>
      </c>
      <c r="T7" s="193" t="s">
        <v>467</v>
      </c>
      <c r="U7" s="193" t="s">
        <v>467</v>
      </c>
      <c r="V7" s="193" t="s">
        <v>467</v>
      </c>
      <c r="W7" s="93" t="s">
        <v>479</v>
      </c>
      <c r="X7" s="93" t="s">
        <v>479</v>
      </c>
      <c r="Y7" s="93" t="s">
        <v>479</v>
      </c>
      <c r="Z7" s="93" t="s">
        <v>479</v>
      </c>
      <c r="AA7" s="93" t="s">
        <v>479</v>
      </c>
      <c r="AB7" s="93" t="s">
        <v>479</v>
      </c>
      <c r="AC7" s="93" t="s">
        <v>479</v>
      </c>
      <c r="AD7" s="93" t="s">
        <v>479</v>
      </c>
      <c r="AE7" s="93" t="s">
        <v>479</v>
      </c>
      <c r="AF7" s="93" t="s">
        <v>479</v>
      </c>
      <c r="AG7" s="93" t="s">
        <v>479</v>
      </c>
      <c r="AH7" s="93" t="s">
        <v>479</v>
      </c>
      <c r="AI7" s="93" t="s">
        <v>479</v>
      </c>
      <c r="AJ7" s="93" t="s">
        <v>479</v>
      </c>
      <c r="AK7" s="93" t="s">
        <v>479</v>
      </c>
      <c r="AL7" s="93" t="s">
        <v>479</v>
      </c>
      <c r="AM7" s="93" t="s">
        <v>479</v>
      </c>
      <c r="AN7" s="93" t="s">
        <v>479</v>
      </c>
      <c r="AO7" s="93" t="s">
        <v>479</v>
      </c>
      <c r="AP7" s="93" t="s">
        <v>479</v>
      </c>
      <c r="AQ7" s="93" t="s">
        <v>479</v>
      </c>
      <c r="AR7" s="93" t="s">
        <v>479</v>
      </c>
      <c r="AS7" s="93" t="s">
        <v>479</v>
      </c>
      <c r="AT7" s="93" t="s">
        <v>479</v>
      </c>
      <c r="AU7" s="93" t="s">
        <v>479</v>
      </c>
      <c r="AV7" s="93" t="s">
        <v>479</v>
      </c>
      <c r="AW7" s="93" t="s">
        <v>479</v>
      </c>
      <c r="AX7" s="93" t="s">
        <v>479</v>
      </c>
      <c r="AY7" s="93" t="s">
        <v>479</v>
      </c>
      <c r="AZ7" s="93" t="s">
        <v>479</v>
      </c>
      <c r="BA7" s="93" t="s">
        <v>479</v>
      </c>
      <c r="BB7" s="93" t="s">
        <v>479</v>
      </c>
      <c r="BC7" s="93" t="s">
        <v>479</v>
      </c>
      <c r="BD7" s="93" t="s">
        <v>479</v>
      </c>
      <c r="BE7" s="93" t="s">
        <v>479</v>
      </c>
      <c r="BF7" s="93" t="s">
        <v>479</v>
      </c>
      <c r="BG7" s="93" t="s">
        <v>479</v>
      </c>
      <c r="BH7" s="93" t="s">
        <v>479</v>
      </c>
      <c r="BI7" s="93" t="s">
        <v>479</v>
      </c>
      <c r="BJ7" s="93" t="s">
        <v>479</v>
      </c>
      <c r="BK7" s="93" t="s">
        <v>479</v>
      </c>
      <c r="BL7" s="93" t="s">
        <v>479</v>
      </c>
      <c r="BM7" s="93" t="s">
        <v>479</v>
      </c>
      <c r="BN7" s="93" t="s">
        <v>479</v>
      </c>
      <c r="BO7" s="93" t="s">
        <v>479</v>
      </c>
      <c r="BP7" s="93" t="s">
        <v>479</v>
      </c>
      <c r="BQ7" s="93" t="s">
        <v>479</v>
      </c>
      <c r="BR7" s="93" t="s">
        <v>479</v>
      </c>
      <c r="BS7" s="93" t="s">
        <v>479</v>
      </c>
      <c r="BT7" s="93" t="s">
        <v>479</v>
      </c>
      <c r="BU7" s="93" t="s">
        <v>479</v>
      </c>
      <c r="BV7" s="93" t="s">
        <v>479</v>
      </c>
      <c r="BW7" s="93" t="s">
        <v>479</v>
      </c>
      <c r="BX7" s="93" t="s">
        <v>479</v>
      </c>
      <c r="BY7" s="93" t="s">
        <v>479</v>
      </c>
      <c r="BZ7" s="93" t="s">
        <v>479</v>
      </c>
      <c r="CA7" s="93" t="s">
        <v>479</v>
      </c>
      <c r="CB7" s="93" t="s">
        <v>479</v>
      </c>
      <c r="CC7" s="93" t="s">
        <v>479</v>
      </c>
      <c r="CD7" s="93" t="s">
        <v>479</v>
      </c>
      <c r="CE7" s="93" t="s">
        <v>479</v>
      </c>
      <c r="CF7" s="93" t="s">
        <v>479</v>
      </c>
      <c r="CG7" s="93" t="s">
        <v>479</v>
      </c>
      <c r="CH7" s="93" t="s">
        <v>479</v>
      </c>
      <c r="CI7" s="93" t="s">
        <v>479</v>
      </c>
      <c r="CJ7" s="93" t="s">
        <v>479</v>
      </c>
      <c r="CK7" s="93" t="s">
        <v>479</v>
      </c>
      <c r="CL7" s="93" t="s">
        <v>479</v>
      </c>
      <c r="CM7" s="93" t="s">
        <v>581</v>
      </c>
      <c r="CN7" s="93" t="s">
        <v>582</v>
      </c>
      <c r="CO7" s="93" t="s">
        <v>583</v>
      </c>
      <c r="CP7" s="93" t="s">
        <v>584</v>
      </c>
      <c r="CQ7" s="93" t="s">
        <v>585</v>
      </c>
      <c r="CR7" s="93" t="s">
        <v>586</v>
      </c>
      <c r="CS7" s="93" t="s">
        <v>587</v>
      </c>
      <c r="CT7" s="93" t="s">
        <v>588</v>
      </c>
      <c r="CU7" s="93" t="s">
        <v>589</v>
      </c>
      <c r="CV7" s="93" t="s">
        <v>590</v>
      </c>
      <c r="CW7" s="93" t="s">
        <v>591</v>
      </c>
      <c r="CX7" s="93" t="s">
        <v>592</v>
      </c>
      <c r="CY7" s="93" t="s">
        <v>593</v>
      </c>
      <c r="CZ7" s="93" t="s">
        <v>287</v>
      </c>
      <c r="DA7" s="93" t="s">
        <v>594</v>
      </c>
      <c r="DB7" s="93" t="s">
        <v>287</v>
      </c>
      <c r="DC7" s="93" t="s">
        <v>287</v>
      </c>
      <c r="DD7" s="93" t="s">
        <v>594</v>
      </c>
      <c r="DE7" s="93" t="s">
        <v>287</v>
      </c>
      <c r="DF7" s="93" t="s">
        <v>287</v>
      </c>
      <c r="DG7" s="93" t="s">
        <v>287</v>
      </c>
      <c r="DH7" s="93" t="s">
        <v>287</v>
      </c>
      <c r="DI7" s="93" t="s">
        <v>595</v>
      </c>
      <c r="DJ7" s="93" t="s">
        <v>596</v>
      </c>
      <c r="DK7" s="93" t="s">
        <v>597</v>
      </c>
      <c r="DL7" s="93" t="s">
        <v>597</v>
      </c>
      <c r="DM7" s="93" t="s">
        <v>598</v>
      </c>
      <c r="DN7" s="93" t="s">
        <v>580</v>
      </c>
    </row>
    <row r="8" spans="2:118" ht="21">
      <c r="B8" s="230" t="s">
        <v>197</v>
      </c>
      <c r="C8" s="231"/>
      <c r="D8" s="232"/>
      <c r="E8" s="236" t="s">
        <v>270</v>
      </c>
      <c r="F8" s="237"/>
      <c r="G8" s="238"/>
      <c r="H8" s="225" t="s">
        <v>251</v>
      </c>
      <c r="I8" s="226"/>
      <c r="J8" s="226"/>
      <c r="K8" s="226"/>
      <c r="L8" s="226"/>
      <c r="M8" s="226"/>
      <c r="N8" s="226"/>
      <c r="O8" s="226"/>
      <c r="P8" s="226"/>
      <c r="Q8" s="226"/>
      <c r="R8" s="226"/>
      <c r="S8" s="226"/>
      <c r="T8" s="226"/>
      <c r="U8" s="226"/>
      <c r="V8" s="226"/>
      <c r="W8" s="226"/>
      <c r="X8" s="226"/>
      <c r="Y8" s="226"/>
      <c r="Z8" s="226"/>
      <c r="AA8" s="226"/>
      <c r="AB8" s="226"/>
      <c r="AC8" s="226"/>
      <c r="AD8" s="226"/>
      <c r="AE8" s="226"/>
      <c r="AF8" s="226"/>
      <c r="AG8" s="226"/>
      <c r="AH8" s="226"/>
      <c r="AI8" s="226"/>
      <c r="AJ8" s="226"/>
      <c r="AK8" s="226"/>
      <c r="AL8" s="226"/>
      <c r="AM8" s="226"/>
      <c r="AN8" s="226"/>
      <c r="AO8" s="226"/>
      <c r="AP8" s="226"/>
      <c r="AQ8" s="226"/>
      <c r="AR8" s="226"/>
      <c r="AS8" s="226"/>
      <c r="AT8" s="226"/>
      <c r="AU8" s="226"/>
      <c r="AV8" s="226"/>
      <c r="AW8" s="226"/>
      <c r="AX8" s="226"/>
      <c r="AY8" s="226"/>
      <c r="AZ8" s="226"/>
      <c r="BA8" s="226"/>
      <c r="BB8" s="226"/>
      <c r="BC8" s="226"/>
      <c r="BD8" s="226"/>
      <c r="BE8" s="226"/>
      <c r="BF8" s="226"/>
      <c r="BG8" s="226"/>
      <c r="BH8" s="226"/>
      <c r="BI8" s="226"/>
      <c r="BJ8" s="226"/>
      <c r="BK8" s="226"/>
      <c r="BL8" s="226"/>
      <c r="BM8" s="226"/>
      <c r="BN8" s="226"/>
      <c r="BO8" s="226"/>
      <c r="BP8" s="226"/>
      <c r="BQ8" s="226"/>
      <c r="BR8" s="226"/>
      <c r="BS8" s="226"/>
      <c r="BT8" s="226"/>
      <c r="BU8" s="226"/>
      <c r="BV8" s="226"/>
      <c r="BW8" s="226"/>
      <c r="BX8" s="226"/>
      <c r="BY8" s="226"/>
      <c r="BZ8" s="226"/>
      <c r="CA8" s="226"/>
      <c r="CB8" s="226"/>
      <c r="CC8" s="226"/>
      <c r="CD8" s="226"/>
      <c r="CE8" s="226"/>
      <c r="CF8" s="226"/>
      <c r="CG8" s="226"/>
      <c r="CH8" s="226"/>
      <c r="CI8" s="226"/>
      <c r="CJ8" s="226"/>
      <c r="CK8" s="226"/>
      <c r="CL8" s="226"/>
      <c r="CM8" s="226"/>
      <c r="CN8" s="226"/>
      <c r="CO8" s="226"/>
      <c r="CP8" s="226"/>
      <c r="CQ8" s="226"/>
      <c r="CR8" s="226"/>
      <c r="CS8" s="226"/>
      <c r="CT8" s="226"/>
      <c r="CU8" s="226"/>
      <c r="CV8" s="226"/>
      <c r="CW8" s="226"/>
      <c r="CX8" s="226"/>
      <c r="CY8" s="226"/>
      <c r="CZ8" s="226"/>
      <c r="DA8" s="226"/>
      <c r="DB8" s="226"/>
      <c r="DC8" s="226"/>
      <c r="DD8" s="226"/>
      <c r="DE8" s="226"/>
      <c r="DF8" s="226"/>
      <c r="DG8" s="226"/>
      <c r="DH8" s="226"/>
      <c r="DI8" s="226"/>
      <c r="DJ8" s="226"/>
      <c r="DK8" s="226"/>
      <c r="DL8" s="226"/>
      <c r="DM8" s="226"/>
      <c r="DN8" s="226"/>
    </row>
    <row r="9" spans="2:118" ht="82.5" customHeight="1">
      <c r="B9" s="233" t="s">
        <v>280</v>
      </c>
      <c r="C9" s="234"/>
      <c r="D9" s="235"/>
      <c r="E9" s="233" t="s">
        <v>281</v>
      </c>
      <c r="F9" s="234"/>
      <c r="G9" s="235"/>
      <c r="H9" s="223" t="s">
        <v>301</v>
      </c>
      <c r="I9" s="224"/>
      <c r="J9" s="224"/>
      <c r="K9" s="224"/>
      <c r="L9" s="224"/>
      <c r="M9" s="224"/>
      <c r="N9" s="224"/>
      <c r="O9" s="224"/>
      <c r="P9" s="224"/>
      <c r="Q9" s="224"/>
      <c r="R9" s="224"/>
      <c r="S9" s="224"/>
      <c r="T9" s="224"/>
      <c r="U9" s="224"/>
      <c r="V9" s="224"/>
      <c r="W9" s="224"/>
      <c r="X9" s="224"/>
      <c r="Y9" s="224"/>
      <c r="Z9" s="224"/>
      <c r="AA9" s="224"/>
      <c r="AB9" s="224"/>
      <c r="AC9" s="224"/>
      <c r="AD9" s="224"/>
      <c r="AE9" s="224"/>
      <c r="AF9" s="224"/>
      <c r="AG9" s="224"/>
      <c r="AH9" s="224"/>
      <c r="AI9" s="224"/>
      <c r="AJ9" s="224"/>
      <c r="AK9" s="224"/>
      <c r="AL9" s="224"/>
      <c r="AM9" s="224"/>
      <c r="AN9" s="224"/>
      <c r="AO9" s="224"/>
      <c r="AP9" s="224"/>
      <c r="AQ9" s="224"/>
      <c r="AR9" s="224"/>
      <c r="AS9" s="224"/>
      <c r="AT9" s="224"/>
      <c r="AU9" s="224"/>
      <c r="AV9" s="224"/>
      <c r="AW9" s="224"/>
      <c r="AX9" s="224"/>
      <c r="AY9" s="224"/>
      <c r="AZ9" s="224"/>
      <c r="BA9" s="224"/>
      <c r="BB9" s="224"/>
      <c r="BC9" s="224"/>
      <c r="BD9" s="224"/>
      <c r="BE9" s="224"/>
      <c r="BF9" s="224"/>
      <c r="BG9" s="224"/>
      <c r="BH9" s="224"/>
      <c r="BI9" s="224"/>
      <c r="BJ9" s="224"/>
      <c r="BK9" s="224"/>
      <c r="BL9" s="224"/>
      <c r="BM9" s="224"/>
      <c r="BN9" s="224"/>
      <c r="BO9" s="224"/>
      <c r="BP9" s="224"/>
      <c r="BQ9" s="224"/>
      <c r="BR9" s="224"/>
      <c r="BS9" s="224"/>
      <c r="BT9" s="224"/>
      <c r="BU9" s="224"/>
      <c r="BV9" s="224"/>
      <c r="BW9" s="224"/>
      <c r="BX9" s="224"/>
      <c r="BY9" s="224"/>
      <c r="BZ9" s="224"/>
      <c r="CA9" s="224"/>
      <c r="CB9" s="224"/>
      <c r="CC9" s="224"/>
      <c r="CD9" s="224"/>
      <c r="CE9" s="224"/>
      <c r="CF9" s="224"/>
      <c r="CG9" s="224"/>
      <c r="CH9" s="224"/>
      <c r="CI9" s="224"/>
      <c r="CJ9" s="224"/>
      <c r="CK9" s="224"/>
      <c r="CL9" s="224"/>
      <c r="CM9" s="224"/>
      <c r="CN9" s="224"/>
      <c r="CO9" s="224"/>
      <c r="CP9" s="224"/>
      <c r="CQ9" s="224"/>
      <c r="CR9" s="224"/>
      <c r="CS9" s="224"/>
      <c r="CT9" s="224"/>
      <c r="CU9" s="224"/>
      <c r="CV9" s="224"/>
      <c r="CW9" s="224"/>
      <c r="CX9" s="224"/>
      <c r="CY9" s="224"/>
      <c r="CZ9" s="224"/>
      <c r="DA9" s="224"/>
      <c r="DB9" s="224"/>
      <c r="DC9" s="224"/>
      <c r="DD9" s="224"/>
      <c r="DE9" s="224"/>
      <c r="DF9" s="224"/>
      <c r="DG9" s="224"/>
      <c r="DH9" s="224"/>
      <c r="DI9" s="224"/>
      <c r="DJ9" s="224"/>
      <c r="DK9" s="224"/>
      <c r="DL9" s="224"/>
      <c r="DM9" s="224"/>
      <c r="DN9" s="224"/>
    </row>
    <row r="10" spans="2:118" ht="47.25">
      <c r="B10" s="95" t="s">
        <v>290</v>
      </c>
      <c r="C10" s="145" t="s">
        <v>291</v>
      </c>
      <c r="D10" s="13" t="s">
        <v>111</v>
      </c>
      <c r="E10" s="14" t="s">
        <v>11</v>
      </c>
      <c r="F10" s="20" t="s">
        <v>239</v>
      </c>
      <c r="G10" s="13" t="s">
        <v>247</v>
      </c>
      <c r="H10" s="129" t="s">
        <v>78</v>
      </c>
      <c r="I10" s="98">
        <f t="shared" ref="I10:N10" si="0">SUM(I13:I68)</f>
        <v>756375722857.07996</v>
      </c>
      <c r="J10" s="98">
        <f t="shared" si="0"/>
        <v>941466368766.22852</v>
      </c>
      <c r="K10" s="98">
        <f t="shared" si="0"/>
        <v>390594035672.98724</v>
      </c>
      <c r="L10" s="98">
        <f t="shared" si="0"/>
        <v>6495471170.224308</v>
      </c>
      <c r="M10" s="98">
        <f t="shared" si="0"/>
        <v>839812951.16999996</v>
      </c>
      <c r="N10" s="98">
        <f t="shared" si="0"/>
        <v>11938845668</v>
      </c>
      <c r="O10" s="98">
        <f t="shared" ref="O10:X10" si="1">SUM(O13:O68)</f>
        <v>170414975617.08594</v>
      </c>
      <c r="P10" s="98">
        <f t="shared" si="1"/>
        <v>21150105747.84</v>
      </c>
      <c r="Q10" s="98">
        <f t="shared" si="1"/>
        <v>26222216924.580002</v>
      </c>
      <c r="R10" s="98">
        <f t="shared" si="1"/>
        <v>0</v>
      </c>
      <c r="S10" s="98">
        <f t="shared" si="1"/>
        <v>0</v>
      </c>
      <c r="T10" s="98">
        <f t="shared" si="1"/>
        <v>254796886604.36993</v>
      </c>
      <c r="U10" s="98">
        <f t="shared" si="1"/>
        <v>229300099347.84296</v>
      </c>
      <c r="V10" s="98">
        <f t="shared" si="1"/>
        <v>9150476465.2636566</v>
      </c>
      <c r="W10" s="98">
        <f t="shared" si="1"/>
        <v>29388395823.93</v>
      </c>
      <c r="X10" s="98">
        <f t="shared" si="1"/>
        <v>15567077220.18</v>
      </c>
      <c r="Y10" s="98">
        <f>SUM(Y13:Y70)</f>
        <v>16445971670.655001</v>
      </c>
      <c r="Z10" s="98">
        <f>SUM(Z13:Z70)</f>
        <v>10618654103.960001</v>
      </c>
      <c r="AA10" s="98">
        <f>SUM(AA13:AA70)</f>
        <v>9368656850.25</v>
      </c>
      <c r="AB10" s="98">
        <f>SUM(AB13:AB70)</f>
        <v>8906172815.6699982</v>
      </c>
      <c r="AC10" s="98">
        <f>SUM(AC13:AC70)</f>
        <v>7546652430.0600004</v>
      </c>
      <c r="AD10" s="98">
        <f>SUM(AD13:AD70)</f>
        <v>7176797146.4800005</v>
      </c>
      <c r="AE10" s="98">
        <f>SUM(AE13:AE70)</f>
        <v>7135681338.9099989</v>
      </c>
      <c r="AF10" s="98">
        <f>SUM(AF13:AF70)</f>
        <v>6701034062.0699987</v>
      </c>
      <c r="AG10" s="98">
        <f>SUM(AG13:AG70)</f>
        <v>4636438998.8099995</v>
      </c>
      <c r="AH10" s="98">
        <f>SUM(AH13:AH70)</f>
        <v>4630111586.1300001</v>
      </c>
      <c r="AI10" s="98">
        <f>SUM(AI13:AI70)</f>
        <v>3985770320.2299995</v>
      </c>
      <c r="AJ10" s="98">
        <f>SUM(AJ13:AJ70)</f>
        <v>3538739006.6599998</v>
      </c>
      <c r="AK10" s="98">
        <f>SUM(AK13:AK70)</f>
        <v>3180471578.7600002</v>
      </c>
      <c r="AL10" s="98">
        <f>SUM(AL13:AL70)</f>
        <v>2921049496.8500009</v>
      </c>
      <c r="AM10" s="98">
        <f>SUM(AM13:AM70)</f>
        <v>2893320773.1399999</v>
      </c>
      <c r="AN10" s="98">
        <f>SUM(AN13:AN70)</f>
        <v>2718357449.2200003</v>
      </c>
      <c r="AO10" s="98">
        <f>SUM(AO13:AO70)</f>
        <v>2178391166</v>
      </c>
      <c r="AP10" s="98">
        <f>SUM(AP13:AP70)</f>
        <v>1406306673.0400004</v>
      </c>
      <c r="AQ10" s="98">
        <f>SUM(AQ13:AQ70)</f>
        <v>1363493014.48</v>
      </c>
      <c r="AR10" s="98">
        <f>SUM(AR13:AR70)</f>
        <v>1497879764.1699998</v>
      </c>
      <c r="AS10" s="98">
        <f>SUM(AS13:AS70)</f>
        <v>1692842576.05</v>
      </c>
      <c r="AT10" s="98">
        <f>SUM(AT13:AT70)</f>
        <v>1670631569.8299999</v>
      </c>
      <c r="AU10" s="98">
        <f>SUM(AU13:AU70)</f>
        <v>1143853665.5999999</v>
      </c>
      <c r="AV10" s="98">
        <f>SUM(AV13:AV70)</f>
        <v>2049132640.53</v>
      </c>
      <c r="AW10" s="98">
        <f>SUM(AW13:AW70)</f>
        <v>7560000</v>
      </c>
      <c r="AX10" s="98">
        <f>SUM(AX13:AX70)</f>
        <v>1910831288.05</v>
      </c>
      <c r="AY10" s="98">
        <f>SUM(AY13:AY70)</f>
        <v>1071519430.41</v>
      </c>
      <c r="AZ10" s="98">
        <f>SUM(AZ13:AZ70)</f>
        <v>1599329663.4100001</v>
      </c>
      <c r="BA10" s="98">
        <f>SUM(BA13:BA70)</f>
        <v>1047422410.3800001</v>
      </c>
      <c r="BB10" s="98">
        <f>SUM(BB13:BB70)</f>
        <v>823380303.15999997</v>
      </c>
      <c r="BC10" s="98">
        <f>SUM(BC13:BC70)</f>
        <v>1256569687.3</v>
      </c>
      <c r="BD10" s="98">
        <f>SUM(BD13:BD70)</f>
        <v>2815625096.7400002</v>
      </c>
      <c r="BE10" s="98">
        <f>SUM(BE13:BE70)</f>
        <v>1390137262.0299997</v>
      </c>
      <c r="BF10" s="98">
        <f>SUM(BF13:BF70)</f>
        <v>2366051495.98</v>
      </c>
      <c r="BG10" s="98">
        <f>SUM(BG13:BG70)</f>
        <v>2701400983.6300001</v>
      </c>
      <c r="BH10" s="98">
        <f>SUM(BH13:BH70)</f>
        <v>2241505596.9000001</v>
      </c>
      <c r="BI10" s="98">
        <f>SUM(BI13:BI70)</f>
        <v>2794842543.29</v>
      </c>
      <c r="BJ10" s="98">
        <f>SUM(BJ13:BJ70)</f>
        <v>1646801121.6599998</v>
      </c>
      <c r="BK10" s="98">
        <f>SUM(BK13:BK70)</f>
        <v>1630457787.5699999</v>
      </c>
      <c r="BL10" s="98">
        <f>SUM(BL13:BL70)</f>
        <v>2852815144.3099999</v>
      </c>
      <c r="BM10" s="98">
        <f>SUM(BM13:BM70)</f>
        <v>2014463318.4399998</v>
      </c>
      <c r="BN10" s="98">
        <f>SUM(BN13:BN70)</f>
        <v>622330239</v>
      </c>
      <c r="BO10" s="98">
        <f>SUM(BO13:BO70)</f>
        <v>335811387.82999998</v>
      </c>
      <c r="BP10" s="98">
        <f>SUM(BP13:BP70)</f>
        <v>787255848.28999996</v>
      </c>
      <c r="BQ10" s="98">
        <f>SUM(BQ13:BQ70)</f>
        <v>253781211.63</v>
      </c>
      <c r="BR10" s="98">
        <f>SUM(BR13:BR70)</f>
        <v>486145234.02999997</v>
      </c>
      <c r="BS10" s="98">
        <f>SUM(BS13:BS70)</f>
        <v>532973491.75</v>
      </c>
      <c r="BT10" s="98">
        <f>SUM(BT13:BT70)</f>
        <v>33227154.430000003</v>
      </c>
      <c r="BU10" s="98">
        <f>SUM(BU13:BU70)</f>
        <v>942215673.80999994</v>
      </c>
      <c r="BV10" s="98">
        <f>SUM(BV13:BV70)</f>
        <v>2342207695.9899998</v>
      </c>
      <c r="BW10" s="98">
        <f>SUM(BW13:BW70)</f>
        <v>43061048.909999996</v>
      </c>
      <c r="BX10" s="98">
        <f>SUM(BX13:BX70)</f>
        <v>2717953495.9200001</v>
      </c>
      <c r="BY10" s="98">
        <f>SUM(BY13:BY70)</f>
        <v>1632020733.2099998</v>
      </c>
      <c r="BZ10" s="98">
        <f>SUM(BZ13:BZ70)</f>
        <v>909874867.84000003</v>
      </c>
      <c r="CA10" s="98">
        <f>SUM(CA13:CA70)</f>
        <v>1136708198.29</v>
      </c>
      <c r="CB10" s="98">
        <f>SUM(CB13:CB70)</f>
        <v>2754127309.5600004</v>
      </c>
      <c r="CC10" s="98">
        <f>SUM(CC13:CC70)</f>
        <v>1083422260.8099999</v>
      </c>
      <c r="CD10" s="98">
        <f>SUM(CD13:CD70)</f>
        <v>795291311.29999995</v>
      </c>
      <c r="CE10" s="98">
        <f>SUM(CE13:CE70)</f>
        <v>98428855.382999986</v>
      </c>
      <c r="CF10" s="98">
        <f>SUM(CF13:CF70)</f>
        <v>550000000</v>
      </c>
      <c r="CG10" s="98">
        <f>SUM(CG13:CG70)</f>
        <v>949124339.75000012</v>
      </c>
      <c r="CH10" s="98">
        <f>SUM(CH13:CH70)</f>
        <v>610299666.95000005</v>
      </c>
      <c r="CI10" s="98">
        <f>SUM(CI13:CI70)</f>
        <v>7703415867</v>
      </c>
      <c r="CJ10" s="98">
        <f>SUM(CJ13:CJ70)</f>
        <v>143579045.60999998</v>
      </c>
      <c r="CK10" s="98">
        <f>SUM(CK13:CK70)</f>
        <v>258163214.75999999</v>
      </c>
      <c r="CL10" s="98">
        <f>SUM(CL13:CL70)</f>
        <v>463987550.01999998</v>
      </c>
      <c r="CM10" s="98">
        <f>SUM(CM13:CM70)</f>
        <v>49073776062.740005</v>
      </c>
      <c r="CN10" s="98">
        <f>SUM(CN13:CN70)</f>
        <v>5582356.9500000002</v>
      </c>
      <c r="CO10" s="98">
        <f>SUM(CO13:CO70)</f>
        <v>168701920.84</v>
      </c>
      <c r="CP10" s="98">
        <f>SUM(CP13:CP70)</f>
        <v>907030764</v>
      </c>
      <c r="CQ10" s="98">
        <f>SUM(CQ13:CQ70)</f>
        <v>1234693216.55</v>
      </c>
      <c r="CR10" s="98">
        <f>SUM(CR13:CR70)</f>
        <v>2132456069.6050401</v>
      </c>
      <c r="CS10" s="98">
        <f>SUM(CS13:CS70)</f>
        <v>363174566.95999998</v>
      </c>
      <c r="CT10" s="98">
        <f>SUM(CT13:CT70)</f>
        <v>695633487.65365851</v>
      </c>
      <c r="CU10" s="98">
        <f>SUM(CU13:CU70)</f>
        <v>336205612</v>
      </c>
      <c r="CV10" s="98">
        <f>SUM(CV13:CV70)</f>
        <v>108310700</v>
      </c>
      <c r="CW10" s="98">
        <f>SUM(CW13:CW70)</f>
        <v>258683700</v>
      </c>
      <c r="CX10" s="98">
        <f>SUM(CX13:CX70)</f>
        <v>6704907.7999999998</v>
      </c>
      <c r="CY10" s="98">
        <f>SUM(CY13:CY70)</f>
        <v>8642026482.3299999</v>
      </c>
      <c r="CZ10" s="98">
        <f>SUM(CZ13:CZ70)</f>
        <v>35573322</v>
      </c>
      <c r="DA10" s="98">
        <f>SUM(DA13:DA70)</f>
        <v>24463142.41</v>
      </c>
      <c r="DB10" s="98">
        <f>SUM(DB13:DB70)</f>
        <v>18945384</v>
      </c>
      <c r="DC10" s="98">
        <f>SUM(DC13:DC70)</f>
        <v>19338276</v>
      </c>
      <c r="DD10" s="98">
        <f>SUM(DD13:DD70)</f>
        <v>43297856.539999999</v>
      </c>
      <c r="DE10" s="98">
        <f>SUM(DE13:DE70)</f>
        <v>1237198501.04</v>
      </c>
      <c r="DF10" s="98">
        <f>SUM(DF13:DF70)</f>
        <v>106870339</v>
      </c>
      <c r="DG10" s="98">
        <f>SUM(DG13:DG70)</f>
        <v>3890402.3600000003</v>
      </c>
      <c r="DH10" s="98">
        <f>SUM(DH13:DH70)</f>
        <v>93444044</v>
      </c>
      <c r="DI10" s="98">
        <f>SUM(DI13:DI70)</f>
        <v>68610409.150000006</v>
      </c>
      <c r="DJ10" s="98">
        <f>SUM(DJ13:DJ70)</f>
        <v>71713477.230000004</v>
      </c>
      <c r="DK10" s="98">
        <f>SUM(DK13:DK70)</f>
        <v>50700000</v>
      </c>
      <c r="DL10" s="98">
        <f>SUM(DL13:DL70)</f>
        <v>275920116.00999999</v>
      </c>
      <c r="DM10" s="98">
        <f>SUM(DM13:DM70)</f>
        <v>86675295</v>
      </c>
      <c r="DN10" s="98">
        <f>SUM(DN13:DN70)</f>
        <v>83889488</v>
      </c>
    </row>
    <row r="11" spans="2:118">
      <c r="B11" s="130" t="s">
        <v>118</v>
      </c>
      <c r="C11" s="146" t="s">
        <v>119</v>
      </c>
      <c r="D11" s="3"/>
      <c r="E11" s="16"/>
      <c r="F11" s="21"/>
      <c r="G11" s="25"/>
      <c r="H11" s="126"/>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c r="CW11" s="131"/>
      <c r="CX11" s="131"/>
      <c r="CY11" s="131"/>
      <c r="CZ11" s="131"/>
      <c r="DA11" s="131"/>
      <c r="DB11" s="131"/>
      <c r="DC11" s="131"/>
      <c r="DD11" s="131"/>
      <c r="DE11" s="131"/>
      <c r="DF11" s="131"/>
      <c r="DG11" s="131"/>
      <c r="DH11" s="131"/>
      <c r="DI11" s="131"/>
      <c r="DJ11" s="131"/>
      <c r="DK11" s="131"/>
      <c r="DL11" s="131"/>
      <c r="DM11" s="131"/>
      <c r="DN11" s="131"/>
    </row>
    <row r="12" spans="2:118">
      <c r="B12" s="132" t="s">
        <v>120</v>
      </c>
      <c r="C12" s="168" t="s">
        <v>121</v>
      </c>
      <c r="D12" s="2"/>
      <c r="E12" s="16"/>
      <c r="F12" s="21"/>
      <c r="G12" s="25"/>
      <c r="H12" s="126"/>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31"/>
      <c r="CC12" s="131"/>
      <c r="CD12" s="131"/>
      <c r="CE12" s="131"/>
      <c r="CF12" s="131"/>
      <c r="CG12" s="131"/>
      <c r="CH12" s="131"/>
      <c r="CI12" s="131"/>
      <c r="CJ12" s="131"/>
      <c r="CK12" s="131"/>
      <c r="CL12" s="131"/>
      <c r="CM12" s="131"/>
      <c r="CN12" s="131"/>
      <c r="CO12" s="131"/>
      <c r="CP12" s="131"/>
      <c r="CQ12" s="131"/>
      <c r="CR12" s="131"/>
      <c r="CS12" s="131"/>
      <c r="CT12" s="131"/>
      <c r="CU12" s="131"/>
      <c r="CV12" s="131"/>
      <c r="CW12" s="131"/>
      <c r="CX12" s="131"/>
      <c r="CY12" s="131"/>
      <c r="CZ12" s="131"/>
      <c r="DA12" s="131"/>
      <c r="DB12" s="131"/>
      <c r="DC12" s="131"/>
      <c r="DD12" s="131"/>
      <c r="DE12" s="131"/>
      <c r="DF12" s="131"/>
      <c r="DG12" s="131"/>
      <c r="DH12" s="131"/>
      <c r="DI12" s="131"/>
      <c r="DJ12" s="131"/>
      <c r="DK12" s="131"/>
      <c r="DL12" s="131"/>
      <c r="DM12" s="131"/>
      <c r="DN12" s="131"/>
    </row>
    <row r="13" spans="2:118" ht="31.5">
      <c r="B13" s="133" t="s">
        <v>122</v>
      </c>
      <c r="C13" s="155" t="s">
        <v>123</v>
      </c>
      <c r="D13" s="12" t="s">
        <v>600</v>
      </c>
      <c r="E13" s="16" t="s">
        <v>477</v>
      </c>
      <c r="F13" s="21" t="s">
        <v>601</v>
      </c>
      <c r="G13" s="25">
        <f>125339027174.554+295427873445.12+2761517586+2091258147+10240092556.4+6651746114</f>
        <v>442511515023.07404</v>
      </c>
      <c r="H13" s="126">
        <f>SUM(I13:DN13)</f>
        <v>433768510762.07434</v>
      </c>
      <c r="I13" s="131">
        <v>6072660939.4699993</v>
      </c>
      <c r="J13" s="131">
        <v>24098942752.830002</v>
      </c>
      <c r="K13" s="131"/>
      <c r="L13" s="131">
        <v>6495471170.224308</v>
      </c>
      <c r="M13" s="131"/>
      <c r="N13" s="131">
        <v>11938845668</v>
      </c>
      <c r="O13" s="131">
        <v>29460873971.610001</v>
      </c>
      <c r="P13" s="131">
        <v>21150105747.84</v>
      </c>
      <c r="Q13" s="131">
        <v>26122126924.580002</v>
      </c>
      <c r="R13" s="131"/>
      <c r="S13" s="131"/>
      <c r="T13" s="131">
        <v>174051429612.5</v>
      </c>
      <c r="U13" s="131">
        <v>121376443832.62</v>
      </c>
      <c r="V13" s="131"/>
      <c r="W13" s="131"/>
      <c r="X13" s="131"/>
      <c r="Y13" s="131">
        <v>299848482</v>
      </c>
      <c r="Z13" s="131"/>
      <c r="AA13" s="131">
        <v>145414895</v>
      </c>
      <c r="AB13" s="131"/>
      <c r="AC13" s="131">
        <v>5605202</v>
      </c>
      <c r="AD13" s="131">
        <v>10470602</v>
      </c>
      <c r="AE13" s="131">
        <v>221274971</v>
      </c>
      <c r="AF13" s="131">
        <v>56357457</v>
      </c>
      <c r="AG13" s="131">
        <v>855086</v>
      </c>
      <c r="AH13" s="131"/>
      <c r="AI13" s="131"/>
      <c r="AJ13" s="131"/>
      <c r="AK13" s="131">
        <v>16354443</v>
      </c>
      <c r="AL13" s="131"/>
      <c r="AM13" s="131"/>
      <c r="AN13" s="131"/>
      <c r="AO13" s="131">
        <v>226222686</v>
      </c>
      <c r="AP13" s="131"/>
      <c r="AQ13" s="131">
        <v>141310</v>
      </c>
      <c r="AR13" s="131"/>
      <c r="AS13" s="131">
        <v>60181772</v>
      </c>
      <c r="AT13" s="131"/>
      <c r="AU13" s="131">
        <v>4921818</v>
      </c>
      <c r="AV13" s="131">
        <v>3607785</v>
      </c>
      <c r="AW13" s="131">
        <f>7560000</f>
        <v>7560000</v>
      </c>
      <c r="AX13" s="131">
        <f>1501565</f>
        <v>1501565</v>
      </c>
      <c r="AY13" s="131"/>
      <c r="AZ13" s="131">
        <v>3104514</v>
      </c>
      <c r="BA13" s="131">
        <v>1892260</v>
      </c>
      <c r="BB13" s="131"/>
      <c r="BC13" s="131"/>
      <c r="BD13" s="131">
        <v>2312246</v>
      </c>
      <c r="BE13" s="131"/>
      <c r="BF13" s="131">
        <v>1490871</v>
      </c>
      <c r="BG13" s="131">
        <v>300000</v>
      </c>
      <c r="BH13" s="131">
        <v>5524723</v>
      </c>
      <c r="BI13" s="131"/>
      <c r="BJ13" s="131"/>
      <c r="BK13" s="131">
        <v>5056</v>
      </c>
      <c r="BL13" s="131">
        <v>6563711</v>
      </c>
      <c r="BM13" s="131"/>
      <c r="BN13" s="131"/>
      <c r="BO13" s="131"/>
      <c r="BP13" s="131">
        <v>37731710</v>
      </c>
      <c r="BQ13" s="131"/>
      <c r="BR13" s="131"/>
      <c r="BS13" s="131"/>
      <c r="BT13" s="131">
        <v>4175482</v>
      </c>
      <c r="BU13" s="131">
        <v>1317158</v>
      </c>
      <c r="BV13" s="131">
        <v>1054710</v>
      </c>
      <c r="BW13" s="131"/>
      <c r="BX13" s="131">
        <v>1410873</v>
      </c>
      <c r="BY13" s="131">
        <v>68883964</v>
      </c>
      <c r="BZ13" s="131"/>
      <c r="CA13" s="131"/>
      <c r="CB13" s="131">
        <v>50177109</v>
      </c>
      <c r="CC13" s="131">
        <v>197461362</v>
      </c>
      <c r="CD13" s="131">
        <v>200000</v>
      </c>
      <c r="CE13" s="131"/>
      <c r="CF13" s="131"/>
      <c r="CG13" s="131">
        <v>71346714</v>
      </c>
      <c r="CH13" s="131"/>
      <c r="CI13" s="131">
        <v>1245908905</v>
      </c>
      <c r="CJ13" s="131"/>
      <c r="CK13" s="131">
        <v>338144</v>
      </c>
      <c r="CL13" s="131"/>
      <c r="CM13" s="131">
        <v>7653645625</v>
      </c>
      <c r="CN13" s="131"/>
      <c r="CO13" s="131">
        <v>70750624</v>
      </c>
      <c r="CP13" s="131">
        <v>11094034</v>
      </c>
      <c r="CQ13" s="131">
        <v>220734114</v>
      </c>
      <c r="CR13" s="131"/>
      <c r="CS13" s="131">
        <v>26534534</v>
      </c>
      <c r="CT13" s="131"/>
      <c r="CU13" s="131"/>
      <c r="CV13" s="131"/>
      <c r="CW13" s="131"/>
      <c r="CX13" s="131">
        <v>1104884</v>
      </c>
      <c r="CY13" s="131">
        <v>1777951484.4000001</v>
      </c>
      <c r="CZ13" s="131">
        <v>2543616</v>
      </c>
      <c r="DA13" s="131">
        <v>4220423</v>
      </c>
      <c r="DB13" s="131">
        <v>3905071</v>
      </c>
      <c r="DC13" s="131">
        <v>4297963</v>
      </c>
      <c r="DD13" s="131">
        <v>4617585</v>
      </c>
      <c r="DE13" s="131">
        <v>238721285</v>
      </c>
      <c r="DF13" s="131">
        <v>104979154</v>
      </c>
      <c r="DG13" s="131"/>
      <c r="DH13" s="131">
        <v>21246833</v>
      </c>
      <c r="DI13" s="131"/>
      <c r="DJ13" s="131"/>
      <c r="DK13" s="131"/>
      <c r="DL13" s="131">
        <v>55737731</v>
      </c>
      <c r="DM13" s="131">
        <v>27710295</v>
      </c>
      <c r="DN13" s="131">
        <v>10297301</v>
      </c>
    </row>
    <row r="14" spans="2:118">
      <c r="B14" s="133" t="s">
        <v>122</v>
      </c>
      <c r="C14" s="155" t="s">
        <v>123</v>
      </c>
      <c r="D14" s="12" t="s">
        <v>272</v>
      </c>
      <c r="E14" s="16"/>
      <c r="F14" s="21"/>
      <c r="G14" s="25"/>
      <c r="H14" s="126"/>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31"/>
      <c r="CC14" s="131"/>
      <c r="CD14" s="131"/>
      <c r="CE14" s="131"/>
      <c r="CF14" s="131"/>
      <c r="CG14" s="131"/>
      <c r="CH14" s="131"/>
      <c r="CI14" s="131"/>
      <c r="CJ14" s="131"/>
      <c r="CK14" s="131"/>
      <c r="CL14" s="131"/>
      <c r="CM14" s="131"/>
      <c r="CN14" s="131"/>
      <c r="CO14" s="131"/>
      <c r="CP14" s="131"/>
      <c r="CQ14" s="131"/>
      <c r="CR14" s="131"/>
      <c r="CS14" s="131"/>
      <c r="CT14" s="131"/>
      <c r="CU14" s="131"/>
      <c r="CV14" s="131"/>
      <c r="CW14" s="131"/>
      <c r="CX14" s="131"/>
      <c r="CY14" s="131"/>
      <c r="CZ14" s="131"/>
      <c r="DA14" s="131"/>
      <c r="DB14" s="131"/>
      <c r="DC14" s="131"/>
      <c r="DD14" s="131"/>
      <c r="DE14" s="131"/>
      <c r="DF14" s="131"/>
      <c r="DG14" s="131"/>
      <c r="DH14" s="131"/>
      <c r="DI14" s="131"/>
      <c r="DJ14" s="131"/>
      <c r="DK14" s="131"/>
      <c r="DL14" s="131"/>
      <c r="DM14" s="131"/>
      <c r="DN14" s="131"/>
    </row>
    <row r="15" spans="2:118" ht="31.5">
      <c r="B15" s="133" t="s">
        <v>122</v>
      </c>
      <c r="C15" s="155" t="s">
        <v>123</v>
      </c>
      <c r="D15" s="12" t="s">
        <v>600</v>
      </c>
      <c r="E15" s="16" t="s">
        <v>473</v>
      </c>
      <c r="F15" s="21" t="s">
        <v>601</v>
      </c>
      <c r="G15" s="25">
        <f>4930483286.3+22350747468</f>
        <v>27281230754.299999</v>
      </c>
      <c r="H15" s="126">
        <f t="shared" ref="H15:H17" si="2">SUM(I15:DN15)</f>
        <v>6040016827.1300001</v>
      </c>
      <c r="I15" s="131"/>
      <c r="J15" s="131"/>
      <c r="K15" s="131"/>
      <c r="L15" s="131"/>
      <c r="M15" s="131"/>
      <c r="N15" s="131"/>
      <c r="O15" s="131"/>
      <c r="P15" s="131"/>
      <c r="Q15" s="131"/>
      <c r="R15" s="131"/>
      <c r="S15" s="131"/>
      <c r="T15" s="131"/>
      <c r="U15" s="131"/>
      <c r="V15" s="131"/>
      <c r="W15" s="131"/>
      <c r="X15" s="131"/>
      <c r="Y15" s="131">
        <v>4843587771.8800001</v>
      </c>
      <c r="Z15" s="131"/>
      <c r="AA15" s="131">
        <v>1109533540.8299999</v>
      </c>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v>86895514.420000002</v>
      </c>
      <c r="BW15" s="131"/>
      <c r="BX15" s="131"/>
      <c r="BY15" s="131"/>
      <c r="BZ15" s="131"/>
      <c r="CA15" s="131"/>
      <c r="CB15" s="131"/>
      <c r="CC15" s="131"/>
      <c r="CD15" s="131"/>
      <c r="CE15" s="131"/>
      <c r="CF15" s="131"/>
      <c r="CG15" s="131"/>
      <c r="CH15" s="131"/>
      <c r="CI15" s="131"/>
      <c r="CJ15" s="131"/>
      <c r="CK15" s="131"/>
      <c r="CL15" s="131"/>
      <c r="CM15" s="131"/>
      <c r="CN15" s="131"/>
      <c r="CO15" s="131"/>
      <c r="CP15" s="131"/>
      <c r="CQ15" s="131"/>
      <c r="CR15" s="131"/>
      <c r="CS15" s="131"/>
      <c r="CT15" s="131"/>
      <c r="CU15" s="131"/>
      <c r="CV15" s="131"/>
      <c r="CW15" s="131"/>
      <c r="CX15" s="131"/>
      <c r="CY15" s="131"/>
      <c r="CZ15" s="131"/>
      <c r="DA15" s="131"/>
      <c r="DB15" s="131"/>
      <c r="DC15" s="131"/>
      <c r="DD15" s="131"/>
      <c r="DE15" s="131"/>
      <c r="DF15" s="131"/>
      <c r="DG15" s="131"/>
      <c r="DH15" s="131"/>
      <c r="DI15" s="131"/>
      <c r="DJ15" s="131"/>
      <c r="DK15" s="131"/>
      <c r="DL15" s="131"/>
      <c r="DM15" s="131"/>
      <c r="DN15" s="131"/>
    </row>
    <row r="16" spans="2:118" ht="31.5">
      <c r="B16" s="133" t="s">
        <v>122</v>
      </c>
      <c r="C16" s="155" t="s">
        <v>123</v>
      </c>
      <c r="D16" s="12" t="s">
        <v>600</v>
      </c>
      <c r="E16" s="16" t="s">
        <v>476</v>
      </c>
      <c r="F16" s="21" t="s">
        <v>601</v>
      </c>
      <c r="G16" s="25">
        <f>10444991176.05+4569416181+1499016960+5448893059</f>
        <v>21962317376.049999</v>
      </c>
      <c r="H16" s="126">
        <f t="shared" si="2"/>
        <v>11944008136.049999</v>
      </c>
      <c r="I16" s="131"/>
      <c r="J16" s="131"/>
      <c r="K16" s="131"/>
      <c r="L16" s="131"/>
      <c r="M16" s="131"/>
      <c r="N16" s="131"/>
      <c r="O16" s="131"/>
      <c r="P16" s="131"/>
      <c r="Q16" s="131"/>
      <c r="R16" s="131"/>
      <c r="S16" s="131"/>
      <c r="T16" s="131"/>
      <c r="U16" s="131"/>
      <c r="V16" s="131"/>
      <c r="W16" s="131">
        <v>7603074.0499999998</v>
      </c>
      <c r="X16" s="131"/>
      <c r="Y16" s="131"/>
      <c r="Z16" s="131"/>
      <c r="AA16" s="131">
        <v>367371438</v>
      </c>
      <c r="AB16" s="131">
        <v>1111279260</v>
      </c>
      <c r="AC16" s="131"/>
      <c r="AD16" s="131"/>
      <c r="AE16" s="131">
        <v>549791561</v>
      </c>
      <c r="AF16" s="131">
        <v>332581321</v>
      </c>
      <c r="AG16" s="131"/>
      <c r="AH16" s="131"/>
      <c r="AI16" s="131"/>
      <c r="AJ16" s="131"/>
      <c r="AK16" s="131"/>
      <c r="AL16" s="131"/>
      <c r="AM16" s="131"/>
      <c r="AN16" s="131"/>
      <c r="AO16" s="131">
        <v>565556716</v>
      </c>
      <c r="AP16" s="131"/>
      <c r="AQ16" s="131"/>
      <c r="AR16" s="131"/>
      <c r="AS16" s="131">
        <v>229491435</v>
      </c>
      <c r="AT16" s="131"/>
      <c r="AU16" s="131"/>
      <c r="AV16" s="131">
        <v>830592</v>
      </c>
      <c r="AW16" s="131"/>
      <c r="AX16" s="131"/>
      <c r="AY16" s="131"/>
      <c r="AZ16" s="131"/>
      <c r="BA16" s="131"/>
      <c r="BB16" s="131"/>
      <c r="BC16" s="131"/>
      <c r="BD16" s="131"/>
      <c r="BE16" s="131"/>
      <c r="BF16" s="131"/>
      <c r="BG16" s="131"/>
      <c r="BH16" s="131"/>
      <c r="BI16" s="131"/>
      <c r="BJ16" s="131"/>
      <c r="BK16" s="131"/>
      <c r="BL16" s="131"/>
      <c r="BM16" s="131"/>
      <c r="BN16" s="131"/>
      <c r="BO16" s="131"/>
      <c r="BP16" s="131">
        <v>96886662</v>
      </c>
      <c r="BQ16" s="131"/>
      <c r="BR16" s="131"/>
      <c r="BS16" s="131"/>
      <c r="BT16" s="131"/>
      <c r="BU16" s="131"/>
      <c r="BV16" s="131"/>
      <c r="BW16" s="131"/>
      <c r="BX16" s="131"/>
      <c r="BY16" s="131">
        <v>222493425</v>
      </c>
      <c r="BZ16" s="131">
        <v>1980898</v>
      </c>
      <c r="CA16" s="131"/>
      <c r="CB16" s="131">
        <v>129206056</v>
      </c>
      <c r="CC16" s="131">
        <v>497154644</v>
      </c>
      <c r="CD16" s="131"/>
      <c r="CE16" s="131"/>
      <c r="CF16" s="131"/>
      <c r="CG16" s="131">
        <v>178150928</v>
      </c>
      <c r="CH16" s="131"/>
      <c r="CI16" s="131">
        <v>6154613166</v>
      </c>
      <c r="CJ16" s="131"/>
      <c r="CK16" s="131"/>
      <c r="CL16" s="131"/>
      <c r="CM16" s="131"/>
      <c r="CN16" s="131"/>
      <c r="CO16" s="131">
        <v>700000</v>
      </c>
      <c r="CP16" s="131">
        <v>33021265</v>
      </c>
      <c r="CQ16" s="131">
        <v>614707239</v>
      </c>
      <c r="CR16" s="131"/>
      <c r="CS16" s="131"/>
      <c r="CT16" s="131"/>
      <c r="CU16" s="131"/>
      <c r="CV16" s="131"/>
      <c r="CW16" s="131"/>
      <c r="CX16" s="131"/>
      <c r="CY16" s="131">
        <v>20310174</v>
      </c>
      <c r="CZ16" s="131">
        <v>300000</v>
      </c>
      <c r="DA16" s="131">
        <v>9091822</v>
      </c>
      <c r="DB16" s="131">
        <v>5107143</v>
      </c>
      <c r="DC16" s="131">
        <v>5107143</v>
      </c>
      <c r="DD16" s="131"/>
      <c r="DE16" s="131">
        <v>724491941</v>
      </c>
      <c r="DF16" s="131"/>
      <c r="DG16" s="131"/>
      <c r="DH16" s="131">
        <v>20495646</v>
      </c>
      <c r="DI16" s="131"/>
      <c r="DJ16" s="131"/>
      <c r="DK16" s="131"/>
      <c r="DL16" s="131"/>
      <c r="DM16" s="131"/>
      <c r="DN16" s="131">
        <v>65684587</v>
      </c>
    </row>
    <row r="17" spans="2:118" ht="31.5">
      <c r="B17" s="133" t="s">
        <v>122</v>
      </c>
      <c r="C17" s="155" t="s">
        <v>123</v>
      </c>
      <c r="D17" s="12" t="s">
        <v>300</v>
      </c>
      <c r="E17" s="16" t="s">
        <v>478</v>
      </c>
      <c r="F17" s="21" t="s">
        <v>601</v>
      </c>
      <c r="G17" s="25">
        <f>2860000+217752600</f>
        <v>220612600</v>
      </c>
      <c r="H17" s="126">
        <f t="shared" si="2"/>
        <v>0</v>
      </c>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c r="CW17" s="131"/>
      <c r="CX17" s="131"/>
      <c r="CY17" s="131"/>
      <c r="CZ17" s="131"/>
      <c r="DA17" s="131"/>
      <c r="DB17" s="131"/>
      <c r="DC17" s="131"/>
      <c r="DD17" s="131"/>
      <c r="DE17" s="131"/>
      <c r="DF17" s="131"/>
      <c r="DG17" s="131"/>
      <c r="DH17" s="131"/>
      <c r="DI17" s="131"/>
      <c r="DJ17" s="131"/>
      <c r="DK17" s="131"/>
      <c r="DL17" s="131"/>
      <c r="DM17" s="131"/>
      <c r="DN17" s="131"/>
    </row>
    <row r="18" spans="2:118">
      <c r="B18" s="133" t="s">
        <v>124</v>
      </c>
      <c r="C18" s="155" t="s">
        <v>125</v>
      </c>
      <c r="D18" s="12" t="s">
        <v>299</v>
      </c>
      <c r="E18" s="16"/>
      <c r="F18" s="81"/>
      <c r="G18" s="25"/>
      <c r="H18" s="126"/>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c r="CG18" s="131"/>
      <c r="CH18" s="131"/>
      <c r="CI18" s="131"/>
      <c r="CJ18" s="131"/>
      <c r="CK18" s="131"/>
      <c r="CL18" s="131"/>
      <c r="CM18" s="131"/>
      <c r="CN18" s="131"/>
      <c r="CO18" s="131"/>
      <c r="CP18" s="131"/>
      <c r="CQ18" s="131"/>
      <c r="CR18" s="131"/>
      <c r="CS18" s="131"/>
      <c r="CT18" s="131"/>
      <c r="CU18" s="131"/>
      <c r="CV18" s="131"/>
      <c r="CW18" s="131"/>
      <c r="CX18" s="131"/>
      <c r="CY18" s="131"/>
      <c r="CZ18" s="131"/>
      <c r="DA18" s="131"/>
      <c r="DB18" s="131"/>
      <c r="DC18" s="131"/>
      <c r="DD18" s="131"/>
      <c r="DE18" s="131"/>
      <c r="DF18" s="131"/>
      <c r="DG18" s="131"/>
      <c r="DH18" s="131"/>
      <c r="DI18" s="131"/>
      <c r="DJ18" s="131"/>
      <c r="DK18" s="131"/>
      <c r="DL18" s="131"/>
      <c r="DM18" s="131"/>
      <c r="DN18" s="131"/>
    </row>
    <row r="19" spans="2:118">
      <c r="B19" s="133" t="s">
        <v>126</v>
      </c>
      <c r="C19" s="152" t="s">
        <v>127</v>
      </c>
      <c r="D19" s="12" t="s">
        <v>272</v>
      </c>
      <c r="E19" s="16"/>
      <c r="F19" s="21"/>
      <c r="G19" s="25"/>
      <c r="H19" s="126">
        <f>SUM(I19:DN19)</f>
        <v>0</v>
      </c>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c r="CQ19" s="131"/>
      <c r="CR19" s="131"/>
      <c r="CS19" s="131"/>
      <c r="CT19" s="131"/>
      <c r="CU19" s="131"/>
      <c r="CV19" s="131"/>
      <c r="CW19" s="131"/>
      <c r="CX19" s="131"/>
      <c r="CY19" s="131"/>
      <c r="CZ19" s="131"/>
      <c r="DA19" s="131"/>
      <c r="DB19" s="131"/>
      <c r="DC19" s="131"/>
      <c r="DD19" s="131"/>
      <c r="DE19" s="131"/>
      <c r="DF19" s="131"/>
      <c r="DG19" s="131"/>
      <c r="DH19" s="131"/>
      <c r="DI19" s="131"/>
      <c r="DJ19" s="131"/>
      <c r="DK19" s="131"/>
      <c r="DL19" s="131"/>
      <c r="DM19" s="131"/>
      <c r="DN19" s="131"/>
    </row>
    <row r="20" spans="2:118">
      <c r="B20" s="133" t="s">
        <v>128</v>
      </c>
      <c r="C20" s="152" t="s">
        <v>129</v>
      </c>
      <c r="D20" s="12" t="s">
        <v>272</v>
      </c>
      <c r="E20" s="16"/>
      <c r="F20" s="21"/>
      <c r="G20" s="25"/>
      <c r="H20" s="126">
        <f>SUM(I20:DN20)</f>
        <v>0</v>
      </c>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c r="CW20" s="131"/>
      <c r="CX20" s="131"/>
      <c r="CY20" s="131"/>
      <c r="CZ20" s="131"/>
      <c r="DA20" s="131"/>
      <c r="DB20" s="131"/>
      <c r="DC20" s="131"/>
      <c r="DD20" s="131"/>
      <c r="DE20" s="131"/>
      <c r="DF20" s="131"/>
      <c r="DG20" s="131"/>
      <c r="DH20" s="131"/>
      <c r="DI20" s="131"/>
      <c r="DJ20" s="131"/>
      <c r="DK20" s="131"/>
      <c r="DL20" s="131"/>
      <c r="DM20" s="131"/>
      <c r="DN20" s="131"/>
    </row>
    <row r="21" spans="2:118">
      <c r="B21" s="134" t="s">
        <v>130</v>
      </c>
      <c r="C21" s="151" t="s">
        <v>131</v>
      </c>
      <c r="D21" s="2"/>
      <c r="E21" s="16"/>
      <c r="F21" s="21"/>
      <c r="G21" s="25"/>
      <c r="H21" s="126"/>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c r="CD21" s="131"/>
      <c r="CE21" s="131"/>
      <c r="CF21" s="131"/>
      <c r="CG21" s="131"/>
      <c r="CH21" s="131"/>
      <c r="CI21" s="131"/>
      <c r="CJ21" s="131"/>
      <c r="CK21" s="131"/>
      <c r="CL21" s="131"/>
      <c r="CM21" s="131"/>
      <c r="CN21" s="131"/>
      <c r="CO21" s="131"/>
      <c r="CP21" s="131"/>
      <c r="CQ21" s="131"/>
      <c r="CR21" s="131"/>
      <c r="CS21" s="131"/>
      <c r="CT21" s="131"/>
      <c r="CU21" s="131"/>
      <c r="CV21" s="131"/>
      <c r="CW21" s="131"/>
      <c r="CX21" s="131"/>
      <c r="CY21" s="131"/>
      <c r="CZ21" s="131"/>
      <c r="DA21" s="131"/>
      <c r="DB21" s="131"/>
      <c r="DC21" s="131"/>
      <c r="DD21" s="131"/>
      <c r="DE21" s="131"/>
      <c r="DF21" s="131"/>
      <c r="DG21" s="131"/>
      <c r="DH21" s="131"/>
      <c r="DI21" s="131"/>
      <c r="DJ21" s="131"/>
      <c r="DK21" s="131"/>
      <c r="DL21" s="131"/>
      <c r="DM21" s="131"/>
      <c r="DN21" s="131"/>
    </row>
    <row r="22" spans="2:118" ht="31.5">
      <c r="B22" s="133" t="s">
        <v>132</v>
      </c>
      <c r="C22" s="153" t="s">
        <v>133</v>
      </c>
      <c r="D22" s="12" t="s">
        <v>272</v>
      </c>
      <c r="E22" s="16"/>
      <c r="F22" s="21"/>
      <c r="G22" s="25"/>
      <c r="H22" s="126">
        <f>SUM(I22:DN22)</f>
        <v>0</v>
      </c>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c r="CD22" s="131"/>
      <c r="CE22" s="131"/>
      <c r="CF22" s="131"/>
      <c r="CG22" s="131"/>
      <c r="CH22" s="131"/>
      <c r="CI22" s="131"/>
      <c r="CJ22" s="131"/>
      <c r="CK22" s="131"/>
      <c r="CL22" s="131"/>
      <c r="CM22" s="131"/>
      <c r="CN22" s="131"/>
      <c r="CO22" s="131"/>
      <c r="CP22" s="131"/>
      <c r="CQ22" s="131"/>
      <c r="CR22" s="131"/>
      <c r="CS22" s="131"/>
      <c r="CT22" s="131"/>
      <c r="CU22" s="131"/>
      <c r="CV22" s="131"/>
      <c r="CW22" s="131"/>
      <c r="CX22" s="131"/>
      <c r="CY22" s="131"/>
      <c r="CZ22" s="131"/>
      <c r="DA22" s="131"/>
      <c r="DB22" s="131"/>
      <c r="DC22" s="131"/>
      <c r="DD22" s="131"/>
      <c r="DE22" s="131"/>
      <c r="DF22" s="131"/>
      <c r="DG22" s="131"/>
      <c r="DH22" s="131"/>
      <c r="DI22" s="131"/>
      <c r="DJ22" s="131"/>
      <c r="DK22" s="131"/>
      <c r="DL22" s="131"/>
      <c r="DM22" s="131"/>
      <c r="DN22" s="131"/>
    </row>
    <row r="23" spans="2:118" ht="31.5">
      <c r="B23" s="133" t="s">
        <v>132</v>
      </c>
      <c r="C23" s="153" t="s">
        <v>133</v>
      </c>
      <c r="D23" s="12" t="s">
        <v>299</v>
      </c>
      <c r="E23" s="16" t="s">
        <v>436</v>
      </c>
      <c r="F23" s="21" t="s">
        <v>601</v>
      </c>
      <c r="G23" s="25">
        <v>96700000</v>
      </c>
      <c r="H23" s="126">
        <f>SUM(I23:DN23)</f>
        <v>96700000</v>
      </c>
      <c r="I23" s="131"/>
      <c r="J23" s="131"/>
      <c r="K23" s="131"/>
      <c r="L23" s="131"/>
      <c r="M23" s="131"/>
      <c r="N23" s="131"/>
      <c r="O23" s="131">
        <v>96700000</v>
      </c>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row>
    <row r="24" spans="2:118">
      <c r="B24" s="133" t="s">
        <v>134</v>
      </c>
      <c r="C24" s="153" t="s">
        <v>135</v>
      </c>
      <c r="D24" s="12" t="s">
        <v>272</v>
      </c>
      <c r="E24" s="16"/>
      <c r="F24" s="21"/>
      <c r="G24" s="25"/>
      <c r="H24" s="126">
        <f>SUM(I24:DN24)</f>
        <v>0</v>
      </c>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c r="CC24" s="131"/>
      <c r="CD24" s="131"/>
      <c r="CE24" s="131"/>
      <c r="CF24" s="131"/>
      <c r="CG24" s="131"/>
      <c r="CH24" s="131"/>
      <c r="CI24" s="131"/>
      <c r="CJ24" s="131"/>
      <c r="CK24" s="131"/>
      <c r="CL24" s="131"/>
      <c r="CM24" s="131"/>
      <c r="CN24" s="131"/>
      <c r="CO24" s="131"/>
      <c r="CP24" s="131"/>
      <c r="CQ24" s="131"/>
      <c r="CR24" s="131"/>
      <c r="CS24" s="131"/>
      <c r="CT24" s="131"/>
      <c r="CU24" s="131"/>
      <c r="CV24" s="131"/>
      <c r="CW24" s="131"/>
      <c r="CX24" s="131"/>
      <c r="CY24" s="131"/>
      <c r="CZ24" s="131"/>
      <c r="DA24" s="131"/>
      <c r="DB24" s="131"/>
      <c r="DC24" s="131"/>
      <c r="DD24" s="131"/>
      <c r="DE24" s="131"/>
      <c r="DF24" s="131"/>
      <c r="DG24" s="131"/>
      <c r="DH24" s="131"/>
      <c r="DI24" s="131"/>
      <c r="DJ24" s="131"/>
      <c r="DK24" s="131"/>
      <c r="DL24" s="131"/>
      <c r="DM24" s="131"/>
      <c r="DN24" s="131"/>
    </row>
    <row r="25" spans="2:118" ht="31.5">
      <c r="B25" s="134" t="s">
        <v>138</v>
      </c>
      <c r="C25" s="154" t="s">
        <v>139</v>
      </c>
      <c r="D25" s="3"/>
      <c r="E25" s="16"/>
      <c r="F25" s="21"/>
      <c r="G25" s="25"/>
      <c r="H25" s="126"/>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c r="CD25" s="131"/>
      <c r="CE25" s="131"/>
      <c r="CF25" s="131"/>
      <c r="CG25" s="131"/>
      <c r="CH25" s="131"/>
      <c r="CI25" s="131"/>
      <c r="CJ25" s="131"/>
      <c r="CK25" s="131"/>
      <c r="CL25" s="131"/>
      <c r="CM25" s="131"/>
      <c r="CN25" s="131"/>
      <c r="CO25" s="131"/>
      <c r="CP25" s="131"/>
      <c r="CQ25" s="131"/>
      <c r="CR25" s="131"/>
      <c r="CS25" s="131"/>
      <c r="CT25" s="131"/>
      <c r="CU25" s="131"/>
      <c r="CV25" s="131"/>
      <c r="CW25" s="131"/>
      <c r="CX25" s="131"/>
      <c r="CY25" s="131"/>
      <c r="CZ25" s="131"/>
      <c r="DA25" s="131"/>
      <c r="DB25" s="131"/>
      <c r="DC25" s="131"/>
      <c r="DD25" s="131"/>
      <c r="DE25" s="131"/>
      <c r="DF25" s="131"/>
      <c r="DG25" s="131"/>
      <c r="DH25" s="131"/>
      <c r="DI25" s="131"/>
      <c r="DJ25" s="131"/>
      <c r="DK25" s="131"/>
      <c r="DL25" s="131"/>
      <c r="DM25" s="131"/>
      <c r="DN25" s="131"/>
    </row>
    <row r="26" spans="2:118">
      <c r="B26" s="133" t="s">
        <v>140</v>
      </c>
      <c r="C26" s="155" t="s">
        <v>141</v>
      </c>
      <c r="D26" s="12" t="s">
        <v>272</v>
      </c>
      <c r="E26" s="16"/>
      <c r="F26" s="21"/>
      <c r="G26" s="26"/>
      <c r="H26" s="126">
        <f>SUM(I26:DN26)</f>
        <v>0</v>
      </c>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c r="CC26" s="131"/>
      <c r="CD26" s="131"/>
      <c r="CE26" s="131"/>
      <c r="CF26" s="131"/>
      <c r="CG26" s="131"/>
      <c r="CH26" s="131"/>
      <c r="CI26" s="131"/>
      <c r="CJ26" s="131"/>
      <c r="CK26" s="131"/>
      <c r="CL26" s="131"/>
      <c r="CM26" s="131"/>
      <c r="CN26" s="131"/>
      <c r="CO26" s="131"/>
      <c r="CP26" s="131"/>
      <c r="CQ26" s="131"/>
      <c r="CR26" s="131"/>
      <c r="CS26" s="131"/>
      <c r="CT26" s="131"/>
      <c r="CU26" s="131"/>
      <c r="CV26" s="131"/>
      <c r="CW26" s="131"/>
      <c r="CX26" s="131"/>
      <c r="CY26" s="131"/>
      <c r="CZ26" s="131"/>
      <c r="DA26" s="131"/>
      <c r="DB26" s="131"/>
      <c r="DC26" s="131"/>
      <c r="DD26" s="131"/>
      <c r="DE26" s="131"/>
      <c r="DF26" s="131"/>
      <c r="DG26" s="131"/>
      <c r="DH26" s="131"/>
      <c r="DI26" s="131"/>
      <c r="DJ26" s="131"/>
      <c r="DK26" s="131"/>
      <c r="DL26" s="131"/>
      <c r="DM26" s="131"/>
      <c r="DN26" s="131"/>
    </row>
    <row r="27" spans="2:118">
      <c r="B27" s="133" t="s">
        <v>142</v>
      </c>
      <c r="C27" s="155" t="s">
        <v>143</v>
      </c>
      <c r="D27" s="12" t="s">
        <v>272</v>
      </c>
      <c r="E27" s="16"/>
      <c r="F27" s="21"/>
      <c r="G27" s="25"/>
      <c r="H27" s="126">
        <f>SUM(I27:DN27)</f>
        <v>0</v>
      </c>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c r="CD27" s="131"/>
      <c r="CE27" s="131"/>
      <c r="CF27" s="131"/>
      <c r="CG27" s="131"/>
      <c r="CH27" s="131"/>
      <c r="CI27" s="131"/>
      <c r="CJ27" s="131"/>
      <c r="CK27" s="131"/>
      <c r="CL27" s="131"/>
      <c r="CM27" s="131"/>
      <c r="CN27" s="131"/>
      <c r="CO27" s="131"/>
      <c r="CP27" s="131"/>
      <c r="CQ27" s="131"/>
      <c r="CR27" s="131"/>
      <c r="CS27" s="131"/>
      <c r="CT27" s="131"/>
      <c r="CU27" s="131"/>
      <c r="CV27" s="131"/>
      <c r="CW27" s="131"/>
      <c r="CX27" s="131"/>
      <c r="CY27" s="131"/>
      <c r="CZ27" s="131"/>
      <c r="DA27" s="131"/>
      <c r="DB27" s="131"/>
      <c r="DC27" s="131"/>
      <c r="DD27" s="131"/>
      <c r="DE27" s="131"/>
      <c r="DF27" s="131"/>
      <c r="DG27" s="131"/>
      <c r="DH27" s="131"/>
      <c r="DI27" s="131"/>
      <c r="DJ27" s="131"/>
      <c r="DK27" s="131"/>
      <c r="DL27" s="131"/>
      <c r="DM27" s="131"/>
      <c r="DN27" s="131"/>
    </row>
    <row r="28" spans="2:118">
      <c r="B28" s="133" t="s">
        <v>144</v>
      </c>
      <c r="C28" s="155" t="s">
        <v>145</v>
      </c>
      <c r="D28" s="12" t="s">
        <v>272</v>
      </c>
      <c r="E28" s="16"/>
      <c r="F28" s="21"/>
      <c r="G28" s="25"/>
      <c r="H28" s="126">
        <f>SUM(I28:DN28)</f>
        <v>0</v>
      </c>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c r="CD28" s="131"/>
      <c r="CE28" s="131"/>
      <c r="CF28" s="131"/>
      <c r="CG28" s="131"/>
      <c r="CH28" s="131"/>
      <c r="CI28" s="131"/>
      <c r="CJ28" s="131"/>
      <c r="CK28" s="131"/>
      <c r="CL28" s="131"/>
      <c r="CM28" s="131"/>
      <c r="CN28" s="131"/>
      <c r="CO28" s="131"/>
      <c r="CP28" s="131"/>
      <c r="CQ28" s="131"/>
      <c r="CR28" s="131"/>
      <c r="CS28" s="131"/>
      <c r="CT28" s="131"/>
      <c r="CU28" s="131"/>
      <c r="CV28" s="131"/>
      <c r="CW28" s="131"/>
      <c r="CX28" s="131"/>
      <c r="CY28" s="131"/>
      <c r="CZ28" s="131"/>
      <c r="DA28" s="131"/>
      <c r="DB28" s="131"/>
      <c r="DC28" s="131"/>
      <c r="DD28" s="131"/>
      <c r="DE28" s="131"/>
      <c r="DF28" s="131"/>
      <c r="DG28" s="131"/>
      <c r="DH28" s="131"/>
      <c r="DI28" s="131"/>
      <c r="DJ28" s="131"/>
      <c r="DK28" s="131"/>
      <c r="DL28" s="131"/>
      <c r="DM28" s="131"/>
      <c r="DN28" s="131"/>
    </row>
    <row r="29" spans="2:118">
      <c r="B29" s="132" t="s">
        <v>146</v>
      </c>
      <c r="C29" s="151" t="s">
        <v>147</v>
      </c>
      <c r="D29" s="3"/>
      <c r="E29" s="16"/>
      <c r="F29" s="21"/>
      <c r="G29" s="25"/>
      <c r="H29" s="126"/>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c r="CD29" s="131"/>
      <c r="CE29" s="131"/>
      <c r="CF29" s="131"/>
      <c r="CG29" s="131"/>
      <c r="CH29" s="131"/>
      <c r="CI29" s="131"/>
      <c r="CJ29" s="131"/>
      <c r="CK29" s="131"/>
      <c r="CL29" s="131"/>
      <c r="CM29" s="131"/>
      <c r="CN29" s="131"/>
      <c r="CO29" s="131"/>
      <c r="CP29" s="131"/>
      <c r="CQ29" s="131"/>
      <c r="CR29" s="131"/>
      <c r="CS29" s="131"/>
      <c r="CT29" s="131"/>
      <c r="CU29" s="131"/>
      <c r="CV29" s="131"/>
      <c r="CW29" s="131"/>
      <c r="CX29" s="131"/>
      <c r="CY29" s="131"/>
      <c r="CZ29" s="131"/>
      <c r="DA29" s="131"/>
      <c r="DB29" s="131"/>
      <c r="DC29" s="131"/>
      <c r="DD29" s="131"/>
      <c r="DE29" s="131"/>
      <c r="DF29" s="131"/>
      <c r="DG29" s="131"/>
      <c r="DH29" s="131"/>
      <c r="DI29" s="131"/>
      <c r="DJ29" s="131"/>
      <c r="DK29" s="131"/>
      <c r="DL29" s="131"/>
      <c r="DM29" s="131"/>
      <c r="DN29" s="131"/>
    </row>
    <row r="30" spans="2:118">
      <c r="B30" s="133" t="s">
        <v>148</v>
      </c>
      <c r="C30" s="153" t="s">
        <v>149</v>
      </c>
      <c r="D30" s="12" t="s">
        <v>299</v>
      </c>
      <c r="E30" s="16" t="s">
        <v>437</v>
      </c>
      <c r="F30" s="21" t="s">
        <v>439</v>
      </c>
      <c r="G30" s="25">
        <f>55271994.66+148939457</f>
        <v>204211451.66</v>
      </c>
      <c r="H30" s="126">
        <f>SUM(I30:DN30)</f>
        <v>204211451.66</v>
      </c>
      <c r="I30" s="131"/>
      <c r="J30" s="131">
        <v>55271994.659999996</v>
      </c>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c r="CC30" s="131"/>
      <c r="CD30" s="131"/>
      <c r="CE30" s="131"/>
      <c r="CF30" s="131"/>
      <c r="CG30" s="131"/>
      <c r="CH30" s="131"/>
      <c r="CI30" s="131"/>
      <c r="CJ30" s="131"/>
      <c r="CK30" s="131"/>
      <c r="CL30" s="131"/>
      <c r="CM30" s="131">
        <v>122450800</v>
      </c>
      <c r="CN30" s="131"/>
      <c r="CO30" s="131">
        <v>23698826</v>
      </c>
      <c r="CP30" s="131"/>
      <c r="CQ30" s="131"/>
      <c r="CR30" s="131"/>
      <c r="CS30" s="131"/>
      <c r="CT30" s="131"/>
      <c r="CU30" s="131"/>
      <c r="CV30" s="131"/>
      <c r="CW30" s="131"/>
      <c r="CX30" s="131">
        <v>2789831</v>
      </c>
      <c r="CY30" s="131"/>
      <c r="CZ30" s="131"/>
      <c r="DA30" s="131"/>
      <c r="DB30" s="131"/>
      <c r="DC30" s="131"/>
      <c r="DD30" s="131"/>
      <c r="DE30" s="131"/>
      <c r="DF30" s="131"/>
      <c r="DG30" s="131"/>
      <c r="DH30" s="131"/>
      <c r="DI30" s="131"/>
      <c r="DJ30" s="131"/>
      <c r="DK30" s="131"/>
      <c r="DL30" s="131"/>
      <c r="DM30" s="131"/>
      <c r="DN30" s="131"/>
    </row>
    <row r="31" spans="2:118">
      <c r="B31" s="133" t="s">
        <v>148</v>
      </c>
      <c r="C31" s="153" t="s">
        <v>149</v>
      </c>
      <c r="D31" s="12" t="s">
        <v>600</v>
      </c>
      <c r="E31" s="16" t="s">
        <v>438</v>
      </c>
      <c r="F31" s="21" t="s">
        <v>439</v>
      </c>
      <c r="G31" s="25">
        <f>1922311.68+3091881972+4822220928+706921388.5+2523753672</f>
        <v>11146700272.18</v>
      </c>
      <c r="H31" s="126">
        <f>SUM(I31:DN31)</f>
        <v>3800725672.1800013</v>
      </c>
      <c r="I31" s="131"/>
      <c r="J31" s="131">
        <v>1922311.68</v>
      </c>
      <c r="K31" s="131"/>
      <c r="L31" s="131"/>
      <c r="M31" s="131"/>
      <c r="N31" s="131"/>
      <c r="O31" s="131"/>
      <c r="P31" s="131"/>
      <c r="Q31" s="131"/>
      <c r="R31" s="131"/>
      <c r="S31" s="131"/>
      <c r="T31" s="131"/>
      <c r="U31" s="131"/>
      <c r="V31" s="131"/>
      <c r="W31" s="131"/>
      <c r="X31" s="131"/>
      <c r="Y31" s="131">
        <v>151683239</v>
      </c>
      <c r="Z31" s="131"/>
      <c r="AA31" s="131">
        <v>151683240</v>
      </c>
      <c r="AB31" s="131"/>
      <c r="AC31" s="131">
        <v>40702317</v>
      </c>
      <c r="AD31" s="131"/>
      <c r="AE31" s="131">
        <v>193333801</v>
      </c>
      <c r="AF31" s="131">
        <v>54064131</v>
      </c>
      <c r="AG31" s="131"/>
      <c r="AH31" s="131"/>
      <c r="AI31" s="131"/>
      <c r="AJ31" s="131"/>
      <c r="AK31" s="131"/>
      <c r="AL31" s="131"/>
      <c r="AM31" s="131"/>
      <c r="AN31" s="131"/>
      <c r="AO31" s="131"/>
      <c r="AP31" s="131"/>
      <c r="AQ31" s="131"/>
      <c r="AR31" s="131"/>
      <c r="AS31" s="131">
        <v>62597723</v>
      </c>
      <c r="AT31" s="131">
        <v>12469227</v>
      </c>
      <c r="AU31" s="131"/>
      <c r="AV31" s="131">
        <v>13033200</v>
      </c>
      <c r="AW31" s="131"/>
      <c r="AX31" s="131"/>
      <c r="AY31" s="131"/>
      <c r="AZ31" s="131"/>
      <c r="BA31" s="131"/>
      <c r="BB31" s="131"/>
      <c r="BC31" s="131"/>
      <c r="BD31" s="131"/>
      <c r="BE31" s="131"/>
      <c r="BF31" s="131"/>
      <c r="BG31" s="131">
        <v>14579862</v>
      </c>
      <c r="BH31" s="131"/>
      <c r="BI31" s="131"/>
      <c r="BJ31" s="131"/>
      <c r="BK31" s="131"/>
      <c r="BL31" s="131"/>
      <c r="BM31" s="131"/>
      <c r="BN31" s="131">
        <v>45698036</v>
      </c>
      <c r="BO31" s="131"/>
      <c r="BP31" s="131">
        <v>51147800</v>
      </c>
      <c r="BQ31" s="131">
        <v>24654450</v>
      </c>
      <c r="BR31" s="131"/>
      <c r="BS31" s="131">
        <v>54357578</v>
      </c>
      <c r="BT31" s="131"/>
      <c r="BU31" s="131"/>
      <c r="BV31" s="131">
        <v>1760298064</v>
      </c>
      <c r="BW31" s="131"/>
      <c r="BX31" s="131"/>
      <c r="BY31" s="131">
        <v>47910115</v>
      </c>
      <c r="BZ31" s="131"/>
      <c r="CA31" s="131"/>
      <c r="CB31" s="131">
        <v>2041867</v>
      </c>
      <c r="CC31" s="131"/>
      <c r="CD31" s="131"/>
      <c r="CE31" s="131"/>
      <c r="CF31" s="131"/>
      <c r="CG31" s="131">
        <v>32158381</v>
      </c>
      <c r="CH31" s="131">
        <v>76575145</v>
      </c>
      <c r="CI31" s="131">
        <v>302893796</v>
      </c>
      <c r="CJ31" s="131"/>
      <c r="CK31" s="131"/>
      <c r="CL31" s="131"/>
      <c r="CM31" s="131">
        <v>67976042.229999989</v>
      </c>
      <c r="CN31" s="131"/>
      <c r="CO31" s="131">
        <v>4693582.84</v>
      </c>
      <c r="CP31" s="131">
        <v>280239685</v>
      </c>
      <c r="CQ31" s="131">
        <v>109753.55</v>
      </c>
      <c r="CR31" s="131">
        <v>821120</v>
      </c>
      <c r="CS31" s="131"/>
      <c r="CT31" s="131"/>
      <c r="CU31" s="131"/>
      <c r="CV31" s="131"/>
      <c r="CW31" s="131"/>
      <c r="CX31" s="131">
        <v>2810192.8</v>
      </c>
      <c r="CY31" s="131">
        <v>71630807.760000005</v>
      </c>
      <c r="CZ31" s="131"/>
      <c r="DA31" s="131"/>
      <c r="DB31" s="131"/>
      <c r="DC31" s="131"/>
      <c r="DD31" s="131">
        <v>38680271.539999999</v>
      </c>
      <c r="DE31" s="131">
        <v>102437954.03999999</v>
      </c>
      <c r="DF31" s="131">
        <v>317340</v>
      </c>
      <c r="DG31" s="131">
        <v>3890402.3600000003</v>
      </c>
      <c r="DH31" s="131"/>
      <c r="DI31" s="131">
        <v>61600759.149999999</v>
      </c>
      <c r="DJ31" s="131">
        <v>71713477.230000004</v>
      </c>
      <c r="DK31" s="131"/>
      <c r="DL31" s="131"/>
      <c r="DM31" s="131"/>
      <c r="DN31" s="131"/>
    </row>
    <row r="32" spans="2:118">
      <c r="B32" s="133" t="s">
        <v>150</v>
      </c>
      <c r="C32" s="153" t="s">
        <v>151</v>
      </c>
      <c r="D32" s="12" t="s">
        <v>272</v>
      </c>
      <c r="E32" s="16"/>
      <c r="F32" s="21"/>
      <c r="G32" s="25"/>
      <c r="H32" s="126">
        <f>SUM(I32:DN32)</f>
        <v>0</v>
      </c>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c r="CD32" s="131"/>
      <c r="CE32" s="131"/>
      <c r="CF32" s="131"/>
      <c r="CG32" s="131"/>
      <c r="CH32" s="131"/>
      <c r="CI32" s="131"/>
      <c r="CJ32" s="131"/>
      <c r="CK32" s="131"/>
      <c r="CL32" s="131"/>
      <c r="CM32" s="131"/>
      <c r="CN32" s="131"/>
      <c r="CO32" s="131"/>
      <c r="CP32" s="131"/>
      <c r="CQ32" s="131"/>
      <c r="CR32" s="131"/>
      <c r="CS32" s="131"/>
      <c r="CT32" s="131"/>
      <c r="CU32" s="131"/>
      <c r="CV32" s="131"/>
      <c r="CW32" s="131"/>
      <c r="CX32" s="131"/>
      <c r="CY32" s="131"/>
      <c r="CZ32" s="131"/>
      <c r="DA32" s="131"/>
      <c r="DB32" s="131"/>
      <c r="DC32" s="131"/>
      <c r="DD32" s="131"/>
      <c r="DE32" s="131"/>
      <c r="DF32" s="131"/>
      <c r="DG32" s="131"/>
      <c r="DH32" s="131"/>
      <c r="DI32" s="131"/>
      <c r="DJ32" s="131"/>
      <c r="DK32" s="131"/>
      <c r="DL32" s="131"/>
      <c r="DM32" s="131"/>
      <c r="DN32" s="131"/>
    </row>
    <row r="33" spans="2:118">
      <c r="B33" s="133" t="s">
        <v>152</v>
      </c>
      <c r="C33" s="153" t="s">
        <v>153</v>
      </c>
      <c r="D33" s="12" t="s">
        <v>272</v>
      </c>
      <c r="E33" s="16"/>
      <c r="F33" s="21"/>
      <c r="G33" s="25"/>
      <c r="H33" s="126">
        <f>SUM(I33:DN33)</f>
        <v>0</v>
      </c>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c r="CC33" s="131"/>
      <c r="CD33" s="131"/>
      <c r="CE33" s="131"/>
      <c r="CF33" s="131"/>
      <c r="CG33" s="131"/>
      <c r="CH33" s="131"/>
      <c r="CI33" s="131"/>
      <c r="CJ33" s="131"/>
      <c r="CK33" s="131"/>
      <c r="CL33" s="131"/>
      <c r="CM33" s="131"/>
      <c r="CN33" s="131"/>
      <c r="CO33" s="131"/>
      <c r="CP33" s="131"/>
      <c r="CQ33" s="131"/>
      <c r="CR33" s="131"/>
      <c r="CS33" s="131"/>
      <c r="CT33" s="131"/>
      <c r="CU33" s="131"/>
      <c r="CV33" s="131"/>
      <c r="CW33" s="131"/>
      <c r="CX33" s="131"/>
      <c r="CY33" s="131"/>
      <c r="CZ33" s="131"/>
      <c r="DA33" s="131"/>
      <c r="DB33" s="131"/>
      <c r="DC33" s="131"/>
      <c r="DD33" s="131"/>
      <c r="DE33" s="131"/>
      <c r="DF33" s="131"/>
      <c r="DG33" s="131"/>
      <c r="DH33" s="131"/>
      <c r="DI33" s="131"/>
      <c r="DJ33" s="131"/>
      <c r="DK33" s="131"/>
      <c r="DL33" s="131"/>
      <c r="DM33" s="131"/>
      <c r="DN33" s="131"/>
    </row>
    <row r="34" spans="2:118">
      <c r="B34" s="133" t="s">
        <v>154</v>
      </c>
      <c r="C34" s="152" t="s">
        <v>155</v>
      </c>
      <c r="D34" s="12" t="s">
        <v>272</v>
      </c>
      <c r="E34" s="16"/>
      <c r="F34" s="21"/>
      <c r="G34" s="25"/>
      <c r="H34" s="126">
        <v>0</v>
      </c>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c r="CW34" s="131"/>
      <c r="CX34" s="131"/>
      <c r="CY34" s="131"/>
      <c r="CZ34" s="131"/>
      <c r="DA34" s="131"/>
      <c r="DB34" s="131"/>
      <c r="DC34" s="131"/>
      <c r="DD34" s="131"/>
      <c r="DE34" s="131"/>
      <c r="DF34" s="131"/>
      <c r="DG34" s="131"/>
      <c r="DH34" s="131"/>
      <c r="DI34" s="131"/>
      <c r="DJ34" s="131"/>
      <c r="DK34" s="131"/>
      <c r="DL34" s="131"/>
      <c r="DM34" s="131"/>
      <c r="DN34" s="131"/>
    </row>
    <row r="35" spans="2:118">
      <c r="B35" s="135"/>
      <c r="C35" s="147"/>
      <c r="D35" s="3"/>
      <c r="E35" s="16"/>
      <c r="F35" s="21"/>
      <c r="G35" s="25"/>
      <c r="H35" s="126"/>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c r="CD35" s="131"/>
      <c r="CE35" s="131"/>
      <c r="CF35" s="131"/>
      <c r="CG35" s="131"/>
      <c r="CH35" s="131"/>
      <c r="CI35" s="131"/>
      <c r="CJ35" s="131"/>
      <c r="CK35" s="131"/>
      <c r="CL35" s="131"/>
      <c r="CM35" s="131"/>
      <c r="CN35" s="131"/>
      <c r="CO35" s="131"/>
      <c r="CP35" s="131"/>
      <c r="CQ35" s="131"/>
      <c r="CR35" s="131"/>
      <c r="CS35" s="131"/>
      <c r="CT35" s="131"/>
      <c r="CU35" s="131"/>
      <c r="CV35" s="131"/>
      <c r="CW35" s="131"/>
      <c r="CX35" s="131"/>
      <c r="CY35" s="131"/>
      <c r="CZ35" s="131"/>
      <c r="DA35" s="131"/>
      <c r="DB35" s="131"/>
      <c r="DC35" s="131"/>
      <c r="DD35" s="131"/>
      <c r="DE35" s="131"/>
      <c r="DF35" s="131"/>
      <c r="DG35" s="131"/>
      <c r="DH35" s="131"/>
      <c r="DI35" s="131"/>
      <c r="DJ35" s="131"/>
      <c r="DK35" s="131"/>
      <c r="DL35" s="131"/>
      <c r="DM35" s="131"/>
      <c r="DN35" s="131"/>
    </row>
    <row r="36" spans="2:118">
      <c r="B36" s="136" t="s">
        <v>156</v>
      </c>
      <c r="C36" s="146" t="s">
        <v>157</v>
      </c>
      <c r="D36" s="2"/>
      <c r="E36" s="16"/>
      <c r="F36" s="21"/>
      <c r="G36" s="25"/>
      <c r="H36" s="126"/>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c r="CD36" s="131"/>
      <c r="CE36" s="131"/>
      <c r="CF36" s="131"/>
      <c r="CG36" s="131"/>
      <c r="CH36" s="131"/>
      <c r="CI36" s="131"/>
      <c r="CJ36" s="131"/>
      <c r="CK36" s="131"/>
      <c r="CL36" s="131"/>
      <c r="CM36" s="131"/>
      <c r="CN36" s="131"/>
      <c r="CO36" s="131"/>
      <c r="CP36" s="131"/>
      <c r="CQ36" s="131"/>
      <c r="CR36" s="131"/>
      <c r="CS36" s="131"/>
      <c r="CT36" s="131"/>
      <c r="CU36" s="131"/>
      <c r="CV36" s="131"/>
      <c r="CW36" s="131"/>
      <c r="CX36" s="131"/>
      <c r="CY36" s="131"/>
      <c r="CZ36" s="131"/>
      <c r="DA36" s="131"/>
      <c r="DB36" s="131"/>
      <c r="DC36" s="131"/>
      <c r="DD36" s="131"/>
      <c r="DE36" s="131"/>
      <c r="DF36" s="131"/>
      <c r="DG36" s="131"/>
      <c r="DH36" s="131"/>
      <c r="DI36" s="131"/>
      <c r="DJ36" s="131"/>
      <c r="DK36" s="131"/>
      <c r="DL36" s="131"/>
      <c r="DM36" s="131"/>
      <c r="DN36" s="131"/>
    </row>
    <row r="37" spans="2:118">
      <c r="B37" s="133" t="s">
        <v>158</v>
      </c>
      <c r="C37" s="152" t="s">
        <v>159</v>
      </c>
      <c r="D37" s="12" t="s">
        <v>272</v>
      </c>
      <c r="E37" s="16"/>
      <c r="F37" s="21"/>
      <c r="G37" s="25"/>
      <c r="H37" s="126">
        <f>SUM(I37:DN37)</f>
        <v>0</v>
      </c>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c r="CD37" s="131"/>
      <c r="CE37" s="131"/>
      <c r="CF37" s="131"/>
      <c r="CG37" s="131"/>
      <c r="CH37" s="131"/>
      <c r="CI37" s="131"/>
      <c r="CJ37" s="131"/>
      <c r="CK37" s="131"/>
      <c r="CL37" s="131"/>
      <c r="CM37" s="131"/>
      <c r="CN37" s="131"/>
      <c r="CO37" s="131"/>
      <c r="CP37" s="131"/>
      <c r="CQ37" s="131"/>
      <c r="CR37" s="131"/>
      <c r="CS37" s="131"/>
      <c r="CT37" s="131"/>
      <c r="CU37" s="131"/>
      <c r="CV37" s="131"/>
      <c r="CW37" s="131"/>
      <c r="CX37" s="131"/>
      <c r="CY37" s="131"/>
      <c r="CZ37" s="131"/>
      <c r="DA37" s="131"/>
      <c r="DB37" s="131"/>
      <c r="DC37" s="131"/>
      <c r="DD37" s="131"/>
      <c r="DE37" s="131"/>
      <c r="DF37" s="131"/>
      <c r="DG37" s="131"/>
      <c r="DH37" s="131"/>
      <c r="DI37" s="131"/>
      <c r="DJ37" s="131"/>
      <c r="DK37" s="131"/>
      <c r="DL37" s="131"/>
      <c r="DM37" s="131"/>
      <c r="DN37" s="131"/>
    </row>
    <row r="38" spans="2:118">
      <c r="B38" s="135"/>
      <c r="C38" s="148"/>
      <c r="D38" s="3"/>
      <c r="E38" s="16"/>
      <c r="F38" s="21"/>
      <c r="G38" s="25"/>
      <c r="H38" s="126"/>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c r="CD38" s="131"/>
      <c r="CE38" s="131"/>
      <c r="CF38" s="131"/>
      <c r="CG38" s="131"/>
      <c r="CH38" s="131"/>
      <c r="CI38" s="131"/>
      <c r="CJ38" s="131"/>
      <c r="CK38" s="131"/>
      <c r="CL38" s="131"/>
      <c r="CM38" s="131"/>
      <c r="CN38" s="131"/>
      <c r="CO38" s="131"/>
      <c r="CP38" s="131"/>
      <c r="CQ38" s="131"/>
      <c r="CR38" s="131"/>
      <c r="CS38" s="131"/>
      <c r="CT38" s="131"/>
      <c r="CU38" s="131"/>
      <c r="CV38" s="131"/>
      <c r="CW38" s="131"/>
      <c r="CX38" s="131"/>
      <c r="CY38" s="131"/>
      <c r="CZ38" s="131"/>
      <c r="DA38" s="131"/>
      <c r="DB38" s="131"/>
      <c r="DC38" s="131"/>
      <c r="DD38" s="131"/>
      <c r="DE38" s="131"/>
      <c r="DF38" s="131"/>
      <c r="DG38" s="131"/>
      <c r="DH38" s="131"/>
      <c r="DI38" s="131"/>
      <c r="DJ38" s="131"/>
      <c r="DK38" s="131"/>
      <c r="DL38" s="131"/>
      <c r="DM38" s="131"/>
      <c r="DN38" s="131"/>
    </row>
    <row r="39" spans="2:118">
      <c r="B39" s="136" t="s">
        <v>160</v>
      </c>
      <c r="C39" s="146" t="s">
        <v>0</v>
      </c>
      <c r="D39" s="3"/>
      <c r="E39" s="16"/>
      <c r="F39" s="21"/>
      <c r="G39" s="25"/>
      <c r="H39" s="126"/>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c r="CW39" s="131"/>
      <c r="CX39" s="131"/>
      <c r="CY39" s="131"/>
      <c r="CZ39" s="131"/>
      <c r="DA39" s="131"/>
      <c r="DB39" s="131"/>
      <c r="DC39" s="131"/>
      <c r="DD39" s="131"/>
      <c r="DE39" s="131"/>
      <c r="DF39" s="131"/>
      <c r="DG39" s="131"/>
      <c r="DH39" s="131"/>
      <c r="DI39" s="131"/>
      <c r="DJ39" s="131"/>
      <c r="DK39" s="131"/>
      <c r="DL39" s="131"/>
      <c r="DM39" s="131"/>
      <c r="DN39" s="131"/>
    </row>
    <row r="40" spans="2:118">
      <c r="B40" s="134" t="s">
        <v>161</v>
      </c>
      <c r="C40" s="151" t="s">
        <v>162</v>
      </c>
      <c r="D40" s="3"/>
      <c r="E40" s="16"/>
      <c r="F40" s="21"/>
      <c r="G40" s="25"/>
      <c r="H40" s="126"/>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c r="CW40" s="131"/>
      <c r="CX40" s="131"/>
      <c r="CY40" s="131"/>
      <c r="CZ40" s="131"/>
      <c r="DA40" s="131"/>
      <c r="DB40" s="131"/>
      <c r="DC40" s="131"/>
      <c r="DD40" s="131"/>
      <c r="DE40" s="131"/>
      <c r="DF40" s="131"/>
      <c r="DG40" s="131"/>
      <c r="DH40" s="131"/>
      <c r="DI40" s="131"/>
      <c r="DJ40" s="131"/>
      <c r="DK40" s="131"/>
      <c r="DL40" s="131"/>
      <c r="DM40" s="131"/>
      <c r="DN40" s="131"/>
    </row>
    <row r="41" spans="2:118">
      <c r="B41" s="134" t="s">
        <v>163</v>
      </c>
      <c r="C41" s="154" t="s">
        <v>164</v>
      </c>
      <c r="D41" s="3"/>
      <c r="E41" s="16"/>
      <c r="F41" s="21"/>
      <c r="G41" s="25"/>
      <c r="H41" s="126"/>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c r="CD41" s="131"/>
      <c r="CE41" s="131"/>
      <c r="CF41" s="131"/>
      <c r="CG41" s="131"/>
      <c r="CH41" s="131"/>
      <c r="CI41" s="131"/>
      <c r="CJ41" s="131"/>
      <c r="CK41" s="131"/>
      <c r="CL41" s="131"/>
      <c r="CM41" s="131"/>
      <c r="CN41" s="131"/>
      <c r="CO41" s="131"/>
      <c r="CP41" s="131"/>
      <c r="CQ41" s="131"/>
      <c r="CR41" s="131"/>
      <c r="CS41" s="131"/>
      <c r="CT41" s="131"/>
      <c r="CU41" s="131"/>
      <c r="CV41" s="131"/>
      <c r="CW41" s="131"/>
      <c r="CX41" s="131"/>
      <c r="CY41" s="131"/>
      <c r="CZ41" s="131"/>
      <c r="DA41" s="131"/>
      <c r="DB41" s="131"/>
      <c r="DC41" s="131"/>
      <c r="DD41" s="131"/>
      <c r="DE41" s="131"/>
      <c r="DF41" s="131"/>
      <c r="DG41" s="131"/>
      <c r="DH41" s="131"/>
      <c r="DI41" s="131"/>
      <c r="DJ41" s="131"/>
      <c r="DK41" s="131"/>
      <c r="DL41" s="131"/>
      <c r="DM41" s="131"/>
      <c r="DN41" s="131"/>
    </row>
    <row r="42" spans="2:118">
      <c r="B42" s="133" t="s">
        <v>165</v>
      </c>
      <c r="C42" s="155" t="s">
        <v>166</v>
      </c>
      <c r="D42" s="12" t="s">
        <v>272</v>
      </c>
      <c r="E42" s="16"/>
      <c r="F42" s="21"/>
      <c r="G42" s="25"/>
      <c r="H42" s="126">
        <f>SUM(I42:DN42)</f>
        <v>0</v>
      </c>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31"/>
      <c r="CC42" s="131"/>
      <c r="CD42" s="131"/>
      <c r="CE42" s="131"/>
      <c r="CF42" s="131"/>
      <c r="CG42" s="131"/>
      <c r="CH42" s="131"/>
      <c r="CI42" s="131"/>
      <c r="CJ42" s="131"/>
      <c r="CK42" s="131"/>
      <c r="CL42" s="131"/>
      <c r="CM42" s="131"/>
      <c r="CN42" s="131"/>
      <c r="CO42" s="131"/>
      <c r="CP42" s="131"/>
      <c r="CQ42" s="131"/>
      <c r="CR42" s="131"/>
      <c r="CS42" s="131"/>
      <c r="CT42" s="131"/>
      <c r="CU42" s="131"/>
      <c r="CV42" s="131"/>
      <c r="CW42" s="131"/>
      <c r="CX42" s="131"/>
      <c r="CY42" s="131"/>
      <c r="CZ42" s="131"/>
      <c r="DA42" s="131"/>
      <c r="DB42" s="131"/>
      <c r="DC42" s="131"/>
      <c r="DD42" s="131"/>
      <c r="DE42" s="131"/>
      <c r="DF42" s="131"/>
      <c r="DG42" s="131"/>
      <c r="DH42" s="131"/>
      <c r="DI42" s="131"/>
      <c r="DJ42" s="131"/>
      <c r="DK42" s="131"/>
      <c r="DL42" s="131"/>
      <c r="DM42" s="131"/>
      <c r="DN42" s="131"/>
    </row>
    <row r="43" spans="2:118">
      <c r="B43" s="133" t="s">
        <v>167</v>
      </c>
      <c r="C43" s="155" t="s">
        <v>168</v>
      </c>
      <c r="D43" s="12" t="s">
        <v>272</v>
      </c>
      <c r="E43" s="16"/>
      <c r="F43" s="21"/>
      <c r="G43" s="25"/>
      <c r="H43" s="126">
        <f>SUM(I43:DN43)</f>
        <v>0</v>
      </c>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c r="CW43" s="131"/>
      <c r="CX43" s="131"/>
      <c r="CY43" s="131"/>
      <c r="CZ43" s="131"/>
      <c r="DA43" s="131"/>
      <c r="DB43" s="131"/>
      <c r="DC43" s="131"/>
      <c r="DD43" s="131"/>
      <c r="DE43" s="131"/>
      <c r="DF43" s="131"/>
      <c r="DG43" s="131"/>
      <c r="DH43" s="131"/>
      <c r="DI43" s="131"/>
      <c r="DJ43" s="131"/>
      <c r="DK43" s="131"/>
      <c r="DL43" s="131"/>
      <c r="DM43" s="131"/>
      <c r="DN43" s="131"/>
    </row>
    <row r="44" spans="2:118">
      <c r="B44" s="133" t="s">
        <v>169</v>
      </c>
      <c r="C44" s="153" t="s">
        <v>170</v>
      </c>
      <c r="D44" s="12" t="s">
        <v>272</v>
      </c>
      <c r="E44" s="16"/>
      <c r="F44" s="21"/>
      <c r="G44" s="26"/>
      <c r="H44" s="126">
        <f>SUM(I44:DN44)</f>
        <v>0</v>
      </c>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c r="CD44" s="131"/>
      <c r="CE44" s="131"/>
      <c r="CF44" s="131"/>
      <c r="CG44" s="131"/>
      <c r="CH44" s="131"/>
      <c r="CI44" s="131"/>
      <c r="CJ44" s="131"/>
      <c r="CK44" s="131"/>
      <c r="CL44" s="131"/>
      <c r="CM44" s="131"/>
      <c r="CN44" s="131"/>
      <c r="CO44" s="131"/>
      <c r="CP44" s="131"/>
      <c r="CQ44" s="131"/>
      <c r="CR44" s="131"/>
      <c r="CS44" s="131"/>
      <c r="CT44" s="131"/>
      <c r="CU44" s="131"/>
      <c r="CV44" s="131"/>
      <c r="CW44" s="131"/>
      <c r="CX44" s="131"/>
      <c r="CY44" s="131"/>
      <c r="CZ44" s="131"/>
      <c r="DA44" s="131"/>
      <c r="DB44" s="131"/>
      <c r="DC44" s="131"/>
      <c r="DD44" s="131"/>
      <c r="DE44" s="131"/>
      <c r="DF44" s="131"/>
      <c r="DG44" s="131"/>
      <c r="DH44" s="131"/>
      <c r="DI44" s="131"/>
      <c r="DJ44" s="131"/>
      <c r="DK44" s="131"/>
      <c r="DL44" s="131"/>
      <c r="DM44" s="131"/>
      <c r="DN44" s="131"/>
    </row>
    <row r="45" spans="2:118">
      <c r="B45" s="134" t="s">
        <v>171</v>
      </c>
      <c r="C45" s="154" t="s">
        <v>172</v>
      </c>
      <c r="D45" s="2"/>
      <c r="E45" s="16"/>
      <c r="F45" s="21"/>
      <c r="G45" s="26"/>
      <c r="H45" s="126"/>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31"/>
      <c r="CC45" s="131"/>
      <c r="CD45" s="131"/>
      <c r="CE45" s="131"/>
      <c r="CF45" s="131"/>
      <c r="CG45" s="131"/>
      <c r="CH45" s="131"/>
      <c r="CI45" s="131"/>
      <c r="CJ45" s="131"/>
      <c r="CK45" s="131"/>
      <c r="CL45" s="131"/>
      <c r="CM45" s="131"/>
      <c r="CN45" s="131"/>
      <c r="CO45" s="131"/>
      <c r="CP45" s="131"/>
      <c r="CQ45" s="131"/>
      <c r="CR45" s="131"/>
      <c r="CS45" s="131"/>
      <c r="CT45" s="131"/>
      <c r="CU45" s="131"/>
      <c r="CV45" s="131"/>
      <c r="CW45" s="131"/>
      <c r="CX45" s="131"/>
      <c r="CY45" s="131"/>
      <c r="CZ45" s="131"/>
      <c r="DA45" s="131"/>
      <c r="DB45" s="131"/>
      <c r="DC45" s="131"/>
      <c r="DD45" s="131"/>
      <c r="DE45" s="131"/>
      <c r="DF45" s="131"/>
      <c r="DG45" s="131"/>
      <c r="DH45" s="131"/>
      <c r="DI45" s="131"/>
      <c r="DJ45" s="131"/>
      <c r="DK45" s="131"/>
      <c r="DL45" s="131"/>
      <c r="DM45" s="131"/>
      <c r="DN45" s="131"/>
    </row>
    <row r="46" spans="2:118" ht="94.5">
      <c r="B46" s="133" t="s">
        <v>173</v>
      </c>
      <c r="C46" s="155" t="s">
        <v>174</v>
      </c>
      <c r="D46" s="12" t="s">
        <v>600</v>
      </c>
      <c r="E46" s="16" t="s">
        <v>440</v>
      </c>
      <c r="F46" s="21" t="s">
        <v>604</v>
      </c>
      <c r="G46" s="25">
        <f>393051694895.972+2882254815+40343762286.623+4397493510+28379373647+23872068602.4745+789811486</f>
        <v>493716459243.06946</v>
      </c>
      <c r="H46" s="126">
        <f>SUM(I46:DN46)</f>
        <v>459352703963.48157</v>
      </c>
      <c r="I46" s="131">
        <v>118078035947.7426</v>
      </c>
      <c r="J46" s="131">
        <v>151915819095.68994</v>
      </c>
      <c r="K46" s="131">
        <v>88951248882.821793</v>
      </c>
      <c r="L46" s="131"/>
      <c r="M46" s="131"/>
      <c r="N46" s="131"/>
      <c r="O46" s="131">
        <v>34106590969.717999</v>
      </c>
      <c r="P46" s="131"/>
      <c r="Q46" s="131"/>
      <c r="R46" s="131"/>
      <c r="S46" s="131"/>
      <c r="T46" s="131"/>
      <c r="U46" s="131"/>
      <c r="V46" s="131"/>
      <c r="W46" s="131">
        <v>4368922882.6099997</v>
      </c>
      <c r="X46" s="131">
        <f>111056170+2068654718.13+133278840</f>
        <v>2312989728.1300001</v>
      </c>
      <c r="Y46" s="131">
        <f>133278840+1487428368.14</f>
        <v>1620707208.1400001</v>
      </c>
      <c r="Z46" s="131">
        <f>211637770+6271883499.31</f>
        <v>6483521269.3100004</v>
      </c>
      <c r="AA46" s="131">
        <v>394986580</v>
      </c>
      <c r="AB46" s="131">
        <f>183728520+1076941738.73</f>
        <v>1260670258.73</v>
      </c>
      <c r="AC46" s="131">
        <f>17139980+1059697185.69</f>
        <v>1076837165.6900001</v>
      </c>
      <c r="AD46" s="131">
        <v>1069317247.5700001</v>
      </c>
      <c r="AE46" s="131">
        <f>85827150+862168439.99</f>
        <v>947995589.99000001</v>
      </c>
      <c r="AF46" s="131">
        <f>127335200+843239494.24</f>
        <v>970574694.24000001</v>
      </c>
      <c r="AG46" s="131">
        <f>174826640+633744883.2</f>
        <v>808571523.20000005</v>
      </c>
      <c r="AH46" s="131">
        <f>158770500+700946735.06</f>
        <v>859717235.05999994</v>
      </c>
      <c r="AI46" s="131">
        <f>132479220+537779852.61</f>
        <v>670259072.61000001</v>
      </c>
      <c r="AJ46" s="131">
        <v>526150361.88</v>
      </c>
      <c r="AK46" s="131">
        <v>433633486</v>
      </c>
      <c r="AL46" s="131">
        <f>8494740+450707961.99</f>
        <v>459202701.99000001</v>
      </c>
      <c r="AM46" s="131">
        <f>56112835+336487994.7</f>
        <v>392600829.69999999</v>
      </c>
      <c r="AN46" s="131">
        <f>15208380+381096055.34</f>
        <v>396304435.33999997</v>
      </c>
      <c r="AO46" s="131">
        <f>17270100+763924938</f>
        <v>781195038</v>
      </c>
      <c r="AP46" s="131">
        <f>7131010+538458900.98</f>
        <v>545589910.98000002</v>
      </c>
      <c r="AQ46" s="131">
        <f>12995360+850116906.21</f>
        <v>863112266.21000004</v>
      </c>
      <c r="AR46" s="131">
        <f>17637250+216338007.6</f>
        <v>233975257.59999999</v>
      </c>
      <c r="AS46" s="131">
        <v>60703160</v>
      </c>
      <c r="AT46" s="131">
        <v>784875349.83000004</v>
      </c>
      <c r="AU46" s="131">
        <v>712559848</v>
      </c>
      <c r="AV46" s="131">
        <v>816663380.38999999</v>
      </c>
      <c r="AW46" s="131"/>
      <c r="AX46" s="131">
        <f>4521630+176134312.64</f>
        <v>180655942.63999999</v>
      </c>
      <c r="AY46" s="131">
        <v>688131744.29999995</v>
      </c>
      <c r="AZ46" s="131">
        <f>29892780+385825457.16</f>
        <v>415718237.16000003</v>
      </c>
      <c r="BA46" s="131">
        <v>193998702.03999999</v>
      </c>
      <c r="BB46" s="131">
        <v>526887362.43000001</v>
      </c>
      <c r="BC46" s="131">
        <f>46925540+142208350.57</f>
        <v>189133890.56999999</v>
      </c>
      <c r="BD46" s="131">
        <f>50772600+355576938.86</f>
        <v>406349538.86000001</v>
      </c>
      <c r="BE46" s="131">
        <f>42842100+146432560.56</f>
        <v>189274660.56</v>
      </c>
      <c r="BF46" s="131">
        <f>10938660+336708464.95</f>
        <v>347647124.94999999</v>
      </c>
      <c r="BG46" s="131">
        <f>57966900+739420683.43</f>
        <v>797387583.42999995</v>
      </c>
      <c r="BH46" s="131">
        <f>50024100+763780756.31</f>
        <v>813804856.30999994</v>
      </c>
      <c r="BI46" s="131">
        <f>15834030+256783589.92</f>
        <v>272617619.91999996</v>
      </c>
      <c r="BJ46" s="131">
        <v>1268880117.1099999</v>
      </c>
      <c r="BK46" s="131">
        <v>254058577.63</v>
      </c>
      <c r="BL46" s="131">
        <f>2582400+232317691.32</f>
        <v>234900091.31999999</v>
      </c>
      <c r="BM46" s="131">
        <f>21517380+231946041.47</f>
        <v>253463421.47</v>
      </c>
      <c r="BN46" s="131"/>
      <c r="BO46" s="131">
        <f>17336080+201862560.9</f>
        <v>219198640.90000001</v>
      </c>
      <c r="BP46" s="131">
        <v>326913286.69999999</v>
      </c>
      <c r="BQ46" s="131">
        <v>101425133.80999999</v>
      </c>
      <c r="BR46" s="131">
        <v>296313275.82999998</v>
      </c>
      <c r="BS46" s="131">
        <v>268144736.85999998</v>
      </c>
      <c r="BT46" s="131">
        <f>906720+17977774.1</f>
        <v>18884494.100000001</v>
      </c>
      <c r="BU46" s="131">
        <v>289812553.02999997</v>
      </c>
      <c r="BV46" s="131">
        <f>50985120+103565584.98</f>
        <v>154550704.98000002</v>
      </c>
      <c r="BW46" s="131">
        <f>1414700+23909053.74</f>
        <v>25323753.739999998</v>
      </c>
      <c r="BX46" s="131">
        <f>185825390+206181258.14</f>
        <v>392006648.13999999</v>
      </c>
      <c r="BY46" s="131">
        <f>38974300+714474789.6</f>
        <v>753449089.60000002</v>
      </c>
      <c r="BZ46" s="131">
        <v>134988264.84</v>
      </c>
      <c r="CA46" s="131">
        <f>43027920+602876528.54</f>
        <v>645904448.53999996</v>
      </c>
      <c r="CB46" s="131">
        <f>80585660+156271832.86</f>
        <v>236857492.86000001</v>
      </c>
      <c r="CC46" s="131">
        <f>55160490+82416188.855</f>
        <v>137576678.85500002</v>
      </c>
      <c r="CD46" s="131">
        <v>510609099</v>
      </c>
      <c r="CE46" s="131"/>
      <c r="CF46" s="131"/>
      <c r="CG46" s="131">
        <f>2032960+216040687.72</f>
        <v>218073647.72</v>
      </c>
      <c r="CH46" s="131">
        <f>145388400+128797460.22</f>
        <v>274185860.22000003</v>
      </c>
      <c r="CI46" s="131"/>
      <c r="CJ46" s="131">
        <v>92206957.699999988</v>
      </c>
      <c r="CK46" s="131">
        <v>150625274.80000001</v>
      </c>
      <c r="CL46" s="131">
        <f>179550+297164920.91</f>
        <v>297344470.91000003</v>
      </c>
      <c r="CM46" s="131">
        <v>16960573203.870001</v>
      </c>
      <c r="CN46" s="131">
        <v>2944756.95</v>
      </c>
      <c r="CO46" s="131">
        <v>3120000</v>
      </c>
      <c r="CP46" s="131">
        <v>22588200</v>
      </c>
      <c r="CQ46" s="131">
        <v>13740000</v>
      </c>
      <c r="CR46" s="131">
        <v>84412758.969999999</v>
      </c>
      <c r="CS46" s="131">
        <v>40488826.560000002</v>
      </c>
      <c r="CT46" s="131">
        <v>103335075.95447154</v>
      </c>
      <c r="CU46" s="131">
        <v>197964</v>
      </c>
      <c r="CV46" s="131">
        <v>2209000</v>
      </c>
      <c r="CW46" s="131">
        <v>5524800</v>
      </c>
      <c r="CX46" s="131"/>
      <c r="CY46" s="131">
        <v>6632934016.1700001</v>
      </c>
      <c r="CZ46" s="131"/>
      <c r="DA46" s="131"/>
      <c r="DB46" s="131"/>
      <c r="DC46" s="131"/>
      <c r="DD46" s="131"/>
      <c r="DE46" s="131"/>
      <c r="DF46" s="131"/>
      <c r="DG46" s="131"/>
      <c r="DH46" s="131"/>
      <c r="DI46" s="131"/>
      <c r="DJ46" s="131"/>
      <c r="DK46" s="131"/>
      <c r="DL46" s="131"/>
      <c r="DM46" s="131"/>
      <c r="DN46" s="131"/>
    </row>
    <row r="47" spans="2:118" ht="31.5">
      <c r="B47" s="133" t="s">
        <v>175</v>
      </c>
      <c r="C47" s="155" t="s">
        <v>176</v>
      </c>
      <c r="D47" s="12" t="s">
        <v>299</v>
      </c>
      <c r="E47" s="16" t="s">
        <v>441</v>
      </c>
      <c r="F47" s="21" t="s">
        <v>602</v>
      </c>
      <c r="G47" s="25">
        <v>4502210569.105691</v>
      </c>
      <c r="H47" s="126">
        <f>SUM(I47:DN47)</f>
        <v>4502210569.105691</v>
      </c>
      <c r="I47" s="131"/>
      <c r="J47" s="131"/>
      <c r="K47" s="131">
        <v>3483410569.105691</v>
      </c>
      <c r="L47" s="131"/>
      <c r="M47" s="131"/>
      <c r="N47" s="131"/>
      <c r="O47" s="131">
        <v>1018800000</v>
      </c>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31"/>
      <c r="CC47" s="131"/>
      <c r="CD47" s="131"/>
      <c r="CE47" s="131"/>
      <c r="CF47" s="131"/>
      <c r="CG47" s="131"/>
      <c r="CH47" s="131"/>
      <c r="CI47" s="131"/>
      <c r="CJ47" s="131"/>
      <c r="CK47" s="131"/>
      <c r="CL47" s="131"/>
      <c r="CM47" s="131"/>
      <c r="CN47" s="131"/>
      <c r="CO47" s="131"/>
      <c r="CP47" s="131"/>
      <c r="CQ47" s="131"/>
      <c r="CR47" s="131"/>
      <c r="CS47" s="131"/>
      <c r="CT47" s="131"/>
      <c r="CU47" s="131"/>
      <c r="CV47" s="131"/>
      <c r="CW47" s="131"/>
      <c r="CX47" s="131"/>
      <c r="CY47" s="131"/>
      <c r="CZ47" s="131"/>
      <c r="DA47" s="131"/>
      <c r="DB47" s="131"/>
      <c r="DC47" s="131"/>
      <c r="DD47" s="131"/>
      <c r="DE47" s="131"/>
      <c r="DF47" s="131"/>
      <c r="DG47" s="131"/>
      <c r="DH47" s="131"/>
      <c r="DI47" s="131"/>
      <c r="DJ47" s="131"/>
      <c r="DK47" s="131"/>
      <c r="DL47" s="131"/>
      <c r="DM47" s="131"/>
      <c r="DN47" s="131"/>
    </row>
    <row r="48" spans="2:118" ht="94.5">
      <c r="B48" s="133" t="s">
        <v>175</v>
      </c>
      <c r="C48" s="155" t="s">
        <v>176</v>
      </c>
      <c r="D48" s="12" t="s">
        <v>600</v>
      </c>
      <c r="E48" s="16" t="s">
        <v>550</v>
      </c>
      <c r="F48" s="21" t="s">
        <v>608</v>
      </c>
      <c r="G48" s="25">
        <f>163602500+244500000+816000000+203000000+26003150+100455937</f>
        <v>1553561587</v>
      </c>
      <c r="H48" s="126">
        <f>SUM(I48:DN48)</f>
        <v>163602500</v>
      </c>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c r="CD48" s="131"/>
      <c r="CE48" s="131"/>
      <c r="CF48" s="131"/>
      <c r="CG48" s="131"/>
      <c r="CH48" s="131"/>
      <c r="CI48" s="131"/>
      <c r="CJ48" s="131"/>
      <c r="CK48" s="131"/>
      <c r="CL48" s="131"/>
      <c r="CM48" s="131"/>
      <c r="CN48" s="131">
        <v>2000000</v>
      </c>
      <c r="CO48" s="131">
        <v>4000000</v>
      </c>
      <c r="CP48" s="131">
        <v>1000000</v>
      </c>
      <c r="CQ48" s="131">
        <v>3044000</v>
      </c>
      <c r="CR48" s="131">
        <v>10000000</v>
      </c>
      <c r="CS48" s="131"/>
      <c r="CT48" s="131"/>
      <c r="CU48" s="131">
        <v>2000000</v>
      </c>
      <c r="CV48" s="131"/>
      <c r="CW48" s="131">
        <v>1500000</v>
      </c>
      <c r="CX48" s="131"/>
      <c r="CY48" s="131"/>
      <c r="CZ48" s="131">
        <v>13500000</v>
      </c>
      <c r="DA48" s="131">
        <v>6000000</v>
      </c>
      <c r="DB48" s="131">
        <v>7500000</v>
      </c>
      <c r="DC48" s="131">
        <v>7500000</v>
      </c>
      <c r="DD48" s="131"/>
      <c r="DE48" s="131">
        <v>15000000</v>
      </c>
      <c r="DF48" s="131">
        <v>1500000</v>
      </c>
      <c r="DG48" s="131"/>
      <c r="DH48" s="131">
        <v>16500000</v>
      </c>
      <c r="DI48" s="131">
        <v>4000000</v>
      </c>
      <c r="DJ48" s="131"/>
      <c r="DK48" s="131"/>
      <c r="DL48" s="131">
        <v>48058500</v>
      </c>
      <c r="DM48" s="131">
        <v>15000000</v>
      </c>
      <c r="DN48" s="131">
        <v>5500000</v>
      </c>
    </row>
    <row r="49" spans="2:118">
      <c r="B49" s="134" t="s">
        <v>284</v>
      </c>
      <c r="C49" s="156" t="s">
        <v>177</v>
      </c>
      <c r="D49" s="2"/>
      <c r="E49" s="16"/>
      <c r="F49" s="21"/>
      <c r="G49" s="25"/>
      <c r="H49" s="126"/>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c r="CD49" s="131"/>
      <c r="CE49" s="131"/>
      <c r="CF49" s="131"/>
      <c r="CG49" s="131"/>
      <c r="CH49" s="131"/>
      <c r="CI49" s="131"/>
      <c r="CJ49" s="131"/>
      <c r="CK49" s="131"/>
      <c r="CL49" s="131"/>
      <c r="CM49" s="131"/>
      <c r="CN49" s="131"/>
      <c r="CO49" s="131"/>
      <c r="CP49" s="131"/>
      <c r="CQ49" s="131"/>
      <c r="CR49" s="131"/>
      <c r="CS49" s="131"/>
      <c r="CT49" s="131"/>
      <c r="CU49" s="131"/>
      <c r="CV49" s="131"/>
      <c r="CW49" s="131"/>
      <c r="CX49" s="131"/>
      <c r="CY49" s="131"/>
      <c r="CZ49" s="131"/>
      <c r="DA49" s="131"/>
      <c r="DB49" s="131"/>
      <c r="DC49" s="131"/>
      <c r="DD49" s="131"/>
      <c r="DE49" s="131"/>
      <c r="DF49" s="131"/>
      <c r="DG49" s="131"/>
      <c r="DH49" s="131"/>
      <c r="DI49" s="131"/>
      <c r="DJ49" s="131"/>
      <c r="DK49" s="131"/>
      <c r="DL49" s="131"/>
      <c r="DM49" s="131"/>
      <c r="DN49" s="131"/>
    </row>
    <row r="50" spans="2:118">
      <c r="B50" s="133" t="s">
        <v>178</v>
      </c>
      <c r="C50" s="157" t="s">
        <v>179</v>
      </c>
      <c r="D50" s="12" t="s">
        <v>272</v>
      </c>
      <c r="E50" s="16"/>
      <c r="F50" s="21"/>
      <c r="G50" s="25"/>
      <c r="H50" s="126">
        <f>SUM(I50:DN50)</f>
        <v>0</v>
      </c>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c r="CW50" s="131"/>
      <c r="CX50" s="131"/>
      <c r="CY50" s="131"/>
      <c r="CZ50" s="131"/>
      <c r="DA50" s="131"/>
      <c r="DB50" s="131"/>
      <c r="DC50" s="131"/>
      <c r="DD50" s="131"/>
      <c r="DE50" s="131"/>
      <c r="DF50" s="131"/>
      <c r="DG50" s="131"/>
      <c r="DH50" s="131"/>
      <c r="DI50" s="131"/>
      <c r="DJ50" s="131"/>
      <c r="DK50" s="131"/>
      <c r="DL50" s="131"/>
      <c r="DM50" s="131"/>
      <c r="DN50" s="131"/>
    </row>
    <row r="51" spans="2:118" ht="63">
      <c r="B51" s="133" t="s">
        <v>180</v>
      </c>
      <c r="C51" s="157" t="s">
        <v>181</v>
      </c>
      <c r="D51" s="12" t="s">
        <v>600</v>
      </c>
      <c r="E51" s="16" t="s">
        <v>549</v>
      </c>
      <c r="F51" s="21" t="s">
        <v>607</v>
      </c>
      <c r="G51" s="25">
        <f>1403766381158.18+27285499658.0742+2342894748+2366579880</f>
        <v>1435761355444.2542</v>
      </c>
      <c r="H51" s="126">
        <f>SUM(I51:DN51)</f>
        <v>1431051880816.2515</v>
      </c>
      <c r="I51" s="131">
        <v>518445155314.82098</v>
      </c>
      <c r="J51" s="131">
        <v>659185949177.45459</v>
      </c>
      <c r="K51" s="131">
        <v>170710093009.21283</v>
      </c>
      <c r="L51" s="131"/>
      <c r="M51" s="131"/>
      <c r="N51" s="131"/>
      <c r="O51" s="131">
        <v>55425183656.68882</v>
      </c>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v>24118855762.34</v>
      </c>
      <c r="CN51" s="131"/>
      <c r="CO51" s="131">
        <v>27936000</v>
      </c>
      <c r="CP51" s="131">
        <v>533851380</v>
      </c>
      <c r="CQ51" s="131">
        <v>378678300</v>
      </c>
      <c r="CR51" s="131">
        <v>1046232242.63504</v>
      </c>
      <c r="CS51" s="131">
        <v>296151206.39999998</v>
      </c>
      <c r="CT51" s="131">
        <v>334805518.69918698</v>
      </c>
      <c r="CU51" s="131">
        <v>307268748</v>
      </c>
      <c r="CV51" s="131">
        <v>63085300</v>
      </c>
      <c r="CW51" s="131">
        <v>178635200</v>
      </c>
      <c r="CX51" s="131"/>
      <c r="CY51" s="131"/>
      <c r="CZ51" s="131"/>
      <c r="DA51" s="131"/>
      <c r="DB51" s="131"/>
      <c r="DC51" s="131"/>
      <c r="DD51" s="131"/>
      <c r="DE51" s="131"/>
      <c r="DF51" s="131"/>
      <c r="DG51" s="131"/>
      <c r="DH51" s="131"/>
      <c r="DI51" s="131"/>
      <c r="DJ51" s="131"/>
      <c r="DK51" s="131"/>
      <c r="DL51" s="131"/>
      <c r="DM51" s="131"/>
      <c r="DN51" s="131"/>
    </row>
    <row r="52" spans="2:118" ht="31.5">
      <c r="B52" s="133" t="s">
        <v>180</v>
      </c>
      <c r="C52" s="157" t="s">
        <v>181</v>
      </c>
      <c r="D52" s="12" t="s">
        <v>299</v>
      </c>
      <c r="E52" s="16" t="s">
        <v>442</v>
      </c>
      <c r="F52" s="21" t="s">
        <v>602</v>
      </c>
      <c r="G52" s="25">
        <v>397744444319.87634</v>
      </c>
      <c r="H52" s="126">
        <f>SUM(I52:DN52)</f>
        <v>397744444319.87634</v>
      </c>
      <c r="I52" s="131">
        <v>113779870655.04634</v>
      </c>
      <c r="J52" s="131">
        <v>106208463433.91391</v>
      </c>
      <c r="K52" s="131">
        <v>127449283211.84691</v>
      </c>
      <c r="L52" s="131"/>
      <c r="M52" s="131"/>
      <c r="N52" s="131"/>
      <c r="O52" s="131">
        <v>50306827019.06913</v>
      </c>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c r="CD52" s="131"/>
      <c r="CE52" s="131"/>
      <c r="CF52" s="131"/>
      <c r="CG52" s="131"/>
      <c r="CH52" s="131"/>
      <c r="CI52" s="131"/>
      <c r="CJ52" s="131"/>
      <c r="CK52" s="131"/>
      <c r="CL52" s="131"/>
      <c r="CM52" s="131"/>
      <c r="CN52" s="131"/>
      <c r="CO52" s="131"/>
      <c r="CP52" s="131"/>
      <c r="CQ52" s="131"/>
      <c r="CR52" s="131"/>
      <c r="CS52" s="131"/>
      <c r="CT52" s="131"/>
      <c r="CU52" s="131"/>
      <c r="CV52" s="131"/>
      <c r="CW52" s="131"/>
      <c r="CX52" s="131"/>
      <c r="CY52" s="131"/>
      <c r="CZ52" s="131"/>
      <c r="DA52" s="131"/>
      <c r="DB52" s="131"/>
      <c r="DC52" s="131"/>
      <c r="DD52" s="131"/>
      <c r="DE52" s="131"/>
      <c r="DF52" s="131"/>
      <c r="DG52" s="131"/>
      <c r="DH52" s="131"/>
      <c r="DI52" s="131"/>
      <c r="DJ52" s="131"/>
      <c r="DK52" s="131"/>
      <c r="DL52" s="131"/>
      <c r="DM52" s="131"/>
      <c r="DN52" s="131"/>
    </row>
    <row r="53" spans="2:118" ht="31.5">
      <c r="B53" s="133" t="s">
        <v>180</v>
      </c>
      <c r="C53" s="157" t="s">
        <v>181</v>
      </c>
      <c r="D53" s="12" t="s">
        <v>300</v>
      </c>
      <c r="E53" s="16" t="s">
        <v>442</v>
      </c>
      <c r="F53" s="21" t="s">
        <v>602</v>
      </c>
      <c r="G53" s="25">
        <v>30825819462.819199</v>
      </c>
      <c r="H53" s="126">
        <f>SUM(I53:DN53)</f>
        <v>0</v>
      </c>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c r="CW53" s="131"/>
      <c r="CX53" s="131"/>
      <c r="CY53" s="131"/>
      <c r="CZ53" s="131"/>
      <c r="DA53" s="131"/>
      <c r="DB53" s="131"/>
      <c r="DC53" s="131"/>
      <c r="DD53" s="131"/>
      <c r="DE53" s="131"/>
      <c r="DF53" s="131"/>
      <c r="DG53" s="131"/>
      <c r="DH53" s="131"/>
      <c r="DI53" s="131"/>
      <c r="DJ53" s="131"/>
      <c r="DK53" s="131"/>
      <c r="DL53" s="131"/>
      <c r="DM53" s="131"/>
      <c r="DN53" s="131"/>
    </row>
    <row r="54" spans="2:118" ht="31.5">
      <c r="B54" s="133" t="s">
        <v>180</v>
      </c>
      <c r="C54" s="157" t="s">
        <v>181</v>
      </c>
      <c r="D54" s="12" t="s">
        <v>299</v>
      </c>
      <c r="E54" s="16" t="s">
        <v>462</v>
      </c>
      <c r="F54" s="21" t="s">
        <v>602</v>
      </c>
      <c r="G54" s="25">
        <v>187126459255.06033</v>
      </c>
      <c r="H54" s="126">
        <f t="shared" ref="H54:H57" si="3">SUM(I54:DN54)</f>
        <v>187126459255.06033</v>
      </c>
      <c r="I54" s="131"/>
      <c r="J54" s="131"/>
      <c r="K54" s="131"/>
      <c r="L54" s="131"/>
      <c r="M54" s="131"/>
      <c r="N54" s="131"/>
      <c r="O54" s="131"/>
      <c r="P54" s="131"/>
      <c r="Q54" s="131"/>
      <c r="R54" s="131"/>
      <c r="S54" s="131"/>
      <c r="T54" s="131">
        <v>79750196829.268295</v>
      </c>
      <c r="U54" s="131">
        <v>107376262425.79204</v>
      </c>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c r="CN54" s="131"/>
      <c r="CO54" s="131"/>
      <c r="CP54" s="131"/>
      <c r="CQ54" s="131"/>
      <c r="CR54" s="131"/>
      <c r="CS54" s="131"/>
      <c r="CT54" s="131"/>
      <c r="CU54" s="131"/>
      <c r="CV54" s="131"/>
      <c r="CW54" s="131"/>
      <c r="CX54" s="131"/>
      <c r="CY54" s="131"/>
      <c r="CZ54" s="131"/>
      <c r="DA54" s="131"/>
      <c r="DB54" s="131"/>
      <c r="DC54" s="131"/>
      <c r="DD54" s="131"/>
      <c r="DE54" s="131"/>
      <c r="DF54" s="131"/>
      <c r="DG54" s="131"/>
      <c r="DH54" s="131"/>
      <c r="DI54" s="131"/>
      <c r="DJ54" s="131"/>
      <c r="DK54" s="131"/>
      <c r="DL54" s="131"/>
      <c r="DM54" s="131"/>
      <c r="DN54" s="131"/>
    </row>
    <row r="55" spans="2:118" ht="31.5">
      <c r="B55" s="133" t="s">
        <v>180</v>
      </c>
      <c r="C55" s="157" t="s">
        <v>181</v>
      </c>
      <c r="D55" s="12" t="s">
        <v>299</v>
      </c>
      <c r="E55" s="16" t="s">
        <v>463</v>
      </c>
      <c r="F55" s="21" t="s">
        <v>602</v>
      </c>
      <c r="G55" s="25">
        <v>9697869554.6945515</v>
      </c>
      <c r="H55" s="126">
        <f t="shared" si="3"/>
        <v>9697869554.6945515</v>
      </c>
      <c r="I55" s="131"/>
      <c r="J55" s="131"/>
      <c r="K55" s="131"/>
      <c r="L55" s="131"/>
      <c r="M55" s="131"/>
      <c r="N55" s="131"/>
      <c r="O55" s="131"/>
      <c r="P55" s="131"/>
      <c r="Q55" s="131"/>
      <c r="R55" s="131"/>
      <c r="S55" s="131"/>
      <c r="T55" s="131"/>
      <c r="U55" s="131">
        <v>547393089.43089426</v>
      </c>
      <c r="V55" s="131">
        <v>9150476465.2636566</v>
      </c>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31"/>
      <c r="CC55" s="131"/>
      <c r="CD55" s="131"/>
      <c r="CE55" s="131"/>
      <c r="CF55" s="131"/>
      <c r="CG55" s="131"/>
      <c r="CH55" s="131"/>
      <c r="CI55" s="131"/>
      <c r="CJ55" s="131"/>
      <c r="CK55" s="131"/>
      <c r="CL55" s="131"/>
      <c r="CM55" s="131"/>
      <c r="CN55" s="131"/>
      <c r="CO55" s="131"/>
      <c r="CP55" s="131"/>
      <c r="CQ55" s="131"/>
      <c r="CR55" s="131"/>
      <c r="CS55" s="131"/>
      <c r="CT55" s="131"/>
      <c r="CU55" s="131"/>
      <c r="CV55" s="131"/>
      <c r="CW55" s="131"/>
      <c r="CX55" s="131"/>
      <c r="CY55" s="131"/>
      <c r="CZ55" s="131"/>
      <c r="DA55" s="131"/>
      <c r="DB55" s="131"/>
      <c r="DC55" s="131"/>
      <c r="DD55" s="131"/>
      <c r="DE55" s="131"/>
      <c r="DF55" s="131"/>
      <c r="DG55" s="131"/>
      <c r="DH55" s="131"/>
      <c r="DI55" s="131"/>
      <c r="DJ55" s="131"/>
      <c r="DK55" s="131"/>
      <c r="DL55" s="131"/>
      <c r="DM55" s="131"/>
      <c r="DN55" s="131"/>
    </row>
    <row r="56" spans="2:118" ht="31.5">
      <c r="B56" s="133" t="s">
        <v>180</v>
      </c>
      <c r="C56" s="157" t="s">
        <v>181</v>
      </c>
      <c r="D56" s="12" t="s">
        <v>600</v>
      </c>
      <c r="E56" s="16" t="s">
        <v>469</v>
      </c>
      <c r="F56" s="21" t="s">
        <v>603</v>
      </c>
      <c r="G56" s="25">
        <f>115229782004.415+7636322539</f>
        <v>122866104543.41499</v>
      </c>
      <c r="H56" s="126">
        <f t="shared" si="3"/>
        <v>115050603940.173</v>
      </c>
      <c r="I56" s="131"/>
      <c r="J56" s="131"/>
      <c r="K56" s="131"/>
      <c r="L56" s="131"/>
      <c r="M56" s="131"/>
      <c r="N56" s="131"/>
      <c r="O56" s="131"/>
      <c r="P56" s="131"/>
      <c r="Q56" s="131"/>
      <c r="R56" s="131"/>
      <c r="S56" s="131"/>
      <c r="T56" s="131"/>
      <c r="U56" s="131"/>
      <c r="V56" s="131"/>
      <c r="W56" s="131">
        <v>22016118850.439999</v>
      </c>
      <c r="X56" s="131">
        <v>11730129994.869999</v>
      </c>
      <c r="Y56" s="131">
        <v>8375401491.0249996</v>
      </c>
      <c r="Z56" s="131"/>
      <c r="AA56" s="131">
        <v>6076685593.7700005</v>
      </c>
      <c r="AB56" s="131">
        <v>5769339940.8400002</v>
      </c>
      <c r="AC56" s="131">
        <v>5572468128.3299999</v>
      </c>
      <c r="AD56" s="131">
        <v>5481799277.5500002</v>
      </c>
      <c r="AE56" s="131">
        <v>4345327526.54</v>
      </c>
      <c r="AF56" s="131">
        <v>4164646611.4299998</v>
      </c>
      <c r="AG56" s="131">
        <v>3378206082.9200001</v>
      </c>
      <c r="AH56" s="131">
        <v>3283564592.3099999</v>
      </c>
      <c r="AI56" s="131">
        <v>2894515508.6499996</v>
      </c>
      <c r="AJ56" s="131">
        <v>2651799789.21</v>
      </c>
      <c r="AK56" s="131">
        <v>2253889357.4400001</v>
      </c>
      <c r="AL56" s="131">
        <v>2148685458.8600001</v>
      </c>
      <c r="AM56" s="131">
        <v>2138639612.8800001</v>
      </c>
      <c r="AN56" s="131">
        <v>2050593420.3499999</v>
      </c>
      <c r="AO56" s="131"/>
      <c r="AP56" s="131">
        <v>546249433.32000005</v>
      </c>
      <c r="AQ56" s="131">
        <v>25299906.059999999</v>
      </c>
      <c r="AR56" s="131">
        <v>1111178313.28</v>
      </c>
      <c r="AS56" s="131">
        <v>813785928.66999996</v>
      </c>
      <c r="AT56" s="131"/>
      <c r="AU56" s="131"/>
      <c r="AV56" s="131"/>
      <c r="AW56" s="131"/>
      <c r="AX56" s="131">
        <v>775711346.40999997</v>
      </c>
      <c r="AY56" s="131"/>
      <c r="AZ56" s="131">
        <v>745709312.77999997</v>
      </c>
      <c r="BA56" s="131">
        <v>721390255.58000004</v>
      </c>
      <c r="BB56" s="131"/>
      <c r="BC56" s="131">
        <v>771769667.20000005</v>
      </c>
      <c r="BD56" s="131">
        <v>2135148809.1400001</v>
      </c>
      <c r="BE56" s="131">
        <v>763668300.80999994</v>
      </c>
      <c r="BF56" s="131">
        <v>1697009907.45</v>
      </c>
      <c r="BG56" s="131">
        <v>1233234850.4100001</v>
      </c>
      <c r="BH56" s="131">
        <v>867775672.52999997</v>
      </c>
      <c r="BI56" s="131">
        <v>1286246813.29</v>
      </c>
      <c r="BJ56" s="131">
        <v>215899586.75999999</v>
      </c>
      <c r="BK56" s="131">
        <v>1202794090.52</v>
      </c>
      <c r="BL56" s="131">
        <v>1181037712.1400001</v>
      </c>
      <c r="BM56" s="131">
        <v>1250820814.9200001</v>
      </c>
      <c r="BN56" s="131"/>
      <c r="BO56" s="131"/>
      <c r="BP56" s="131"/>
      <c r="BQ56" s="131"/>
      <c r="BR56" s="131"/>
      <c r="BS56" s="131"/>
      <c r="BT56" s="131"/>
      <c r="BU56" s="131"/>
      <c r="BV56" s="131">
        <v>267781640.59999999</v>
      </c>
      <c r="BW56" s="131"/>
      <c r="BX56" s="131">
        <v>1584110197</v>
      </c>
      <c r="BY56" s="131"/>
      <c r="BZ56" s="131">
        <v>680342215.40999997</v>
      </c>
      <c r="CA56" s="131">
        <v>11246447.130000001</v>
      </c>
      <c r="CB56" s="131">
        <v>622112875.86000001</v>
      </c>
      <c r="CC56" s="131">
        <v>148452068.05000001</v>
      </c>
      <c r="CD56" s="131"/>
      <c r="CE56" s="131">
        <v>60016537.437999994</v>
      </c>
      <c r="CF56" s="131"/>
      <c r="CG56" s="131"/>
      <c r="CH56" s="131"/>
      <c r="CI56" s="131"/>
      <c r="CJ56" s="131"/>
      <c r="CK56" s="131"/>
      <c r="CL56" s="131"/>
      <c r="CM56" s="131"/>
      <c r="CN56" s="131"/>
      <c r="CO56" s="131"/>
      <c r="CP56" s="131"/>
      <c r="CQ56" s="131"/>
      <c r="CR56" s="131"/>
      <c r="CS56" s="131"/>
      <c r="CT56" s="131"/>
      <c r="CU56" s="131"/>
      <c r="CV56" s="131"/>
      <c r="CW56" s="131"/>
      <c r="CX56" s="131"/>
      <c r="CY56" s="131"/>
      <c r="CZ56" s="131"/>
      <c r="DA56" s="131"/>
      <c r="DB56" s="131"/>
      <c r="DC56" s="131"/>
      <c r="DD56" s="131"/>
      <c r="DE56" s="131"/>
      <c r="DF56" s="131"/>
      <c r="DG56" s="131"/>
      <c r="DH56" s="131"/>
      <c r="DI56" s="131"/>
      <c r="DJ56" s="131"/>
      <c r="DK56" s="131"/>
      <c r="DL56" s="131"/>
      <c r="DM56" s="131"/>
      <c r="DN56" s="131"/>
    </row>
    <row r="57" spans="2:118" ht="63">
      <c r="B57" s="133" t="s">
        <v>180</v>
      </c>
      <c r="C57" s="157" t="s">
        <v>181</v>
      </c>
      <c r="D57" s="12" t="s">
        <v>300</v>
      </c>
      <c r="E57" s="16" t="s">
        <v>551</v>
      </c>
      <c r="F57" s="21" t="s">
        <v>606</v>
      </c>
      <c r="G57" s="25">
        <f>30390731894.67+14008000000</f>
        <v>44398731894.669998</v>
      </c>
      <c r="H57" s="126">
        <f t="shared" si="3"/>
        <v>0</v>
      </c>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31"/>
      <c r="CC57" s="131"/>
      <c r="CD57" s="131"/>
      <c r="CE57" s="131"/>
      <c r="CF57" s="131"/>
      <c r="CG57" s="131"/>
      <c r="CH57" s="131"/>
      <c r="CI57" s="131"/>
      <c r="CJ57" s="131"/>
      <c r="CK57" s="131"/>
      <c r="CL57" s="131"/>
      <c r="CM57" s="131"/>
      <c r="CN57" s="131"/>
      <c r="CO57" s="131"/>
      <c r="CP57" s="131"/>
      <c r="CQ57" s="131"/>
      <c r="CR57" s="131"/>
      <c r="CS57" s="131"/>
      <c r="CT57" s="131"/>
      <c r="CU57" s="131"/>
      <c r="CV57" s="131"/>
      <c r="CW57" s="131"/>
      <c r="CX57" s="131"/>
      <c r="CY57" s="131"/>
      <c r="CZ57" s="131"/>
      <c r="DA57" s="131"/>
      <c r="DB57" s="131"/>
      <c r="DC57" s="131"/>
      <c r="DD57" s="131"/>
      <c r="DE57" s="131"/>
      <c r="DF57" s="131"/>
      <c r="DG57" s="131"/>
      <c r="DH57" s="131"/>
      <c r="DI57" s="131"/>
      <c r="DJ57" s="131"/>
      <c r="DK57" s="131"/>
      <c r="DL57" s="131"/>
      <c r="DM57" s="131"/>
      <c r="DN57" s="131"/>
    </row>
    <row r="58" spans="2:118" ht="31.5">
      <c r="B58" s="133" t="s">
        <v>182</v>
      </c>
      <c r="C58" s="155" t="s">
        <v>199</v>
      </c>
      <c r="D58" s="12" t="s">
        <v>272</v>
      </c>
      <c r="E58" s="16"/>
      <c r="F58" s="21"/>
      <c r="G58" s="25"/>
      <c r="H58" s="126">
        <f>SUM(I58:DN58)</f>
        <v>0</v>
      </c>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c r="CD58" s="131"/>
      <c r="CE58" s="131"/>
      <c r="CF58" s="131"/>
      <c r="CG58" s="131"/>
      <c r="CH58" s="131"/>
      <c r="CI58" s="131"/>
      <c r="CJ58" s="131"/>
      <c r="CK58" s="131"/>
      <c r="CL58" s="131"/>
      <c r="CM58" s="131"/>
      <c r="CN58" s="131"/>
      <c r="CO58" s="131"/>
      <c r="CP58" s="131"/>
      <c r="CQ58" s="131"/>
      <c r="CR58" s="131"/>
      <c r="CS58" s="131"/>
      <c r="CT58" s="131"/>
      <c r="CU58" s="131"/>
      <c r="CV58" s="131"/>
      <c r="CW58" s="131"/>
      <c r="CX58" s="131"/>
      <c r="CY58" s="131"/>
      <c r="CZ58" s="131"/>
      <c r="DA58" s="131"/>
      <c r="DB58" s="131"/>
      <c r="DC58" s="131"/>
      <c r="DD58" s="131"/>
      <c r="DE58" s="131"/>
      <c r="DF58" s="131"/>
      <c r="DG58" s="131"/>
      <c r="DH58" s="131"/>
      <c r="DI58" s="131"/>
      <c r="DJ58" s="131"/>
      <c r="DK58" s="131"/>
      <c r="DL58" s="131"/>
      <c r="DM58" s="131"/>
      <c r="DN58" s="131"/>
    </row>
    <row r="59" spans="2:118" ht="126">
      <c r="B59" s="133" t="s">
        <v>183</v>
      </c>
      <c r="C59" s="155" t="s">
        <v>200</v>
      </c>
      <c r="D59" s="12" t="s">
        <v>600</v>
      </c>
      <c r="E59" s="16" t="s">
        <v>464</v>
      </c>
      <c r="F59" s="21" t="s">
        <v>615</v>
      </c>
      <c r="G59" s="25">
        <f>995260162.601625+1391973385.3+94014210+2340593116+436454950</f>
        <v>5258295823.9016247</v>
      </c>
      <c r="H59" s="126">
        <f>SUM(I59:DN59)</f>
        <v>2481247757.9016261</v>
      </c>
      <c r="I59" s="131"/>
      <c r="J59" s="131"/>
      <c r="K59" s="131"/>
      <c r="L59" s="131"/>
      <c r="M59" s="131"/>
      <c r="N59" s="131"/>
      <c r="O59" s="131"/>
      <c r="P59" s="131"/>
      <c r="Q59" s="131"/>
      <c r="R59" s="131"/>
      <c r="S59" s="131"/>
      <c r="T59" s="131">
        <v>995260162.60162604</v>
      </c>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c r="CD59" s="131"/>
      <c r="CE59" s="131"/>
      <c r="CF59" s="131"/>
      <c r="CG59" s="131"/>
      <c r="CH59" s="131"/>
      <c r="CI59" s="131"/>
      <c r="CJ59" s="131"/>
      <c r="CK59" s="131"/>
      <c r="CL59" s="131"/>
      <c r="CM59" s="131">
        <v>150274629.30000001</v>
      </c>
      <c r="CN59" s="131">
        <v>637600</v>
      </c>
      <c r="CO59" s="131">
        <f>27303388+6497500</f>
        <v>33800888</v>
      </c>
      <c r="CP59" s="131">
        <f>14569200+10665000</f>
        <v>25234200</v>
      </c>
      <c r="CQ59" s="131">
        <v>3677810</v>
      </c>
      <c r="CR59" s="131">
        <v>374885948</v>
      </c>
      <c r="CS59" s="131"/>
      <c r="CT59" s="131">
        <v>257492893</v>
      </c>
      <c r="CU59" s="131">
        <f>9379900+17355000</f>
        <v>26734900</v>
      </c>
      <c r="CV59" s="131">
        <f>31991400+11025000</f>
        <v>43016400</v>
      </c>
      <c r="CW59" s="131">
        <f>72845200+178500</f>
        <v>73023700</v>
      </c>
      <c r="CX59" s="131"/>
      <c r="CY59" s="131">
        <v>139200000</v>
      </c>
      <c r="CZ59" s="131">
        <f>4370706+14850000</f>
        <v>19220706</v>
      </c>
      <c r="DA59" s="131">
        <v>3581400</v>
      </c>
      <c r="DB59" s="131">
        <v>2428170</v>
      </c>
      <c r="DC59" s="131">
        <v>2428170</v>
      </c>
      <c r="DD59" s="131"/>
      <c r="DE59" s="131">
        <f>139735561+16789760</f>
        <v>156525321</v>
      </c>
      <c r="DF59" s="131">
        <v>72845</v>
      </c>
      <c r="DG59" s="131"/>
      <c r="DH59" s="131">
        <f>8668565+14700000</f>
        <v>23368565</v>
      </c>
      <c r="DI59" s="131">
        <f>1054200+1953450</f>
        <v>3007650</v>
      </c>
      <c r="DJ59" s="131"/>
      <c r="DK59" s="131">
        <v>50700000</v>
      </c>
      <c r="DL59" s="131">
        <v>51627200</v>
      </c>
      <c r="DM59" s="131">
        <v>42645000</v>
      </c>
      <c r="DN59" s="131">
        <v>2403600</v>
      </c>
    </row>
    <row r="60" spans="2:118">
      <c r="B60" s="134" t="s">
        <v>184</v>
      </c>
      <c r="C60" s="154" t="s">
        <v>185</v>
      </c>
      <c r="D60" s="2"/>
      <c r="E60" s="16"/>
      <c r="F60" s="21"/>
      <c r="G60" s="25"/>
      <c r="H60" s="126"/>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c r="CD60" s="131"/>
      <c r="CE60" s="131"/>
      <c r="CF60" s="131"/>
      <c r="CG60" s="131"/>
      <c r="CH60" s="131"/>
      <c r="CI60" s="131"/>
      <c r="CJ60" s="131"/>
      <c r="CK60" s="131"/>
      <c r="CL60" s="131"/>
      <c r="CM60" s="131"/>
      <c r="CN60" s="131"/>
      <c r="CO60" s="131"/>
      <c r="CP60" s="131"/>
      <c r="CQ60" s="131"/>
      <c r="CR60" s="131"/>
      <c r="CS60" s="131"/>
      <c r="CT60" s="131"/>
      <c r="CU60" s="131"/>
      <c r="CV60" s="131"/>
      <c r="CW60" s="131"/>
      <c r="CX60" s="131"/>
      <c r="CY60" s="131"/>
      <c r="CZ60" s="131"/>
      <c r="DA60" s="131"/>
      <c r="DB60" s="131"/>
      <c r="DC60" s="131"/>
      <c r="DD60" s="131"/>
      <c r="DE60" s="131"/>
      <c r="DF60" s="131"/>
      <c r="DG60" s="131"/>
      <c r="DH60" s="131"/>
      <c r="DI60" s="131"/>
      <c r="DJ60" s="131"/>
      <c r="DK60" s="131"/>
      <c r="DL60" s="131"/>
      <c r="DM60" s="131"/>
      <c r="DN60" s="131"/>
    </row>
    <row r="61" spans="2:118" ht="31.5">
      <c r="B61" s="137" t="s">
        <v>186</v>
      </c>
      <c r="C61" s="155" t="s">
        <v>187</v>
      </c>
      <c r="D61" s="12" t="s">
        <v>299</v>
      </c>
      <c r="E61" s="16" t="s">
        <v>443</v>
      </c>
      <c r="F61" s="21" t="s">
        <v>602</v>
      </c>
      <c r="G61" s="25">
        <v>939902951.16999996</v>
      </c>
      <c r="H61" s="126">
        <f>SUM(I61:DN61)</f>
        <v>939902951.16999996</v>
      </c>
      <c r="I61" s="131"/>
      <c r="J61" s="131"/>
      <c r="K61" s="131"/>
      <c r="L61" s="131"/>
      <c r="M61" s="131">
        <v>839812951.16999996</v>
      </c>
      <c r="N61" s="131"/>
      <c r="O61" s="131"/>
      <c r="P61" s="131"/>
      <c r="Q61" s="131">
        <v>100090000</v>
      </c>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c r="CG61" s="131"/>
      <c r="CH61" s="131"/>
      <c r="CI61" s="131"/>
      <c r="CJ61" s="131"/>
      <c r="CK61" s="131"/>
      <c r="CL61" s="131"/>
      <c r="CM61" s="131"/>
      <c r="CN61" s="131"/>
      <c r="CO61" s="131"/>
      <c r="CP61" s="131"/>
      <c r="CQ61" s="131"/>
      <c r="CR61" s="131"/>
      <c r="CS61" s="131"/>
      <c r="CT61" s="131"/>
      <c r="CU61" s="131"/>
      <c r="CV61" s="131"/>
      <c r="CW61" s="131"/>
      <c r="CX61" s="131"/>
      <c r="CY61" s="131"/>
      <c r="CZ61" s="131"/>
      <c r="DA61" s="131"/>
      <c r="DB61" s="131"/>
      <c r="DC61" s="131"/>
      <c r="DD61" s="131"/>
      <c r="DE61" s="131"/>
      <c r="DF61" s="131"/>
      <c r="DG61" s="131"/>
      <c r="DH61" s="131"/>
      <c r="DI61" s="131"/>
      <c r="DJ61" s="131"/>
      <c r="DK61" s="131"/>
      <c r="DL61" s="131"/>
      <c r="DM61" s="131"/>
      <c r="DN61" s="131"/>
    </row>
    <row r="62" spans="2:118" ht="31.5">
      <c r="B62" s="133" t="s">
        <v>188</v>
      </c>
      <c r="C62" s="155" t="s">
        <v>189</v>
      </c>
      <c r="D62" s="12" t="s">
        <v>600</v>
      </c>
      <c r="E62" s="16" t="s">
        <v>470</v>
      </c>
      <c r="F62" s="21" t="s">
        <v>603</v>
      </c>
      <c r="G62" s="25">
        <f>17406067584.86+12162588706</f>
        <v>29568656290.860001</v>
      </c>
      <c r="H62" s="126">
        <f>SUM(I62:DN62)</f>
        <v>17406067584.860008</v>
      </c>
      <c r="I62" s="131"/>
      <c r="J62" s="131"/>
      <c r="K62" s="131"/>
      <c r="L62" s="131"/>
      <c r="M62" s="131"/>
      <c r="N62" s="131"/>
      <c r="O62" s="131"/>
      <c r="P62" s="131"/>
      <c r="Q62" s="131"/>
      <c r="R62" s="131"/>
      <c r="S62" s="131"/>
      <c r="T62" s="131"/>
      <c r="U62" s="131"/>
      <c r="V62" s="131"/>
      <c r="W62" s="131">
        <v>1872395881.0699999</v>
      </c>
      <c r="X62" s="131">
        <v>886566307.76999998</v>
      </c>
      <c r="Y62" s="131">
        <v>637468940.67999995</v>
      </c>
      <c r="Z62" s="131">
        <v>2687949351.23</v>
      </c>
      <c r="AA62" s="131">
        <v>475514014.69</v>
      </c>
      <c r="AB62" s="131">
        <v>461546279.48000002</v>
      </c>
      <c r="AC62" s="131">
        <v>475239371.75</v>
      </c>
      <c r="AD62" s="131">
        <v>458279540.29000002</v>
      </c>
      <c r="AE62" s="131">
        <v>369500580.01999998</v>
      </c>
      <c r="AF62" s="131">
        <v>361388534.64999998</v>
      </c>
      <c r="AG62" s="131">
        <v>271605489.87</v>
      </c>
      <c r="AH62" s="131">
        <v>300405203.67000002</v>
      </c>
      <c r="AI62" s="131">
        <v>230477079.69</v>
      </c>
      <c r="AJ62" s="131">
        <v>225493192.21000001</v>
      </c>
      <c r="AK62" s="131">
        <v>185842562.62</v>
      </c>
      <c r="AL62" s="131">
        <v>193160915.09</v>
      </c>
      <c r="AM62" s="131">
        <v>144208960.61000001</v>
      </c>
      <c r="AN62" s="131">
        <v>163326880.86000001</v>
      </c>
      <c r="AO62" s="131">
        <v>428041660</v>
      </c>
      <c r="AP62" s="131">
        <v>230768100.41999999</v>
      </c>
      <c r="AQ62" s="131">
        <v>364335277.01999998</v>
      </c>
      <c r="AR62" s="131">
        <v>92715929.019999996</v>
      </c>
      <c r="AS62" s="131">
        <v>348765038.05000001</v>
      </c>
      <c r="AT62" s="131">
        <v>336374610</v>
      </c>
      <c r="AU62" s="131">
        <v>305382792</v>
      </c>
      <c r="AV62" s="131">
        <v>349998411.62</v>
      </c>
      <c r="AW62" s="131"/>
      <c r="AX62" s="131">
        <v>75486493.939999998</v>
      </c>
      <c r="AY62" s="131">
        <v>294913604.69999999</v>
      </c>
      <c r="AZ62" s="131">
        <v>165353947.33000001</v>
      </c>
      <c r="BA62" s="131">
        <v>83142480.849999994</v>
      </c>
      <c r="BB62" s="131">
        <v>225808149.71000001</v>
      </c>
      <c r="BC62" s="131">
        <v>60946795.909999996</v>
      </c>
      <c r="BD62" s="131">
        <v>152390296.63</v>
      </c>
      <c r="BE62" s="131">
        <v>62757171.619999997</v>
      </c>
      <c r="BF62" s="131">
        <v>144303447.86000001</v>
      </c>
      <c r="BG62" s="131">
        <v>316895118.54000002</v>
      </c>
      <c r="BH62" s="131">
        <v>327334069.92000002</v>
      </c>
      <c r="BI62" s="131">
        <v>110049929.98999999</v>
      </c>
      <c r="BJ62" s="131">
        <v>92528214.349999994</v>
      </c>
      <c r="BK62" s="131">
        <v>108882067.58</v>
      </c>
      <c r="BL62" s="131">
        <v>99564364.900000006</v>
      </c>
      <c r="BM62" s="131">
        <v>99405626.319999993</v>
      </c>
      <c r="BN62" s="131"/>
      <c r="BO62" s="131">
        <v>86512526.099999994</v>
      </c>
      <c r="BP62" s="131">
        <v>140105694.30000001</v>
      </c>
      <c r="BQ62" s="131">
        <v>43467914.489999995</v>
      </c>
      <c r="BR62" s="131">
        <v>126990864</v>
      </c>
      <c r="BS62" s="131">
        <v>114919172.94</v>
      </c>
      <c r="BT62" s="131">
        <v>7705120.2799999993</v>
      </c>
      <c r="BU62" s="131">
        <v>124205379.86999999</v>
      </c>
      <c r="BV62" s="131">
        <v>44385070.729999997</v>
      </c>
      <c r="BW62" s="131">
        <v>10246197.390000001</v>
      </c>
      <c r="BX62" s="131">
        <v>88363216.370000005</v>
      </c>
      <c r="BY62" s="131">
        <v>306202941.32999998</v>
      </c>
      <c r="BZ62" s="131">
        <v>57852653.43</v>
      </c>
      <c r="CA62" s="131">
        <v>258376015.03999999</v>
      </c>
      <c r="CB62" s="131">
        <v>66973822.630000003</v>
      </c>
      <c r="CC62" s="131">
        <v>35321223.795000002</v>
      </c>
      <c r="CD62" s="131">
        <v>218832471</v>
      </c>
      <c r="CE62" s="131">
        <v>25721319.195</v>
      </c>
      <c r="CF62" s="131"/>
      <c r="CG62" s="131">
        <v>92588686.189999998</v>
      </c>
      <c r="CH62" s="131">
        <v>49357619.740000002</v>
      </c>
      <c r="CI62" s="131"/>
      <c r="CJ62" s="131">
        <v>39517087.609999999</v>
      </c>
      <c r="CK62" s="131">
        <v>64553689.200000003</v>
      </c>
      <c r="CL62" s="131">
        <v>127356214.7</v>
      </c>
      <c r="CM62" s="131"/>
      <c r="CN62" s="131"/>
      <c r="CO62" s="131"/>
      <c r="CP62" s="131"/>
      <c r="CQ62" s="131"/>
      <c r="CR62" s="131"/>
      <c r="CS62" s="131"/>
      <c r="CT62" s="131"/>
      <c r="CU62" s="131"/>
      <c r="CV62" s="131"/>
      <c r="CW62" s="131"/>
      <c r="CX62" s="131"/>
      <c r="CY62" s="131"/>
      <c r="CZ62" s="131"/>
      <c r="DA62" s="131"/>
      <c r="DB62" s="131"/>
      <c r="DC62" s="131"/>
      <c r="DD62" s="131"/>
      <c r="DE62" s="131"/>
      <c r="DF62" s="131"/>
      <c r="DG62" s="131"/>
      <c r="DH62" s="131"/>
      <c r="DI62" s="131"/>
      <c r="DJ62" s="131"/>
      <c r="DK62" s="131"/>
      <c r="DL62" s="131"/>
      <c r="DM62" s="131"/>
      <c r="DN62" s="131"/>
    </row>
    <row r="63" spans="2:118" ht="31.5">
      <c r="B63" s="133" t="s">
        <v>188</v>
      </c>
      <c r="C63" s="155" t="s">
        <v>189</v>
      </c>
      <c r="D63" s="12" t="s">
        <v>600</v>
      </c>
      <c r="E63" s="16" t="s">
        <v>471</v>
      </c>
      <c r="F63" s="21" t="s">
        <v>603</v>
      </c>
      <c r="G63" s="25">
        <f>9829434000+72073329715</f>
        <v>81902763715</v>
      </c>
      <c r="H63" s="126">
        <f>SUM(I63:DN63)</f>
        <v>9829434000</v>
      </c>
      <c r="I63" s="131"/>
      <c r="J63" s="131"/>
      <c r="K63" s="131"/>
      <c r="L63" s="131"/>
      <c r="M63" s="131"/>
      <c r="N63" s="131"/>
      <c r="O63" s="131"/>
      <c r="P63" s="131"/>
      <c r="Q63" s="131"/>
      <c r="R63" s="131"/>
      <c r="S63" s="131"/>
      <c r="T63" s="131"/>
      <c r="U63" s="131"/>
      <c r="V63" s="131"/>
      <c r="W63" s="131"/>
      <c r="X63" s="131"/>
      <c r="Y63" s="131">
        <v>2000000</v>
      </c>
      <c r="Z63" s="131"/>
      <c r="AA63" s="131"/>
      <c r="AB63" s="131"/>
      <c r="AC63" s="131">
        <v>800000</v>
      </c>
      <c r="AD63" s="131"/>
      <c r="AE63" s="131"/>
      <c r="AF63" s="131">
        <v>433960000</v>
      </c>
      <c r="AG63" s="131"/>
      <c r="AH63" s="131"/>
      <c r="AI63" s="131"/>
      <c r="AJ63" s="131"/>
      <c r="AK63" s="131"/>
      <c r="AL63" s="131"/>
      <c r="AM63" s="131"/>
      <c r="AN63" s="131"/>
      <c r="AO63" s="131">
        <v>73320000</v>
      </c>
      <c r="AP63" s="131"/>
      <c r="AQ63" s="131"/>
      <c r="AR63" s="131">
        <v>2000000</v>
      </c>
      <c r="AS63" s="131">
        <v>1000000</v>
      </c>
      <c r="AT63" s="131">
        <v>436000000</v>
      </c>
      <c r="AU63" s="131">
        <v>9000000</v>
      </c>
      <c r="AV63" s="131">
        <v>760000000</v>
      </c>
      <c r="AW63" s="131"/>
      <c r="AX63" s="131">
        <v>830000000</v>
      </c>
      <c r="AY63" s="131"/>
      <c r="AZ63" s="131"/>
      <c r="BA63" s="131"/>
      <c r="BB63" s="131">
        <v>14000000</v>
      </c>
      <c r="BC63" s="131"/>
      <c r="BD63" s="131">
        <v>1000000</v>
      </c>
      <c r="BE63" s="131">
        <v>334800000</v>
      </c>
      <c r="BF63" s="131"/>
      <c r="BG63" s="131">
        <v>141124000</v>
      </c>
      <c r="BH63" s="131">
        <v>22000000</v>
      </c>
      <c r="BI63" s="131">
        <v>1057160000</v>
      </c>
      <c r="BJ63" s="131"/>
      <c r="BK63" s="131"/>
      <c r="BL63" s="131">
        <v>1296400000</v>
      </c>
      <c r="BM63" s="131">
        <v>116800000</v>
      </c>
      <c r="BN63" s="131">
        <v>536000000</v>
      </c>
      <c r="BO63" s="131"/>
      <c r="BP63" s="131"/>
      <c r="BQ63" s="131"/>
      <c r="BR63" s="131"/>
      <c r="BS63" s="131"/>
      <c r="BT63" s="131"/>
      <c r="BU63" s="131">
        <v>482000000</v>
      </c>
      <c r="BV63" s="131"/>
      <c r="BW63" s="131">
        <v>7030000</v>
      </c>
      <c r="BX63" s="131">
        <v>550000000</v>
      </c>
      <c r="BY63" s="131">
        <v>119000000</v>
      </c>
      <c r="BZ63" s="131"/>
      <c r="CA63" s="131">
        <v>120080000</v>
      </c>
      <c r="CB63" s="131">
        <v>1600000000</v>
      </c>
      <c r="CC63" s="131"/>
      <c r="CD63" s="131"/>
      <c r="CE63" s="131"/>
      <c r="CF63" s="131">
        <v>550000000</v>
      </c>
      <c r="CG63" s="131">
        <v>309600000</v>
      </c>
      <c r="CH63" s="131"/>
      <c r="CI63" s="131"/>
      <c r="CJ63" s="131"/>
      <c r="CK63" s="131">
        <v>23280000</v>
      </c>
      <c r="CL63" s="131">
        <v>1080000</v>
      </c>
      <c r="CM63" s="131"/>
      <c r="CN63" s="131"/>
      <c r="CO63" s="131"/>
      <c r="CP63" s="131"/>
      <c r="CQ63" s="131"/>
      <c r="CR63" s="131"/>
      <c r="CS63" s="131"/>
      <c r="CT63" s="131"/>
      <c r="CU63" s="131"/>
      <c r="CV63" s="131"/>
      <c r="CW63" s="131"/>
      <c r="CX63" s="131"/>
      <c r="CY63" s="131"/>
      <c r="CZ63" s="131"/>
      <c r="DA63" s="131"/>
      <c r="DB63" s="131"/>
      <c r="DC63" s="131"/>
      <c r="DD63" s="131"/>
      <c r="DE63" s="131"/>
      <c r="DF63" s="131"/>
      <c r="DG63" s="131"/>
      <c r="DH63" s="131"/>
      <c r="DI63" s="131"/>
      <c r="DJ63" s="131"/>
      <c r="DK63" s="131"/>
      <c r="DL63" s="131"/>
      <c r="DM63" s="131"/>
      <c r="DN63" s="131"/>
    </row>
    <row r="64" spans="2:118">
      <c r="B64" s="133" t="s">
        <v>188</v>
      </c>
      <c r="C64" s="155" t="s">
        <v>189</v>
      </c>
      <c r="D64" s="12" t="s">
        <v>600</v>
      </c>
      <c r="E64" s="16" t="s">
        <v>472</v>
      </c>
      <c r="F64" s="21" t="s">
        <v>603</v>
      </c>
      <c r="G64" s="25">
        <f>2734526526.16+185070361</f>
        <v>2919596887.1599998</v>
      </c>
      <c r="H64" s="126">
        <f>SUM(I64:DN64)</f>
        <v>2601100450.5199995</v>
      </c>
      <c r="I64" s="131"/>
      <c r="J64" s="131"/>
      <c r="K64" s="131"/>
      <c r="L64" s="131"/>
      <c r="M64" s="131"/>
      <c r="N64" s="131"/>
      <c r="O64" s="131"/>
      <c r="P64" s="131"/>
      <c r="Q64" s="131"/>
      <c r="R64" s="131"/>
      <c r="S64" s="131"/>
      <c r="T64" s="131"/>
      <c r="U64" s="131"/>
      <c r="V64" s="131"/>
      <c r="W64" s="131">
        <v>561635993.49000001</v>
      </c>
      <c r="X64" s="131">
        <v>263696277.13</v>
      </c>
      <c r="Y64" s="131">
        <v>191240934.16999999</v>
      </c>
      <c r="Z64" s="131"/>
      <c r="AA64" s="131">
        <v>140876710.25999999</v>
      </c>
      <c r="AB64" s="131">
        <v>138464135.81</v>
      </c>
      <c r="AC64" s="131">
        <v>129921228.58</v>
      </c>
      <c r="AD64" s="131"/>
      <c r="AE64" s="131">
        <v>110849922.04000001</v>
      </c>
      <c r="AF64" s="131">
        <v>99231769.780000001</v>
      </c>
      <c r="AG64" s="131">
        <v>81482024.909999996</v>
      </c>
      <c r="AH64" s="131">
        <v>77590410.040000007</v>
      </c>
      <c r="AI64" s="131">
        <v>67568462.390000001</v>
      </c>
      <c r="AJ64" s="131">
        <v>67647831.680000007</v>
      </c>
      <c r="AK64" s="131">
        <v>55752516.82</v>
      </c>
      <c r="AL64" s="131">
        <v>51249884.399999999</v>
      </c>
      <c r="AM64" s="131">
        <v>43262562.200000003</v>
      </c>
      <c r="AN64" s="131">
        <v>48951954.479999997</v>
      </c>
      <c r="AO64" s="131"/>
      <c r="AP64" s="131">
        <v>13671675.16</v>
      </c>
      <c r="AQ64" s="131">
        <v>1303924.05</v>
      </c>
      <c r="AR64" s="131">
        <v>24625897.010000002</v>
      </c>
      <c r="AS64" s="131"/>
      <c r="AT64" s="131"/>
      <c r="AU64" s="131"/>
      <c r="AV64" s="131"/>
      <c r="AW64" s="131"/>
      <c r="AX64" s="131">
        <v>19788149.809999999</v>
      </c>
      <c r="AY64" s="131"/>
      <c r="AZ64" s="131">
        <v>16608338.890000001</v>
      </c>
      <c r="BA64" s="131">
        <v>16603299.57</v>
      </c>
      <c r="BB64" s="131"/>
      <c r="BC64" s="131">
        <v>17255891.510000002</v>
      </c>
      <c r="BD64" s="131">
        <v>44886483.07</v>
      </c>
      <c r="BE64" s="131">
        <v>18826899.52</v>
      </c>
      <c r="BF64" s="131">
        <v>43291538.289999999</v>
      </c>
      <c r="BG64" s="131">
        <v>25718169.620000001</v>
      </c>
      <c r="BH64" s="131">
        <v>17206758.140000001</v>
      </c>
      <c r="BI64" s="131">
        <v>31895116.109999999</v>
      </c>
      <c r="BJ64" s="131">
        <v>27759094.219999999</v>
      </c>
      <c r="BK64" s="131">
        <v>30009150.600000001</v>
      </c>
      <c r="BL64" s="131">
        <v>29869309.469999999</v>
      </c>
      <c r="BM64" s="131">
        <v>28536409.329999998</v>
      </c>
      <c r="BN64" s="131"/>
      <c r="BO64" s="131"/>
      <c r="BP64" s="131"/>
      <c r="BQ64" s="131"/>
      <c r="BR64" s="131"/>
      <c r="BS64" s="131"/>
      <c r="BT64" s="131"/>
      <c r="BU64" s="131"/>
      <c r="BV64" s="131">
        <v>5358056.99</v>
      </c>
      <c r="BW64" s="131"/>
      <c r="BX64" s="131">
        <v>23917872.550000001</v>
      </c>
      <c r="BY64" s="131"/>
      <c r="BZ64" s="131">
        <v>17355418.079999998</v>
      </c>
      <c r="CA64" s="131"/>
      <c r="CB64" s="131">
        <v>13403331.369999999</v>
      </c>
      <c r="CC64" s="131">
        <v>3787048.98</v>
      </c>
      <c r="CD64" s="131"/>
      <c r="CE64" s="131"/>
      <c r="CF64" s="131"/>
      <c r="CG64" s="131"/>
      <c r="CH64" s="131"/>
      <c r="CI64" s="131"/>
      <c r="CJ64" s="131"/>
      <c r="CK64" s="131"/>
      <c r="CL64" s="131"/>
      <c r="CM64" s="131"/>
      <c r="CN64" s="131"/>
      <c r="CO64" s="131"/>
      <c r="CP64" s="131"/>
      <c r="CQ64" s="131"/>
      <c r="CR64" s="131"/>
      <c r="CS64" s="131"/>
      <c r="CT64" s="131"/>
      <c r="CU64" s="131"/>
      <c r="CV64" s="131"/>
      <c r="CW64" s="131"/>
      <c r="CX64" s="131"/>
      <c r="CY64" s="131"/>
      <c r="CZ64" s="131"/>
      <c r="DA64" s="131"/>
      <c r="DB64" s="131"/>
      <c r="DC64" s="131"/>
      <c r="DD64" s="131"/>
      <c r="DE64" s="131"/>
      <c r="DF64" s="131"/>
      <c r="DG64" s="131"/>
      <c r="DH64" s="131"/>
      <c r="DI64" s="131"/>
      <c r="DJ64" s="131"/>
      <c r="DK64" s="131"/>
      <c r="DL64" s="131"/>
      <c r="DM64" s="131"/>
      <c r="DN64" s="131"/>
    </row>
    <row r="65" spans="2:118">
      <c r="B65" s="133" t="s">
        <v>188</v>
      </c>
      <c r="C65" s="155" t="s">
        <v>189</v>
      </c>
      <c r="D65" s="12" t="s">
        <v>600</v>
      </c>
      <c r="E65" s="16" t="s">
        <v>474</v>
      </c>
      <c r="F65" s="21" t="s">
        <v>481</v>
      </c>
      <c r="G65" s="25">
        <f>7414527638.71+5360554108</f>
        <v>12775081746.709999</v>
      </c>
      <c r="H65" s="126">
        <f>SUM(I65:DN65)</f>
        <v>7414527638.710001</v>
      </c>
      <c r="I65" s="131"/>
      <c r="J65" s="131"/>
      <c r="K65" s="131"/>
      <c r="L65" s="131"/>
      <c r="M65" s="131"/>
      <c r="N65" s="131"/>
      <c r="O65" s="131"/>
      <c r="P65" s="131"/>
      <c r="Q65" s="131"/>
      <c r="R65" s="131"/>
      <c r="S65" s="131"/>
      <c r="T65" s="131"/>
      <c r="U65" s="131"/>
      <c r="V65" s="131"/>
      <c r="W65" s="131">
        <v>561719142.26999998</v>
      </c>
      <c r="X65" s="131">
        <v>373694912.27999997</v>
      </c>
      <c r="Y65" s="131">
        <v>260449983.66</v>
      </c>
      <c r="Z65" s="131">
        <v>1447183483.4200001</v>
      </c>
      <c r="AA65" s="131">
        <v>191910500.30000001</v>
      </c>
      <c r="AB65" s="131">
        <v>164872940.81</v>
      </c>
      <c r="AC65" s="131">
        <v>182701053.91999999</v>
      </c>
      <c r="AD65" s="131">
        <v>156930479.06999999</v>
      </c>
      <c r="AE65" s="131">
        <v>116438527.92</v>
      </c>
      <c r="AF65" s="131">
        <v>110872598.98</v>
      </c>
      <c r="AG65" s="131">
        <v>95718791.909999996</v>
      </c>
      <c r="AH65" s="131">
        <v>108834145.05</v>
      </c>
      <c r="AI65" s="131">
        <v>122950196.89</v>
      </c>
      <c r="AJ65" s="131">
        <v>67647831.680000007</v>
      </c>
      <c r="AK65" s="131">
        <v>64434608.670000002</v>
      </c>
      <c r="AL65" s="131">
        <v>68750536.510000005</v>
      </c>
      <c r="AM65" s="131">
        <v>79387076.859999999</v>
      </c>
      <c r="AN65" s="131">
        <v>59180758.189999998</v>
      </c>
      <c r="AO65" s="131">
        <v>104055066</v>
      </c>
      <c r="AP65" s="131">
        <v>70027553.159999996</v>
      </c>
      <c r="AQ65" s="131">
        <v>109300331.14</v>
      </c>
      <c r="AR65" s="131">
        <v>33384367.260000002</v>
      </c>
      <c r="AS65" s="131">
        <v>116317519.33</v>
      </c>
      <c r="AT65" s="131">
        <v>100912383</v>
      </c>
      <c r="AU65" s="131">
        <v>111989207.59999999</v>
      </c>
      <c r="AV65" s="131">
        <v>104999271.52</v>
      </c>
      <c r="AW65" s="131"/>
      <c r="AX65" s="131">
        <v>27687790.25</v>
      </c>
      <c r="AY65" s="131">
        <v>88474081.409999996</v>
      </c>
      <c r="AZ65" s="131">
        <v>252835313.25</v>
      </c>
      <c r="BA65" s="131">
        <v>30395412.34</v>
      </c>
      <c r="BB65" s="131">
        <v>56684791.020000003</v>
      </c>
      <c r="BC65" s="131">
        <v>52329965.030000001</v>
      </c>
      <c r="BD65" s="131">
        <v>73537723.040000007</v>
      </c>
      <c r="BE65" s="131">
        <v>20810229.52</v>
      </c>
      <c r="BF65" s="131">
        <v>45026324.200000003</v>
      </c>
      <c r="BG65" s="131">
        <v>172161399.63</v>
      </c>
      <c r="BH65" s="131">
        <v>117094865.90000001</v>
      </c>
      <c r="BI65" s="131">
        <v>36873063.979999997</v>
      </c>
      <c r="BJ65" s="131">
        <v>41734109.219999999</v>
      </c>
      <c r="BK65" s="131">
        <v>34708845.240000002</v>
      </c>
      <c r="BL65" s="131">
        <v>4479955.4800000004</v>
      </c>
      <c r="BM65" s="131">
        <v>44650579.07</v>
      </c>
      <c r="BN65" s="131">
        <v>40632203</v>
      </c>
      <c r="BO65" s="131">
        <v>30100220.829999998</v>
      </c>
      <c r="BP65" s="131">
        <v>134470695.28999999</v>
      </c>
      <c r="BQ65" s="131">
        <v>84233713.329999998</v>
      </c>
      <c r="BR65" s="131">
        <v>62841094.199999996</v>
      </c>
      <c r="BS65" s="131">
        <v>95552003.949999988</v>
      </c>
      <c r="BT65" s="131">
        <v>2462058.0499999998</v>
      </c>
      <c r="BU65" s="131">
        <v>44880582.909999996</v>
      </c>
      <c r="BV65" s="131">
        <v>21883934.27</v>
      </c>
      <c r="BW65" s="131">
        <v>461097.78</v>
      </c>
      <c r="BX65" s="131">
        <v>78144688.859999999</v>
      </c>
      <c r="BY65" s="131">
        <v>114081198.28</v>
      </c>
      <c r="BZ65" s="131">
        <v>17355418.079999998</v>
      </c>
      <c r="CA65" s="131">
        <v>101101287.58</v>
      </c>
      <c r="CB65" s="131">
        <v>33354754.84</v>
      </c>
      <c r="CC65" s="131">
        <v>63669235.130000003</v>
      </c>
      <c r="CD65" s="131">
        <v>65649741.299999997</v>
      </c>
      <c r="CE65" s="131">
        <v>12690998.75</v>
      </c>
      <c r="CF65" s="131"/>
      <c r="CG65" s="131">
        <v>47205982.840000004</v>
      </c>
      <c r="CH65" s="131">
        <v>210181041.99000001</v>
      </c>
      <c r="CI65" s="131"/>
      <c r="CJ65" s="131">
        <v>11855000.299999999</v>
      </c>
      <c r="CK65" s="131">
        <v>19366106.760000002</v>
      </c>
      <c r="CL65" s="131">
        <v>38206864.409999996</v>
      </c>
      <c r="CM65" s="131"/>
      <c r="CN65" s="131"/>
      <c r="CO65" s="131"/>
      <c r="CP65" s="131"/>
      <c r="CQ65" s="131"/>
      <c r="CR65" s="131"/>
      <c r="CS65" s="131"/>
      <c r="CT65" s="131"/>
      <c r="CU65" s="131"/>
      <c r="CV65" s="131"/>
      <c r="CW65" s="131"/>
      <c r="CX65" s="131"/>
      <c r="CY65" s="131"/>
      <c r="CZ65" s="131"/>
      <c r="DA65" s="131"/>
      <c r="DB65" s="131"/>
      <c r="DC65" s="131"/>
      <c r="DD65" s="131"/>
      <c r="DE65" s="131"/>
      <c r="DF65" s="131"/>
      <c r="DG65" s="131"/>
      <c r="DH65" s="131"/>
      <c r="DI65" s="131"/>
      <c r="DJ65" s="131"/>
      <c r="DK65" s="131"/>
      <c r="DL65" s="131"/>
      <c r="DM65" s="131"/>
      <c r="DN65" s="131"/>
    </row>
    <row r="66" spans="2:118" ht="63">
      <c r="B66" s="133" t="s">
        <v>188</v>
      </c>
      <c r="C66" s="155" t="s">
        <v>189</v>
      </c>
      <c r="D66" s="12" t="s">
        <v>300</v>
      </c>
      <c r="E66" s="16" t="s">
        <v>599</v>
      </c>
      <c r="F66" s="21" t="s">
        <v>606</v>
      </c>
      <c r="G66" s="25">
        <f>82000+1959865+1689800</f>
        <v>3731665</v>
      </c>
      <c r="H66" s="126"/>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1"/>
      <c r="BW66" s="131"/>
      <c r="BX66" s="131"/>
      <c r="BY66" s="131"/>
      <c r="BZ66" s="131"/>
      <c r="CA66" s="131"/>
      <c r="CB66" s="131"/>
      <c r="CC66" s="131"/>
      <c r="CD66" s="131"/>
      <c r="CE66" s="131"/>
      <c r="CF66" s="131"/>
      <c r="CG66" s="131"/>
      <c r="CH66" s="131"/>
      <c r="CI66" s="131"/>
      <c r="CJ66" s="131"/>
      <c r="CK66" s="131"/>
      <c r="CL66" s="131"/>
      <c r="CM66" s="131"/>
      <c r="CN66" s="131"/>
      <c r="CO66" s="131">
        <v>2000</v>
      </c>
      <c r="CP66" s="131">
        <v>2000</v>
      </c>
      <c r="CQ66" s="131">
        <v>2000</v>
      </c>
      <c r="CR66" s="131"/>
      <c r="CS66" s="131"/>
      <c r="CT66" s="131"/>
      <c r="CU66" s="131">
        <v>4000</v>
      </c>
      <c r="CV66" s="131"/>
      <c r="CW66" s="131"/>
      <c r="CX66" s="131"/>
      <c r="CY66" s="131"/>
      <c r="CZ66" s="131">
        <v>9000</v>
      </c>
      <c r="DA66" s="131">
        <v>6000</v>
      </c>
      <c r="DB66" s="131">
        <v>5000</v>
      </c>
      <c r="DC66" s="131">
        <v>5000</v>
      </c>
      <c r="DD66" s="131"/>
      <c r="DE66" s="131">
        <v>22000</v>
      </c>
      <c r="DF66" s="131">
        <v>1000</v>
      </c>
      <c r="DG66" s="131"/>
      <c r="DH66" s="131">
        <v>18000</v>
      </c>
      <c r="DI66" s="131">
        <v>2000</v>
      </c>
      <c r="DJ66" s="131"/>
      <c r="DK66" s="131"/>
      <c r="DL66" s="131"/>
      <c r="DM66" s="131"/>
      <c r="DN66" s="131">
        <v>4000</v>
      </c>
    </row>
    <row r="67" spans="2:118">
      <c r="B67" s="137" t="s">
        <v>190</v>
      </c>
      <c r="C67" s="153" t="s">
        <v>191</v>
      </c>
      <c r="D67" s="12" t="s">
        <v>272</v>
      </c>
      <c r="E67" s="16"/>
      <c r="F67" s="21"/>
      <c r="G67" s="25"/>
      <c r="H67" s="126">
        <f>SUM(I67:DN67)</f>
        <v>0</v>
      </c>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c r="CW67" s="131"/>
      <c r="CX67" s="131"/>
      <c r="CY67" s="131"/>
      <c r="CZ67" s="131"/>
      <c r="DA67" s="131"/>
      <c r="DB67" s="131"/>
      <c r="DC67" s="131"/>
      <c r="DD67" s="131"/>
      <c r="DE67" s="131"/>
      <c r="DF67" s="131"/>
      <c r="DG67" s="131"/>
      <c r="DH67" s="131"/>
      <c r="DI67" s="131"/>
      <c r="DJ67" s="131"/>
      <c r="DK67" s="131"/>
      <c r="DL67" s="131"/>
      <c r="DM67" s="131"/>
      <c r="DN67" s="131"/>
    </row>
    <row r="68" spans="2:118">
      <c r="B68" s="133" t="s">
        <v>192</v>
      </c>
      <c r="C68" s="153" t="s">
        <v>193</v>
      </c>
      <c r="D68" s="12" t="s">
        <v>272</v>
      </c>
      <c r="E68" s="16"/>
      <c r="F68" s="21"/>
      <c r="G68" s="25"/>
      <c r="H68" s="126">
        <f>SUM(I68:DN68)</f>
        <v>0</v>
      </c>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row>
    <row r="69" spans="2:118">
      <c r="B69" s="133"/>
      <c r="C69" s="153"/>
      <c r="D69" s="2"/>
      <c r="E69" s="16"/>
      <c r="F69" s="21"/>
      <c r="G69" s="25"/>
      <c r="H69" s="126"/>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c r="CW69" s="131"/>
      <c r="CX69" s="131"/>
      <c r="CY69" s="131"/>
      <c r="CZ69" s="131"/>
      <c r="DA69" s="131"/>
      <c r="DB69" s="131"/>
      <c r="DC69" s="131"/>
      <c r="DD69" s="131"/>
      <c r="DE69" s="131"/>
      <c r="DF69" s="131"/>
      <c r="DG69" s="131"/>
      <c r="DH69" s="131"/>
      <c r="DI69" s="131"/>
      <c r="DJ69" s="131"/>
      <c r="DK69" s="131"/>
      <c r="DL69" s="131"/>
      <c r="DM69" s="131"/>
      <c r="DN69" s="131"/>
    </row>
    <row r="70" spans="2:118" ht="47.25">
      <c r="B70" s="190" t="s">
        <v>444</v>
      </c>
      <c r="C70" s="153" t="s">
        <v>445</v>
      </c>
      <c r="D70" s="189" t="s">
        <v>300</v>
      </c>
      <c r="E70" s="16" t="s">
        <v>475</v>
      </c>
      <c r="F70" s="21" t="s">
        <v>605</v>
      </c>
      <c r="G70" s="25">
        <f>1648920936.52+3645329861+751299182.42+91556899+864428000</f>
        <v>7001534878.9400005</v>
      </c>
      <c r="H70" s="126">
        <f>SUM(I70:DN70)</f>
        <v>2400220118.9400001</v>
      </c>
      <c r="I70" s="131"/>
      <c r="J70" s="131"/>
      <c r="K70" s="131"/>
      <c r="L70" s="131"/>
      <c r="M70" s="131"/>
      <c r="N70" s="131"/>
      <c r="O70" s="131"/>
      <c r="P70" s="131"/>
      <c r="Q70" s="131"/>
      <c r="R70" s="131"/>
      <c r="S70" s="131"/>
      <c r="T70" s="131"/>
      <c r="U70" s="131"/>
      <c r="V70" s="131"/>
      <c r="W70" s="131"/>
      <c r="X70" s="131"/>
      <c r="Y70" s="131">
        <v>63583620.099999994</v>
      </c>
      <c r="Z70" s="131"/>
      <c r="AA70" s="131">
        <v>314680337.39999998</v>
      </c>
      <c r="AB70" s="131"/>
      <c r="AC70" s="131">
        <v>62377962.789999999</v>
      </c>
      <c r="AD70" s="131"/>
      <c r="AE70" s="131">
        <v>281168859.39999998</v>
      </c>
      <c r="AF70" s="131">
        <v>117356943.98999999</v>
      </c>
      <c r="AG70" s="131"/>
      <c r="AH70" s="131"/>
      <c r="AI70" s="131"/>
      <c r="AJ70" s="131"/>
      <c r="AK70" s="131">
        <v>170564604.21000001</v>
      </c>
      <c r="AL70" s="131"/>
      <c r="AM70" s="131">
        <v>95221730.890000001</v>
      </c>
      <c r="AN70" s="131"/>
      <c r="AO70" s="131"/>
      <c r="AP70" s="131"/>
      <c r="AQ70" s="131"/>
      <c r="AR70" s="131"/>
      <c r="AS70" s="131"/>
      <c r="AT70" s="131"/>
      <c r="AU70" s="131"/>
      <c r="AV70" s="131"/>
      <c r="AW70" s="131"/>
      <c r="AX70" s="131"/>
      <c r="AY70" s="131"/>
      <c r="AZ70" s="131"/>
      <c r="BA70" s="131"/>
      <c r="BB70" s="131"/>
      <c r="BC70" s="131">
        <v>165133477.08000001</v>
      </c>
      <c r="BD70" s="131"/>
      <c r="BE70" s="131"/>
      <c r="BF70" s="131">
        <v>87282282.230000004</v>
      </c>
      <c r="BG70" s="131"/>
      <c r="BH70" s="131">
        <v>70764651.099999994</v>
      </c>
      <c r="BI70" s="131"/>
      <c r="BJ70" s="131"/>
      <c r="BK70" s="131"/>
      <c r="BL70" s="131"/>
      <c r="BM70" s="131">
        <v>220786467.33000001</v>
      </c>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v>616104000</v>
      </c>
      <c r="CS70" s="131"/>
      <c r="CT70" s="131"/>
      <c r="CU70" s="131"/>
      <c r="CV70" s="131"/>
      <c r="CW70" s="131"/>
      <c r="CX70" s="131"/>
      <c r="CY70" s="131"/>
      <c r="CZ70" s="131"/>
      <c r="DA70" s="131">
        <v>1563497.41</v>
      </c>
      <c r="DB70" s="131"/>
      <c r="DC70" s="131"/>
      <c r="DD70" s="131"/>
      <c r="DE70" s="131"/>
      <c r="DF70" s="131"/>
      <c r="DG70" s="131"/>
      <c r="DH70" s="131">
        <v>11815000</v>
      </c>
      <c r="DI70" s="131"/>
      <c r="DJ70" s="131"/>
      <c r="DK70" s="131"/>
      <c r="DL70" s="131">
        <v>120496685.01000001</v>
      </c>
      <c r="DM70" s="131">
        <v>1320000</v>
      </c>
      <c r="DN70" s="131"/>
    </row>
    <row r="71" spans="2:118">
      <c r="B71" s="133"/>
      <c r="C71" s="153"/>
      <c r="D71" s="189"/>
      <c r="E71" s="16"/>
      <c r="F71" s="21"/>
      <c r="G71" s="25"/>
      <c r="H71" s="126"/>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c r="CM71" s="131"/>
      <c r="CN71" s="131"/>
      <c r="CO71" s="131"/>
      <c r="CP71" s="131"/>
      <c r="CQ71" s="131"/>
      <c r="CR71" s="131"/>
      <c r="CS71" s="131"/>
      <c r="CT71" s="131"/>
      <c r="CU71" s="131"/>
      <c r="CV71" s="131"/>
      <c r="CW71" s="131"/>
      <c r="CX71" s="131"/>
      <c r="CY71" s="131"/>
      <c r="CZ71" s="131"/>
      <c r="DA71" s="131"/>
      <c r="DB71" s="131"/>
      <c r="DC71" s="131"/>
      <c r="DD71" s="131"/>
      <c r="DE71" s="131"/>
      <c r="DF71" s="131"/>
      <c r="DG71" s="131"/>
      <c r="DH71" s="131"/>
      <c r="DI71" s="131"/>
      <c r="DJ71" s="131"/>
      <c r="DK71" s="131"/>
      <c r="DL71" s="131"/>
      <c r="DM71" s="131"/>
      <c r="DN71" s="131"/>
    </row>
    <row r="72" spans="2:118">
      <c r="B72" s="149"/>
      <c r="C72" s="150"/>
      <c r="D72" s="4"/>
      <c r="E72" s="18"/>
      <c r="F72" s="23"/>
      <c r="G72" s="28"/>
      <c r="H72" s="127"/>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c r="AY72" s="138"/>
      <c r="AZ72" s="138"/>
      <c r="BA72" s="138"/>
      <c r="BB72" s="138"/>
      <c r="BC72" s="138"/>
      <c r="BD72" s="138"/>
      <c r="BE72" s="138"/>
      <c r="BF72" s="138"/>
      <c r="BG72" s="138"/>
      <c r="BH72" s="138"/>
      <c r="BI72" s="138"/>
      <c r="BJ72" s="138"/>
      <c r="BK72" s="138"/>
      <c r="BL72" s="138"/>
      <c r="BM72" s="138"/>
      <c r="BN72" s="138"/>
      <c r="BO72" s="138"/>
      <c r="BP72" s="138"/>
      <c r="BQ72" s="138"/>
      <c r="BR72" s="138"/>
      <c r="BS72" s="138"/>
      <c r="BT72" s="138"/>
      <c r="BU72" s="138"/>
      <c r="BV72" s="138"/>
      <c r="BW72" s="138"/>
      <c r="BX72" s="138"/>
      <c r="BY72" s="138"/>
      <c r="BZ72" s="138"/>
      <c r="CA72" s="138"/>
      <c r="CB72" s="138"/>
      <c r="CC72" s="138"/>
      <c r="CD72" s="138"/>
      <c r="CE72" s="138"/>
      <c r="CF72" s="138"/>
      <c r="CG72" s="138"/>
      <c r="CH72" s="138"/>
      <c r="CI72" s="138"/>
      <c r="CJ72" s="138"/>
      <c r="CK72" s="138"/>
      <c r="CL72" s="138"/>
      <c r="CM72" s="138"/>
      <c r="CN72" s="138"/>
      <c r="CO72" s="138"/>
      <c r="CP72" s="138"/>
      <c r="CQ72" s="138"/>
      <c r="CR72" s="138"/>
      <c r="CS72" s="138"/>
      <c r="CT72" s="138"/>
      <c r="CU72" s="138"/>
      <c r="CV72" s="138"/>
      <c r="CW72" s="138"/>
      <c r="CX72" s="138"/>
      <c r="CY72" s="138"/>
      <c r="CZ72" s="138"/>
      <c r="DA72" s="138"/>
      <c r="DB72" s="138"/>
      <c r="DC72" s="138"/>
      <c r="DD72" s="138"/>
      <c r="DE72" s="138"/>
      <c r="DF72" s="138"/>
      <c r="DG72" s="138"/>
      <c r="DH72" s="138"/>
      <c r="DI72" s="138"/>
      <c r="DJ72" s="138"/>
      <c r="DK72" s="138"/>
      <c r="DL72" s="138"/>
      <c r="DM72" s="138"/>
      <c r="DN72" s="138"/>
    </row>
    <row r="73" spans="2:118">
      <c r="G73" s="29"/>
    </row>
    <row r="74" spans="2:118">
      <c r="E74" s="112"/>
      <c r="F74" s="112"/>
      <c r="G74" s="113" t="s">
        <v>248</v>
      </c>
      <c r="H74" s="114" t="s">
        <v>246</v>
      </c>
    </row>
    <row r="75" spans="2:118" ht="21">
      <c r="B75" s="115" t="s">
        <v>201</v>
      </c>
      <c r="G75" s="116">
        <f>SUM(G11:G72)</f>
        <v>3371985867309.9707</v>
      </c>
      <c r="H75" s="116">
        <f>SUM(H11:H72)</f>
        <v>3103616448269.8389</v>
      </c>
    </row>
    <row r="76" spans="2:118">
      <c r="B76" s="71" t="s">
        <v>306</v>
      </c>
      <c r="C76" s="139"/>
    </row>
    <row r="78" spans="2:118">
      <c r="B78" s="71" t="s">
        <v>307</v>
      </c>
      <c r="H78" s="194"/>
    </row>
    <row r="79" spans="2:118">
      <c r="C79" s="246" t="s">
        <v>613</v>
      </c>
      <c r="D79" s="245">
        <v>3408193382145.5454</v>
      </c>
      <c r="H79" s="195"/>
    </row>
    <row r="80" spans="2:118">
      <c r="C80" s="71" t="s">
        <v>612</v>
      </c>
      <c r="D80" s="25">
        <f>23301336897.4522+24081597.76+616601787+2721585+69850271</f>
        <v>24014592138.2122</v>
      </c>
    </row>
    <row r="81" spans="3:4">
      <c r="C81" s="71" t="s">
        <v>446</v>
      </c>
      <c r="D81" s="25">
        <f>4809582527.07472+4500070258.37789+17887000+261955000+2603427911.91</f>
        <v>12192922697.36261</v>
      </c>
    </row>
    <row r="82" spans="3:4">
      <c r="C82" s="246" t="s">
        <v>614</v>
      </c>
      <c r="D82" s="245">
        <f>+D79-D80-D81</f>
        <v>3371985867309.9702</v>
      </c>
    </row>
    <row r="123" spans="3:3">
      <c r="C123" s="71" t="str">
        <f>TRIM(C74)</f>
        <v/>
      </c>
    </row>
    <row r="124" spans="3:3">
      <c r="C124" s="71" t="str">
        <f>TRIM(C75)</f>
        <v/>
      </c>
    </row>
  </sheetData>
  <mergeCells count="9">
    <mergeCell ref="H9:DN9"/>
    <mergeCell ref="H8:DN8"/>
    <mergeCell ref="B3:D3"/>
    <mergeCell ref="B4:D4"/>
    <mergeCell ref="B2:D2"/>
    <mergeCell ref="B8:D8"/>
    <mergeCell ref="B9:D9"/>
    <mergeCell ref="E9:G9"/>
    <mergeCell ref="E8:G8"/>
  </mergeCells>
  <conditionalFormatting sqref="D13 D24:D30 D18:D22 D32:D47 D58:D62 D67:D71 D49:D51">
    <cfRule type="containsText" dxfId="17" priority="22" operator="containsText" text="Including;Not Applicable;Not included">
      <formula>NOT(ISERROR(SEARCH("Including;Not Applicable;Not included",D13)))</formula>
    </cfRule>
  </conditionalFormatting>
  <conditionalFormatting sqref="D23">
    <cfRule type="containsText" dxfId="16" priority="19" operator="containsText" text="Including;Not Applicable;Not included">
      <formula>NOT(ISERROR(SEARCH("Including;Not Applicable;Not included",D23)))</formula>
    </cfRule>
  </conditionalFormatting>
  <conditionalFormatting sqref="D14">
    <cfRule type="containsText" dxfId="15" priority="18" operator="containsText" text="Including;Not Applicable;Not included">
      <formula>NOT(ISERROR(SEARCH("Including;Not Applicable;Not included",D14)))</formula>
    </cfRule>
  </conditionalFormatting>
  <conditionalFormatting sqref="D31">
    <cfRule type="containsText" dxfId="14" priority="17" operator="containsText" text="Including;Not Applicable;Not included">
      <formula>NOT(ISERROR(SEARCH("Including;Not Applicable;Not included",D31)))</formula>
    </cfRule>
  </conditionalFormatting>
  <conditionalFormatting sqref="D52">
    <cfRule type="containsText" dxfId="13" priority="16" operator="containsText" text="Including;Not Applicable;Not included">
      <formula>NOT(ISERROR(SEARCH("Including;Not Applicable;Not included",D52)))</formula>
    </cfRule>
  </conditionalFormatting>
  <conditionalFormatting sqref="D53">
    <cfRule type="containsText" dxfId="12" priority="15" operator="containsText" text="Including;Not Applicable;Not included">
      <formula>NOT(ISERROR(SEARCH("Including;Not Applicable;Not included",D53)))</formula>
    </cfRule>
  </conditionalFormatting>
  <conditionalFormatting sqref="D54:D55">
    <cfRule type="containsText" dxfId="11" priority="12" operator="containsText" text="Including;Not Applicable;Not included">
      <formula>NOT(ISERROR(SEARCH("Including;Not Applicable;Not included",D54)))</formula>
    </cfRule>
  </conditionalFormatting>
  <conditionalFormatting sqref="D56">
    <cfRule type="containsText" dxfId="10" priority="11" operator="containsText" text="Including;Not Applicable;Not included">
      <formula>NOT(ISERROR(SEARCH("Including;Not Applicable;Not included",D56)))</formula>
    </cfRule>
  </conditionalFormatting>
  <conditionalFormatting sqref="D63">
    <cfRule type="containsText" dxfId="9" priority="10" operator="containsText" text="Including;Not Applicable;Not included">
      <formula>NOT(ISERROR(SEARCH("Including;Not Applicable;Not included",D63)))</formula>
    </cfRule>
  </conditionalFormatting>
  <conditionalFormatting sqref="D64">
    <cfRule type="containsText" dxfId="8" priority="9" operator="containsText" text="Including;Not Applicable;Not included">
      <formula>NOT(ISERROR(SEARCH("Including;Not Applicable;Not included",D64)))</formula>
    </cfRule>
  </conditionalFormatting>
  <conditionalFormatting sqref="D15">
    <cfRule type="containsText" dxfId="7" priority="8" operator="containsText" text="Including;Not Applicable;Not included">
      <formula>NOT(ISERROR(SEARCH("Including;Not Applicable;Not included",D15)))</formula>
    </cfRule>
  </conditionalFormatting>
  <conditionalFormatting sqref="D65">
    <cfRule type="containsText" dxfId="6" priority="7" operator="containsText" text="Including;Not Applicable;Not included">
      <formula>NOT(ISERROR(SEARCH("Including;Not Applicable;Not included",D65)))</formula>
    </cfRule>
  </conditionalFormatting>
  <conditionalFormatting sqref="D16">
    <cfRule type="containsText" dxfId="5" priority="6" operator="containsText" text="Including;Not Applicable;Not included">
      <formula>NOT(ISERROR(SEARCH("Including;Not Applicable;Not included",D16)))</formula>
    </cfRule>
  </conditionalFormatting>
  <conditionalFormatting sqref="D17">
    <cfRule type="containsText" dxfId="4" priority="5" operator="containsText" text="Including;Not Applicable;Not included">
      <formula>NOT(ISERROR(SEARCH("Including;Not Applicable;Not included",D17)))</formula>
    </cfRule>
  </conditionalFormatting>
  <conditionalFormatting sqref="D48">
    <cfRule type="containsText" dxfId="3" priority="4" operator="containsText" text="Including;Not Applicable;Not included">
      <formula>NOT(ISERROR(SEARCH("Including;Not Applicable;Not included",D48)))</formula>
    </cfRule>
  </conditionalFormatting>
  <conditionalFormatting sqref="D66">
    <cfRule type="containsText" dxfId="2" priority="3" operator="containsText" text="Including;Not Applicable;Not included">
      <formula>NOT(ISERROR(SEARCH("Including;Not Applicable;Not included",D66)))</formula>
    </cfRule>
  </conditionalFormatting>
  <conditionalFormatting sqref="D57">
    <cfRule type="containsText" dxfId="1" priority="1" operator="containsText" text="Including;Not Applicable;Not included">
      <formula>NOT(ISERROR(SEARCH("Including;Not Applicable;Not included",D57)))</formula>
    </cfRule>
  </conditionalFormatting>
  <dataValidations count="19">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6:D48 D26:D28 D22:D24 D37 D42:D44 D30:D34 D13:D20 D61:D68 D50:D59 D70:D71" xr:uid="{00000000-0002-0000-0300-000000000000}">
      <formula1>"Included and reconciled,Included not reconciled,Included partially reconciled,Not included,Not applicable,&lt;Choose option&gt;"</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T6:DN6" xr:uid="{00000000-0002-0000-0300-000001000000}">
      <formula1>"&lt;Choose sector&gt;,Oil,Gas,Mining,NA,Oil and Gas,Other"</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I6:S6 I4" xr:uid="{00000000-0002-0000-0300-000002000000}">
      <formula1>"&lt;Choose sector&gt;,Oil,Gas,Mining,NA,Oil &amp; Gas,Oil, Gas &amp; Mining,Other"</formula1>
    </dataValidation>
    <dataValidation type="textLength" allowBlank="1" showInputMessage="1" showErrorMessage="1" errorTitle="Non ISO currency code detected" error="Please revise according to description" promptTitle="Input currency for table B &amp; D" prompt="Input 3-letter ISO 4217 currency code:_x000a_If unsure, visit https://en.wikipedia.org/wiki/ISO_4217" sqref="G3" xr:uid="{00000000-0002-0000-0300-000003000000}">
      <formula1>3</formula1>
      <formula2>3</formula2>
    </dataValidation>
    <dataValidation allowBlank="1" showInputMessage="1" promptTitle="Identification #" prompt="Please input unique identification number, such as TIN, organisational number or similar" sqref="I5:DN5" xr:uid="{00000000-0002-0000-0300-000004000000}"/>
    <dataValidation allowBlank="1" showInputMessage="1" promptTitle="Company name" prompt="Input company name here_x000a__x000a_Please refrain from using acronyms, and input complete name" sqref="J4:DN4" xr:uid="{00000000-0002-0000-0300-000005000000}"/>
    <dataValidation type="decimal" operator="greaterThan" allowBlank="1" showErrorMessage="1" errorTitle="Non-numeric value detected" error="Only include numbers in this section._x000a__x000a_Other information or comments, please include under E. Notes" sqref="J11:J12 K11:DN72 I11:I72 J18:J72" xr:uid="{00000000-0002-0000-0300-000006000000}">
      <formula1>-1000000000000000000</formula1>
    </dataValidation>
    <dataValidation type="list" showDropDown="1" showErrorMessage="1" errorTitle="Editing attempt detected" error="Please do not edit these descriptions" sqref="G74:H74" xr:uid="{00000000-0002-0000-0300-000007000000}">
      <formula1>"#ERROR!"</formula1>
    </dataValidation>
    <dataValidation type="list" showDropDown="1" showInputMessage="1" showErrorMessage="1" errorTitle="Please do not edit these cells" error="Please do not edit these cells" sqref="B2:D10 E2:G2 H2:H7 E10:H10 D11:D12 D21 D25 D29 D35:D36 D38:D41 D45 D49 D60 D72 E8:DN9 D69" xr:uid="{00000000-0002-0000-0300-000008000000}">
      <formula1>"#ERROR!"</formula1>
    </dataValidation>
    <dataValidation type="list" showDropDown="1" showErrorMessage="1" errorTitle="Please do not edit these cells" error="Please do not edit these cells" sqref="E6:F7 G4" xr:uid="{00000000-0002-0000-0300-000009000000}">
      <formula1>"#ERROR!"</formula1>
    </dataValidation>
    <dataValidation type="decimal" operator="greaterThanOrEqual" allowBlank="1" showErrorMessage="1" errorTitle="Non-numeric value detected" error="Only include numbers in this section._x000a__x000a_Other information or comments, please include under E. Notes" sqref="J13:J17" xr:uid="{00000000-0002-0000-0300-00000A000000}">
      <formula1>-1000000000000000000</formula1>
    </dataValidation>
    <dataValidation type="custom" allowBlank="1" showInputMessage="1" promptTitle="Name of identifier" prompt="Please input name of identifier, such as &quot;Taxpayer Identification Number&quot; or similar." sqref="G5" xr:uid="{00000000-0002-0000-0300-00000B000000}">
      <formula1>IFERROR(OR(ISNUMBER(SEARCH("Example:",G5)),ISNUMBER(SEARCH("Example:",G5))),TRUE)</formula1>
    </dataValidation>
    <dataValidation allowBlank="1" showInputMessage="1" promptTitle="Name of register" prompt="Please input name of register or agency" sqref="G6" xr:uid="{00000000-0002-0000-0300-00000C000000}"/>
    <dataValidation allowBlank="1" showInputMessage="1" showErrorMessage="1" promptTitle="Registry URL" prompt="Please insert direct URL to the registry or agency" sqref="G7" xr:uid="{00000000-0002-0000-0300-00000D000000}"/>
    <dataValidation type="textLength" showInputMessage="1" showErrorMessage="1" errorTitle="Please insert commodities" error="Please insert the relevant commodities of the company here, separated by commas." promptTitle="Please insert commodities" prompt="Please insert the relevant commodities of the company here, separated by commas." sqref="I7:DN7" xr:uid="{00000000-0002-0000-0300-00000E000000}">
      <formula1>1</formula1>
      <formula2>30</formula2>
    </dataValidation>
    <dataValidation type="list" showDropDown="1" showErrorMessage="1" errorTitle="Editing attempt detected" error="Please do not edit GFS Codes or Descriptions." sqref="B71:B72 B11:B69 C11:C72" xr:uid="{00000000-0002-0000-0300-00000F000000}">
      <formula1>"#ERROR!"</formula1>
    </dataValidation>
    <dataValidation type="decimal" operator="greaterThan" allowBlank="1" showErrorMessage="1" errorTitle="Non-numeric value detected" error="Please only input numeric values" sqref="D80:D81 G11:G72" xr:uid="{00000000-0002-0000-0300-000010000000}">
      <formula1>0</formula1>
    </dataValidation>
    <dataValidation allowBlank="1" showInputMessage="1" promptTitle="Name of revenue stream" prompt="Please input the name of the revenue streams here._x000a__x000a_Only include revenue paid on behalf of companies. Do NOT include personal income taxes, PAYE, or other revenues paid on behalf of individuals. These may be included under E. Notes, below." sqref="E11:E12 E71:E72 E18:E69" xr:uid="{00000000-0002-0000-0300-000011000000}"/>
    <dataValidation allowBlank="1" showInputMessage="1" promptTitle="Receiving government agency" prompt="Input the name of the government recipient here._x000a__x000a_Please refrain from using acronyms, and input complete name" sqref="F11:F12 F71:F72 F18:F22 F24:F69" xr:uid="{00000000-0002-0000-0300-000012000000}"/>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BY57"/>
  <sheetViews>
    <sheetView showGridLines="0" zoomScale="55" zoomScaleNormal="55" zoomScalePageLayoutView="55" workbookViewId="0"/>
  </sheetViews>
  <sheetFormatPr baseColWidth="10" defaultColWidth="10.875" defaultRowHeight="15.75"/>
  <cols>
    <col min="1" max="1" width="3.625" style="71" customWidth="1"/>
    <col min="2" max="2" width="7.375" style="71" customWidth="1"/>
    <col min="3" max="3" width="77.625" style="71" customWidth="1"/>
    <col min="4" max="4" width="46.375" style="71" customWidth="1"/>
    <col min="5" max="5" width="50.875" style="71" customWidth="1"/>
    <col min="6" max="6" width="53.625" style="71" customWidth="1"/>
    <col min="7" max="7" width="50.125" style="71" customWidth="1"/>
    <col min="8" max="8" width="16.125" style="71" customWidth="1"/>
    <col min="9" max="9" width="11.5" style="71" bestFit="1" customWidth="1"/>
    <col min="10" max="10" width="15.125" style="71" bestFit="1" customWidth="1"/>
    <col min="11" max="11" width="11.5" style="71" bestFit="1" customWidth="1"/>
    <col min="12" max="13" width="11.5" style="71" customWidth="1"/>
    <col min="14" max="14" width="12.5" style="71" bestFit="1" customWidth="1"/>
    <col min="15" max="16384" width="10.875" style="71"/>
  </cols>
  <sheetData>
    <row r="1" spans="2:77" ht="15.95" customHeight="1"/>
    <row r="2" spans="2:77" ht="26.25">
      <c r="B2" s="72" t="s">
        <v>195</v>
      </c>
      <c r="G2" s="73" t="s">
        <v>250</v>
      </c>
      <c r="H2" s="74" t="s">
        <v>198</v>
      </c>
      <c r="I2" s="75"/>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7"/>
    </row>
    <row r="3" spans="2:77">
      <c r="B3" s="78" t="s">
        <v>215</v>
      </c>
      <c r="G3" s="79" t="s">
        <v>288</v>
      </c>
      <c r="H3" s="80" t="s">
        <v>203</v>
      </c>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2"/>
    </row>
    <row r="4" spans="2:77" ht="78.75">
      <c r="B4" s="83" t="s">
        <v>249</v>
      </c>
      <c r="H4" s="84" t="s">
        <v>79</v>
      </c>
      <c r="I4" s="85" t="s">
        <v>2</v>
      </c>
      <c r="J4" s="85" t="s">
        <v>3</v>
      </c>
      <c r="K4" s="85" t="s">
        <v>4</v>
      </c>
      <c r="L4" s="85" t="s">
        <v>12</v>
      </c>
      <c r="M4" s="85" t="s">
        <v>13</v>
      </c>
      <c r="N4" s="85" t="s">
        <v>14</v>
      </c>
      <c r="O4" s="85" t="s">
        <v>15</v>
      </c>
      <c r="P4" s="85" t="s">
        <v>16</v>
      </c>
      <c r="Q4" s="85" t="s">
        <v>17</v>
      </c>
      <c r="R4" s="85" t="s">
        <v>18</v>
      </c>
      <c r="S4" s="85" t="s">
        <v>19</v>
      </c>
      <c r="T4" s="85" t="s">
        <v>20</v>
      </c>
      <c r="U4" s="85" t="s">
        <v>21</v>
      </c>
      <c r="V4" s="85" t="s">
        <v>22</v>
      </c>
      <c r="W4" s="85" t="s">
        <v>23</v>
      </c>
      <c r="X4" s="85" t="s">
        <v>24</v>
      </c>
      <c r="Y4" s="85" t="s">
        <v>25</v>
      </c>
      <c r="Z4" s="85" t="s">
        <v>26</v>
      </c>
      <c r="AA4" s="85" t="s">
        <v>27</v>
      </c>
      <c r="AB4" s="85" t="s">
        <v>28</v>
      </c>
      <c r="AC4" s="85" t="s">
        <v>29</v>
      </c>
      <c r="AD4" s="85" t="s">
        <v>30</v>
      </c>
      <c r="AE4" s="85" t="s">
        <v>31</v>
      </c>
      <c r="AF4" s="85" t="s">
        <v>32</v>
      </c>
      <c r="AG4" s="85" t="s">
        <v>33</v>
      </c>
      <c r="AH4" s="85" t="s">
        <v>34</v>
      </c>
      <c r="AI4" s="85" t="s">
        <v>35</v>
      </c>
      <c r="AJ4" s="85" t="s">
        <v>36</v>
      </c>
      <c r="AK4" s="85" t="s">
        <v>37</v>
      </c>
      <c r="AL4" s="85" t="s">
        <v>38</v>
      </c>
      <c r="AM4" s="85" t="s">
        <v>39</v>
      </c>
      <c r="AN4" s="85" t="s">
        <v>40</v>
      </c>
      <c r="AO4" s="85" t="s">
        <v>41</v>
      </c>
      <c r="AP4" s="85" t="s">
        <v>42</v>
      </c>
      <c r="AQ4" s="85" t="s">
        <v>43</v>
      </c>
      <c r="AR4" s="85" t="s">
        <v>44</v>
      </c>
      <c r="AS4" s="85" t="s">
        <v>45</v>
      </c>
      <c r="AT4" s="85" t="s">
        <v>46</v>
      </c>
      <c r="AU4" s="85" t="s">
        <v>47</v>
      </c>
      <c r="AV4" s="85" t="s">
        <v>48</v>
      </c>
      <c r="AW4" s="85" t="s">
        <v>49</v>
      </c>
      <c r="AX4" s="85" t="s">
        <v>50</v>
      </c>
      <c r="AY4" s="85" t="s">
        <v>51</v>
      </c>
      <c r="AZ4" s="85" t="s">
        <v>52</v>
      </c>
      <c r="BA4" s="85" t="s">
        <v>53</v>
      </c>
      <c r="BB4" s="85" t="s">
        <v>54</v>
      </c>
      <c r="BC4" s="85" t="s">
        <v>55</v>
      </c>
      <c r="BD4" s="85" t="s">
        <v>56</v>
      </c>
      <c r="BE4" s="85" t="s">
        <v>57</v>
      </c>
      <c r="BF4" s="85" t="s">
        <v>58</v>
      </c>
      <c r="BG4" s="85" t="s">
        <v>59</v>
      </c>
      <c r="BH4" s="85" t="s">
        <v>60</v>
      </c>
      <c r="BI4" s="85" t="s">
        <v>61</v>
      </c>
      <c r="BJ4" s="85" t="s">
        <v>62</v>
      </c>
      <c r="BK4" s="85" t="s">
        <v>63</v>
      </c>
      <c r="BL4" s="85" t="s">
        <v>64</v>
      </c>
      <c r="BM4" s="85" t="s">
        <v>65</v>
      </c>
      <c r="BN4" s="85" t="s">
        <v>66</v>
      </c>
      <c r="BO4" s="85" t="s">
        <v>67</v>
      </c>
      <c r="BP4" s="85" t="s">
        <v>68</v>
      </c>
      <c r="BQ4" s="85" t="s">
        <v>69</v>
      </c>
      <c r="BR4" s="85" t="s">
        <v>70</v>
      </c>
      <c r="BS4" s="85" t="s">
        <v>71</v>
      </c>
      <c r="BT4" s="85" t="s">
        <v>72</v>
      </c>
      <c r="BU4" s="85" t="s">
        <v>73</v>
      </c>
      <c r="BV4" s="85" t="s">
        <v>74</v>
      </c>
      <c r="BW4" s="85" t="s">
        <v>75</v>
      </c>
      <c r="BX4" s="85" t="s">
        <v>76</v>
      </c>
      <c r="BY4" s="86" t="s">
        <v>77</v>
      </c>
    </row>
    <row r="5" spans="2:77">
      <c r="B5" s="83"/>
      <c r="H5" s="87" t="s">
        <v>80</v>
      </c>
      <c r="I5" s="88">
        <v>891083092</v>
      </c>
      <c r="J5" s="88">
        <v>914807077</v>
      </c>
      <c r="K5" s="88">
        <v>989490168</v>
      </c>
      <c r="L5" s="89"/>
      <c r="M5" s="89"/>
      <c r="N5" s="90"/>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91"/>
    </row>
    <row r="6" spans="2:77">
      <c r="H6" s="92" t="s">
        <v>1</v>
      </c>
      <c r="I6" s="93" t="s">
        <v>10</v>
      </c>
      <c r="J6" s="93" t="s">
        <v>10</v>
      </c>
      <c r="K6" s="93" t="s">
        <v>10</v>
      </c>
      <c r="L6" s="93" t="s">
        <v>10</v>
      </c>
      <c r="M6" s="93" t="s">
        <v>10</v>
      </c>
      <c r="N6" s="93" t="s">
        <v>10</v>
      </c>
      <c r="O6" s="93" t="s">
        <v>10</v>
      </c>
      <c r="P6" s="93" t="s">
        <v>10</v>
      </c>
      <c r="Q6" s="93" t="s">
        <v>10</v>
      </c>
      <c r="R6" s="93" t="s">
        <v>10</v>
      </c>
      <c r="S6" s="93" t="s">
        <v>10</v>
      </c>
      <c r="T6" s="93" t="s">
        <v>10</v>
      </c>
      <c r="U6" s="93" t="s">
        <v>10</v>
      </c>
      <c r="V6" s="93" t="s">
        <v>10</v>
      </c>
      <c r="W6" s="93" t="s">
        <v>10</v>
      </c>
      <c r="X6" s="93" t="s">
        <v>10</v>
      </c>
      <c r="Y6" s="93" t="s">
        <v>10</v>
      </c>
      <c r="Z6" s="93" t="s">
        <v>10</v>
      </c>
      <c r="AA6" s="93" t="s">
        <v>10</v>
      </c>
      <c r="AB6" s="93" t="s">
        <v>10</v>
      </c>
      <c r="AC6" s="93" t="s">
        <v>10</v>
      </c>
      <c r="AD6" s="93" t="s">
        <v>10</v>
      </c>
      <c r="AE6" s="93" t="s">
        <v>10</v>
      </c>
      <c r="AF6" s="93" t="s">
        <v>10</v>
      </c>
      <c r="AG6" s="93" t="s">
        <v>10</v>
      </c>
      <c r="AH6" s="93" t="s">
        <v>10</v>
      </c>
      <c r="AI6" s="93" t="s">
        <v>10</v>
      </c>
      <c r="AJ6" s="93" t="s">
        <v>10</v>
      </c>
      <c r="AK6" s="93" t="s">
        <v>10</v>
      </c>
      <c r="AL6" s="93" t="s">
        <v>10</v>
      </c>
      <c r="AM6" s="93" t="s">
        <v>10</v>
      </c>
      <c r="AN6" s="93" t="s">
        <v>10</v>
      </c>
      <c r="AO6" s="93" t="s">
        <v>10</v>
      </c>
      <c r="AP6" s="93" t="s">
        <v>10</v>
      </c>
      <c r="AQ6" s="93" t="s">
        <v>10</v>
      </c>
      <c r="AR6" s="93" t="s">
        <v>10</v>
      </c>
      <c r="AS6" s="93" t="s">
        <v>10</v>
      </c>
      <c r="AT6" s="93" t="s">
        <v>10</v>
      </c>
      <c r="AU6" s="93" t="s">
        <v>10</v>
      </c>
      <c r="AV6" s="93" t="s">
        <v>10</v>
      </c>
      <c r="AW6" s="93" t="s">
        <v>10</v>
      </c>
      <c r="AX6" s="93" t="s">
        <v>10</v>
      </c>
      <c r="AY6" s="93" t="s">
        <v>10</v>
      </c>
      <c r="AZ6" s="93" t="s">
        <v>10</v>
      </c>
      <c r="BA6" s="93" t="s">
        <v>10</v>
      </c>
      <c r="BB6" s="93" t="s">
        <v>10</v>
      </c>
      <c r="BC6" s="93" t="s">
        <v>10</v>
      </c>
      <c r="BD6" s="93" t="s">
        <v>10</v>
      </c>
      <c r="BE6" s="93" t="s">
        <v>10</v>
      </c>
      <c r="BF6" s="93" t="s">
        <v>10</v>
      </c>
      <c r="BG6" s="93" t="s">
        <v>10</v>
      </c>
      <c r="BH6" s="93" t="s">
        <v>10</v>
      </c>
      <c r="BI6" s="93" t="s">
        <v>10</v>
      </c>
      <c r="BJ6" s="93" t="s">
        <v>10</v>
      </c>
      <c r="BK6" s="93" t="s">
        <v>10</v>
      </c>
      <c r="BL6" s="93" t="s">
        <v>10</v>
      </c>
      <c r="BM6" s="93" t="s">
        <v>10</v>
      </c>
      <c r="BN6" s="93" t="s">
        <v>10</v>
      </c>
      <c r="BO6" s="93" t="s">
        <v>10</v>
      </c>
      <c r="BP6" s="93" t="s">
        <v>10</v>
      </c>
      <c r="BQ6" s="93" t="s">
        <v>10</v>
      </c>
      <c r="BR6" s="93" t="s">
        <v>10</v>
      </c>
      <c r="BS6" s="93" t="s">
        <v>10</v>
      </c>
      <c r="BT6" s="93" t="s">
        <v>10</v>
      </c>
      <c r="BU6" s="93" t="s">
        <v>10</v>
      </c>
      <c r="BV6" s="93" t="s">
        <v>10</v>
      </c>
      <c r="BW6" s="93" t="s">
        <v>10</v>
      </c>
      <c r="BX6" s="93" t="s">
        <v>10</v>
      </c>
      <c r="BY6" s="94" t="s">
        <v>10</v>
      </c>
    </row>
    <row r="7" spans="2:77" ht="62.1" customHeight="1">
      <c r="B7" s="74" t="s">
        <v>197</v>
      </c>
      <c r="C7" s="76"/>
      <c r="D7" s="76"/>
      <c r="E7" s="242" t="s">
        <v>264</v>
      </c>
      <c r="F7" s="243"/>
      <c r="G7" s="244"/>
      <c r="H7" s="241" t="s">
        <v>251</v>
      </c>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226"/>
      <c r="BG7" s="226"/>
      <c r="BH7" s="226"/>
      <c r="BI7" s="226"/>
      <c r="BJ7" s="226"/>
      <c r="BK7" s="226"/>
      <c r="BL7" s="226"/>
      <c r="BM7" s="226"/>
      <c r="BN7" s="226"/>
      <c r="BO7" s="226"/>
      <c r="BP7" s="226"/>
      <c r="BQ7" s="226"/>
      <c r="BR7" s="226"/>
      <c r="BS7" s="226"/>
      <c r="BT7" s="226"/>
      <c r="BU7" s="226"/>
      <c r="BV7" s="226"/>
      <c r="BW7" s="226"/>
      <c r="BX7" s="226"/>
      <c r="BY7" s="226"/>
    </row>
    <row r="8" spans="2:77" ht="57.75" customHeight="1">
      <c r="B8" s="233" t="s">
        <v>206</v>
      </c>
      <c r="C8" s="239"/>
      <c r="D8" s="240"/>
      <c r="E8" s="233" t="s">
        <v>252</v>
      </c>
      <c r="F8" s="239"/>
      <c r="G8" s="240"/>
      <c r="H8" s="223" t="s">
        <v>207</v>
      </c>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197"/>
      <c r="BY8" s="197"/>
    </row>
    <row r="9" spans="2:77">
      <c r="B9" s="95" t="s">
        <v>194</v>
      </c>
      <c r="C9" s="96"/>
      <c r="D9" s="13" t="s">
        <v>111</v>
      </c>
      <c r="E9" s="14" t="s">
        <v>11</v>
      </c>
      <c r="F9" s="13" t="s">
        <v>239</v>
      </c>
      <c r="G9" s="13" t="s">
        <v>247</v>
      </c>
      <c r="H9" s="97" t="s">
        <v>78</v>
      </c>
      <c r="I9" s="98">
        <f t="shared" ref="I9:N9" si="0">SUM(I11:I54)</f>
        <v>-22762</v>
      </c>
      <c r="J9" s="98">
        <f t="shared" si="0"/>
        <v>10341612</v>
      </c>
      <c r="K9" s="98">
        <f t="shared" si="0"/>
        <v>-18710</v>
      </c>
      <c r="L9" s="98">
        <f t="shared" si="0"/>
        <v>4779</v>
      </c>
      <c r="M9" s="98">
        <f t="shared" si="0"/>
        <v>-589625</v>
      </c>
      <c r="N9" s="98">
        <f t="shared" si="0"/>
        <v>33305</v>
      </c>
      <c r="O9" s="98">
        <f t="shared" ref="O9:BY9" si="1">SUM(O11:O54)</f>
        <v>-38891</v>
      </c>
      <c r="P9" s="98">
        <f t="shared" si="1"/>
        <v>-47810</v>
      </c>
      <c r="Q9" s="98">
        <f t="shared" si="1"/>
        <v>1852737</v>
      </c>
      <c r="R9" s="98">
        <f t="shared" si="1"/>
        <v>187192.58</v>
      </c>
      <c r="S9" s="98">
        <f t="shared" si="1"/>
        <v>-122270.41</v>
      </c>
      <c r="T9" s="98">
        <f t="shared" si="1"/>
        <v>15436034</v>
      </c>
      <c r="U9" s="98">
        <f t="shared" si="1"/>
        <v>176068</v>
      </c>
      <c r="V9" s="98">
        <f t="shared" si="1"/>
        <v>-77620</v>
      </c>
      <c r="W9" s="98">
        <f t="shared" si="1"/>
        <v>-1429916.44</v>
      </c>
      <c r="X9" s="98">
        <f t="shared" si="1"/>
        <v>2642755</v>
      </c>
      <c r="Y9" s="98">
        <f t="shared" si="1"/>
        <v>-7985</v>
      </c>
      <c r="Z9" s="98">
        <f t="shared" si="1"/>
        <v>-365272</v>
      </c>
      <c r="AA9" s="98">
        <f t="shared" si="1"/>
        <v>-137362</v>
      </c>
      <c r="AB9" s="98">
        <f t="shared" si="1"/>
        <v>9264035</v>
      </c>
      <c r="AC9" s="98">
        <f t="shared" si="1"/>
        <v>0</v>
      </c>
      <c r="AD9" s="98">
        <f t="shared" si="1"/>
        <v>1179842</v>
      </c>
      <c r="AE9" s="98">
        <f t="shared" si="1"/>
        <v>-14519</v>
      </c>
      <c r="AF9" s="98">
        <f t="shared" si="1"/>
        <v>32517725</v>
      </c>
      <c r="AG9" s="98">
        <f t="shared" si="1"/>
        <v>157583</v>
      </c>
      <c r="AH9" s="98">
        <f t="shared" si="1"/>
        <v>-84686</v>
      </c>
      <c r="AI9" s="98">
        <f t="shared" si="1"/>
        <v>-379675</v>
      </c>
      <c r="AJ9" s="98">
        <f t="shared" si="1"/>
        <v>2707073</v>
      </c>
      <c r="AK9" s="98">
        <f t="shared" si="1"/>
        <v>-12791</v>
      </c>
      <c r="AL9" s="98">
        <f t="shared" si="1"/>
        <v>1437624</v>
      </c>
      <c r="AM9" s="98">
        <f t="shared" si="1"/>
        <v>487678</v>
      </c>
      <c r="AN9" s="98">
        <f t="shared" si="1"/>
        <v>-50878</v>
      </c>
      <c r="AO9" s="98">
        <f t="shared" si="1"/>
        <v>0</v>
      </c>
      <c r="AP9" s="98">
        <f t="shared" si="1"/>
        <v>2323280</v>
      </c>
      <c r="AQ9" s="98">
        <f t="shared" si="1"/>
        <v>-707208</v>
      </c>
      <c r="AR9" s="98">
        <f t="shared" si="1"/>
        <v>13689053</v>
      </c>
      <c r="AS9" s="98">
        <f t="shared" si="1"/>
        <v>-268927</v>
      </c>
      <c r="AT9" s="98">
        <f t="shared" si="1"/>
        <v>569316.17000000004</v>
      </c>
      <c r="AU9" s="98">
        <f t="shared" si="1"/>
        <v>2</v>
      </c>
      <c r="AV9" s="98">
        <f t="shared" si="1"/>
        <v>311</v>
      </c>
      <c r="AW9" s="98">
        <f t="shared" si="1"/>
        <v>228751</v>
      </c>
      <c r="AX9" s="98">
        <f t="shared" si="1"/>
        <v>-26715</v>
      </c>
      <c r="AY9" s="98">
        <f t="shared" si="1"/>
        <v>-539013</v>
      </c>
      <c r="AZ9" s="98">
        <f t="shared" si="1"/>
        <v>-524337</v>
      </c>
      <c r="BA9" s="98">
        <f t="shared" si="1"/>
        <v>-646001</v>
      </c>
      <c r="BB9" s="98">
        <f t="shared" si="1"/>
        <v>146929996</v>
      </c>
      <c r="BC9" s="98">
        <f t="shared" si="1"/>
        <v>-11919</v>
      </c>
      <c r="BD9" s="98">
        <f t="shared" si="1"/>
        <v>-230237</v>
      </c>
      <c r="BE9" s="98">
        <f t="shared" si="1"/>
        <v>-328388</v>
      </c>
      <c r="BF9" s="98">
        <f t="shared" si="1"/>
        <v>4854</v>
      </c>
      <c r="BG9" s="98">
        <f t="shared" si="1"/>
        <v>-229425</v>
      </c>
      <c r="BH9" s="98">
        <f t="shared" si="1"/>
        <v>0</v>
      </c>
      <c r="BI9" s="98">
        <f t="shared" si="1"/>
        <v>-518272.41</v>
      </c>
      <c r="BJ9" s="98">
        <f t="shared" si="1"/>
        <v>916705.57</v>
      </c>
      <c r="BK9" s="98">
        <f t="shared" si="1"/>
        <v>869556</v>
      </c>
      <c r="BL9" s="98">
        <f t="shared" si="1"/>
        <v>-113336</v>
      </c>
      <c r="BM9" s="98">
        <f t="shared" si="1"/>
        <v>-156575.28</v>
      </c>
      <c r="BN9" s="98">
        <f t="shared" si="1"/>
        <v>3097146</v>
      </c>
      <c r="BO9" s="98">
        <f t="shared" si="1"/>
        <v>128248457</v>
      </c>
      <c r="BP9" s="98">
        <f t="shared" si="1"/>
        <v>-13773</v>
      </c>
      <c r="BQ9" s="98">
        <f t="shared" si="1"/>
        <v>-354802</v>
      </c>
      <c r="BR9" s="98">
        <f t="shared" si="1"/>
        <v>-191267</v>
      </c>
      <c r="BS9" s="98">
        <f t="shared" si="1"/>
        <v>403140</v>
      </c>
      <c r="BT9" s="98">
        <f t="shared" si="1"/>
        <v>27646632</v>
      </c>
      <c r="BU9" s="98">
        <f t="shared" si="1"/>
        <v>-79993</v>
      </c>
      <c r="BV9" s="98">
        <f t="shared" si="1"/>
        <v>-464900</v>
      </c>
      <c r="BW9" s="98">
        <f t="shared" si="1"/>
        <v>-108028</v>
      </c>
      <c r="BX9" s="98">
        <f t="shared" si="1"/>
        <v>-252258.15000000002</v>
      </c>
      <c r="BY9" s="98">
        <f t="shared" si="1"/>
        <v>-662887</v>
      </c>
    </row>
    <row r="10" spans="2:77">
      <c r="B10" s="99" t="s">
        <v>118</v>
      </c>
      <c r="C10" s="100" t="s">
        <v>119</v>
      </c>
      <c r="D10" s="3"/>
      <c r="E10" s="16"/>
      <c r="F10" s="24"/>
      <c r="G10" s="25"/>
      <c r="H10" s="15">
        <f t="shared" ref="H10:H53" si="2">SUM(I10:BY10)</f>
        <v>0</v>
      </c>
    </row>
    <row r="11" spans="2:77">
      <c r="B11" s="101" t="s">
        <v>120</v>
      </c>
      <c r="C11" s="102" t="s">
        <v>121</v>
      </c>
      <c r="D11" s="2"/>
      <c r="E11" s="16"/>
      <c r="F11" s="21"/>
      <c r="G11" s="25"/>
      <c r="H11" s="15">
        <f t="shared" si="2"/>
        <v>0</v>
      </c>
    </row>
    <row r="12" spans="2:77">
      <c r="B12" s="103" t="s">
        <v>122</v>
      </c>
      <c r="C12" s="1" t="s">
        <v>123</v>
      </c>
      <c r="D12" s="12" t="s">
        <v>7</v>
      </c>
      <c r="E12" s="16" t="s">
        <v>293</v>
      </c>
      <c r="F12" s="21" t="s">
        <v>240</v>
      </c>
      <c r="G12" s="25"/>
      <c r="H12" s="15">
        <f t="shared" si="2"/>
        <v>0</v>
      </c>
    </row>
    <row r="13" spans="2:77">
      <c r="B13" s="103" t="s">
        <v>124</v>
      </c>
      <c r="C13" s="1" t="s">
        <v>125</v>
      </c>
      <c r="D13" s="12" t="s">
        <v>7</v>
      </c>
      <c r="E13" s="16" t="s">
        <v>294</v>
      </c>
      <c r="F13" s="21" t="s">
        <v>240</v>
      </c>
      <c r="G13" s="25">
        <v>228670845.63</v>
      </c>
      <c r="H13" s="15">
        <f>SUM(I13:BY13)</f>
        <v>228670845.63</v>
      </c>
      <c r="I13" s="71">
        <v>-22762</v>
      </c>
      <c r="J13" s="71">
        <v>10281480</v>
      </c>
      <c r="K13" s="71">
        <v>-18710</v>
      </c>
      <c r="L13" s="71">
        <v>4779</v>
      </c>
      <c r="M13" s="71">
        <v>-652825</v>
      </c>
      <c r="N13" s="71">
        <v>-101407</v>
      </c>
      <c r="O13" s="71">
        <v>-38891</v>
      </c>
      <c r="P13" s="71">
        <v>-47810</v>
      </c>
      <c r="Q13" s="71">
        <v>1786015</v>
      </c>
      <c r="R13" s="71">
        <v>187192.58</v>
      </c>
      <c r="S13" s="71">
        <v>-122270.41</v>
      </c>
      <c r="T13" s="71">
        <v>15145455</v>
      </c>
      <c r="U13" s="71">
        <v>176068</v>
      </c>
      <c r="V13" s="71">
        <v>-77620</v>
      </c>
      <c r="W13" s="71">
        <v>-1467636.44</v>
      </c>
      <c r="X13" s="71">
        <v>2625595</v>
      </c>
      <c r="Y13" s="71">
        <v>-7985</v>
      </c>
      <c r="Z13" s="71">
        <v>-370914</v>
      </c>
      <c r="AA13" s="71">
        <v>-137362</v>
      </c>
      <c r="AB13" s="71">
        <v>9212315</v>
      </c>
      <c r="AC13" s="71">
        <v>0</v>
      </c>
      <c r="AD13" s="71">
        <v>1179842</v>
      </c>
      <c r="AE13" s="71">
        <v>-14519</v>
      </c>
      <c r="AF13" s="71">
        <v>32463676</v>
      </c>
      <c r="AG13" s="71">
        <v>157583</v>
      </c>
      <c r="AH13" s="71">
        <v>-84686</v>
      </c>
      <c r="AI13" s="71">
        <v>-379675</v>
      </c>
      <c r="AJ13" s="71">
        <v>2677933</v>
      </c>
      <c r="AK13" s="71">
        <v>-10391</v>
      </c>
      <c r="AL13" s="71">
        <v>1437624</v>
      </c>
      <c r="AM13" s="71">
        <v>487678</v>
      </c>
      <c r="AN13" s="71">
        <v>-50878</v>
      </c>
      <c r="AO13" s="71">
        <v>0</v>
      </c>
      <c r="AP13" s="71">
        <v>2247582</v>
      </c>
      <c r="AQ13" s="71">
        <v>-707103</v>
      </c>
      <c r="AR13" s="71">
        <v>13617787</v>
      </c>
      <c r="AS13" s="71">
        <v>-268927</v>
      </c>
      <c r="AT13" s="71">
        <v>569316.17000000004</v>
      </c>
      <c r="AU13" s="71">
        <v>2</v>
      </c>
      <c r="AV13" s="71">
        <v>311</v>
      </c>
      <c r="AW13" s="71">
        <v>228751</v>
      </c>
      <c r="AX13" s="71">
        <v>-26715</v>
      </c>
      <c r="AY13" s="71">
        <v>-540156</v>
      </c>
      <c r="AZ13" s="71">
        <v>-524337</v>
      </c>
      <c r="BA13" s="71">
        <v>-646001</v>
      </c>
      <c r="BB13" s="71">
        <v>0</v>
      </c>
      <c r="BC13" s="71">
        <v>-11919</v>
      </c>
      <c r="BD13" s="71">
        <v>-230237</v>
      </c>
      <c r="BE13" s="71">
        <v>-328641</v>
      </c>
      <c r="BF13" s="71">
        <v>4854</v>
      </c>
      <c r="BG13" s="71">
        <v>-229425</v>
      </c>
      <c r="BH13" s="71">
        <v>0</v>
      </c>
      <c r="BI13" s="71">
        <v>-518272.41</v>
      </c>
      <c r="BJ13" s="71">
        <v>809615.57</v>
      </c>
      <c r="BK13" s="71">
        <v>869556</v>
      </c>
      <c r="BL13" s="71">
        <v>-113336</v>
      </c>
      <c r="BM13" s="71">
        <v>-156575.28</v>
      </c>
      <c r="BN13" s="71">
        <v>3097146</v>
      </c>
      <c r="BO13" s="71">
        <v>111686465</v>
      </c>
      <c r="BP13" s="71">
        <v>-13773</v>
      </c>
      <c r="BQ13" s="71">
        <v>-410584</v>
      </c>
      <c r="BR13" s="71">
        <v>-191267</v>
      </c>
      <c r="BS13" s="71">
        <v>321288</v>
      </c>
      <c r="BT13" s="71">
        <v>27570912</v>
      </c>
      <c r="BU13" s="71">
        <v>-79993</v>
      </c>
      <c r="BV13" s="71">
        <v>-464900</v>
      </c>
      <c r="BW13" s="71">
        <v>-108028</v>
      </c>
      <c r="BX13" s="71">
        <v>-281178.15000000002</v>
      </c>
      <c r="BY13" s="71">
        <v>-718266</v>
      </c>
    </row>
    <row r="14" spans="2:77">
      <c r="B14" s="103" t="s">
        <v>126</v>
      </c>
      <c r="C14" s="1" t="s">
        <v>127</v>
      </c>
      <c r="D14" s="12" t="s">
        <v>5</v>
      </c>
      <c r="E14" s="16"/>
      <c r="F14" s="21"/>
      <c r="G14" s="25"/>
      <c r="H14" s="15">
        <f t="shared" si="2"/>
        <v>0</v>
      </c>
    </row>
    <row r="15" spans="2:77">
      <c r="B15" s="103" t="s">
        <v>128</v>
      </c>
      <c r="C15" s="1" t="s">
        <v>129</v>
      </c>
      <c r="D15" s="12" t="s">
        <v>6</v>
      </c>
      <c r="E15" s="16"/>
      <c r="F15" s="21"/>
      <c r="G15" s="25"/>
      <c r="H15" s="15">
        <f t="shared" si="2"/>
        <v>0</v>
      </c>
    </row>
    <row r="16" spans="2:77">
      <c r="B16" s="104" t="s">
        <v>130</v>
      </c>
      <c r="C16" s="102" t="s">
        <v>131</v>
      </c>
      <c r="D16" s="2"/>
      <c r="E16" s="16"/>
      <c r="F16" s="21"/>
      <c r="G16" s="25"/>
      <c r="H16" s="15">
        <f t="shared" si="2"/>
        <v>0</v>
      </c>
    </row>
    <row r="17" spans="2:77">
      <c r="B17" s="103" t="s">
        <v>132</v>
      </c>
      <c r="C17" s="1" t="s">
        <v>133</v>
      </c>
      <c r="D17" s="12" t="s">
        <v>6</v>
      </c>
      <c r="E17" s="16"/>
      <c r="F17" s="21"/>
      <c r="G17" s="25"/>
      <c r="H17" s="15">
        <f t="shared" si="2"/>
        <v>0</v>
      </c>
    </row>
    <row r="18" spans="2:77">
      <c r="B18" s="103" t="s">
        <v>134</v>
      </c>
      <c r="C18" s="1" t="s">
        <v>135</v>
      </c>
      <c r="D18" s="12" t="s">
        <v>6</v>
      </c>
      <c r="E18" s="16"/>
      <c r="F18" s="21"/>
      <c r="G18" s="25"/>
      <c r="H18" s="15">
        <f t="shared" si="2"/>
        <v>0</v>
      </c>
    </row>
    <row r="19" spans="2:77">
      <c r="B19" s="103" t="s">
        <v>136</v>
      </c>
      <c r="C19" s="1" t="s">
        <v>137</v>
      </c>
      <c r="D19" s="12" t="s">
        <v>6</v>
      </c>
      <c r="E19" s="16"/>
      <c r="F19" s="21"/>
      <c r="G19" s="25"/>
      <c r="H19" s="15">
        <f t="shared" si="2"/>
        <v>0</v>
      </c>
    </row>
    <row r="20" spans="2:77">
      <c r="B20" s="104" t="s">
        <v>138</v>
      </c>
      <c r="C20" s="102" t="s">
        <v>139</v>
      </c>
      <c r="D20" s="3"/>
      <c r="E20" s="16"/>
      <c r="F20" s="21"/>
      <c r="G20" s="25"/>
      <c r="H20" s="15">
        <f t="shared" si="2"/>
        <v>0</v>
      </c>
    </row>
    <row r="21" spans="2:77">
      <c r="B21" s="103" t="s">
        <v>140</v>
      </c>
      <c r="C21" s="1" t="s">
        <v>141</v>
      </c>
      <c r="D21" s="12" t="s">
        <v>7</v>
      </c>
      <c r="E21" s="16" t="s">
        <v>245</v>
      </c>
      <c r="F21" s="21" t="s">
        <v>241</v>
      </c>
      <c r="G21" s="25">
        <v>1781115</v>
      </c>
      <c r="H21" s="15">
        <f t="shared" si="2"/>
        <v>1781115</v>
      </c>
      <c r="J21" s="71">
        <v>34860</v>
      </c>
      <c r="M21" s="71">
        <v>61499</v>
      </c>
      <c r="N21" s="71">
        <v>62064</v>
      </c>
      <c r="Q21" s="71">
        <v>66722</v>
      </c>
      <c r="T21" s="71">
        <v>63687</v>
      </c>
      <c r="W21" s="71">
        <v>37720</v>
      </c>
      <c r="X21" s="71">
        <v>17160</v>
      </c>
      <c r="Z21" s="71">
        <v>5642</v>
      </c>
      <c r="AB21" s="71">
        <v>51720</v>
      </c>
      <c r="AF21" s="71">
        <v>8720</v>
      </c>
      <c r="AJ21" s="71">
        <v>9240</v>
      </c>
      <c r="AK21" s="71">
        <v>-2400</v>
      </c>
      <c r="AP21" s="71">
        <v>75698</v>
      </c>
      <c r="AQ21" s="71">
        <v>-1740</v>
      </c>
      <c r="AR21" s="71">
        <v>36546</v>
      </c>
      <c r="BJ21" s="71">
        <v>107090</v>
      </c>
      <c r="BO21" s="71">
        <v>877497</v>
      </c>
      <c r="BQ21" s="71">
        <v>55782</v>
      </c>
      <c r="BS21" s="71">
        <v>59874</v>
      </c>
      <c r="BT21" s="71">
        <v>75720</v>
      </c>
      <c r="BX21" s="71">
        <v>28920</v>
      </c>
      <c r="BY21" s="71">
        <v>49094</v>
      </c>
    </row>
    <row r="22" spans="2:77">
      <c r="B22" s="103" t="s">
        <v>142</v>
      </c>
      <c r="C22" s="1" t="s">
        <v>143</v>
      </c>
      <c r="D22" s="12" t="s">
        <v>7</v>
      </c>
      <c r="E22" s="16" t="s">
        <v>244</v>
      </c>
      <c r="F22" s="21" t="s">
        <v>241</v>
      </c>
      <c r="G22" s="25">
        <v>2251322</v>
      </c>
      <c r="H22" s="15">
        <f t="shared" si="2"/>
        <v>2251322</v>
      </c>
      <c r="I22" s="105"/>
      <c r="J22" s="105">
        <v>26460</v>
      </c>
      <c r="K22" s="105"/>
      <c r="L22" s="105"/>
      <c r="M22" s="105"/>
      <c r="N22" s="105">
        <v>72648</v>
      </c>
      <c r="O22" s="105"/>
      <c r="P22" s="105"/>
      <c r="Q22" s="105"/>
      <c r="R22" s="105"/>
      <c r="S22" s="105"/>
      <c r="T22" s="105">
        <v>226892</v>
      </c>
      <c r="U22" s="105"/>
      <c r="V22" s="105"/>
      <c r="W22" s="105"/>
      <c r="X22" s="105"/>
      <c r="Y22" s="105"/>
      <c r="Z22" s="105"/>
      <c r="AA22" s="105"/>
      <c r="AB22" s="105"/>
      <c r="AC22" s="105"/>
      <c r="AD22" s="105"/>
      <c r="AE22" s="105"/>
      <c r="AF22" s="105">
        <v>45329</v>
      </c>
      <c r="AG22" s="105"/>
      <c r="AH22" s="105"/>
      <c r="AI22" s="105"/>
      <c r="AJ22" s="105">
        <v>19900</v>
      </c>
      <c r="AK22" s="105"/>
      <c r="AL22" s="105"/>
      <c r="AM22" s="105"/>
      <c r="AN22" s="105"/>
      <c r="AO22" s="105"/>
      <c r="AP22" s="105"/>
      <c r="AQ22" s="105"/>
      <c r="AR22" s="105">
        <v>34720</v>
      </c>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v>1797495</v>
      </c>
      <c r="BP22" s="105"/>
      <c r="BQ22" s="105"/>
      <c r="BR22" s="105"/>
      <c r="BS22" s="105">
        <v>21978</v>
      </c>
      <c r="BT22" s="105"/>
      <c r="BU22" s="105"/>
      <c r="BV22" s="105"/>
      <c r="BW22" s="105"/>
      <c r="BX22" s="105"/>
      <c r="BY22" s="105">
        <v>5900</v>
      </c>
    </row>
    <row r="23" spans="2:77">
      <c r="B23" s="103" t="s">
        <v>142</v>
      </c>
      <c r="C23" s="1" t="s">
        <v>143</v>
      </c>
      <c r="D23" s="12" t="s">
        <v>7</v>
      </c>
      <c r="E23" s="16" t="s">
        <v>243</v>
      </c>
      <c r="F23" s="1" t="s">
        <v>242</v>
      </c>
      <c r="G23" s="26">
        <v>3929</v>
      </c>
      <c r="H23" s="15">
        <f t="shared" si="2"/>
        <v>3929</v>
      </c>
      <c r="I23" s="105"/>
      <c r="J23" s="105">
        <v>-1188</v>
      </c>
      <c r="K23" s="105"/>
      <c r="L23" s="105"/>
      <c r="M23" s="105">
        <v>1701</v>
      </c>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v>1635</v>
      </c>
      <c r="AR23" s="105"/>
      <c r="AS23" s="105"/>
      <c r="AT23" s="105"/>
      <c r="AU23" s="105"/>
      <c r="AV23" s="105"/>
      <c r="AW23" s="105"/>
      <c r="AX23" s="105"/>
      <c r="AY23" s="105">
        <v>1143</v>
      </c>
      <c r="AZ23" s="105"/>
      <c r="BA23" s="105"/>
      <c r="BB23" s="105"/>
      <c r="BC23" s="105"/>
      <c r="BD23" s="105"/>
      <c r="BE23" s="105">
        <v>253</v>
      </c>
      <c r="BF23" s="105"/>
      <c r="BG23" s="105"/>
      <c r="BH23" s="105"/>
      <c r="BI23" s="105"/>
      <c r="BJ23" s="105"/>
      <c r="BK23" s="105"/>
      <c r="BL23" s="105"/>
      <c r="BM23" s="105"/>
      <c r="BN23" s="105"/>
      <c r="BO23" s="105"/>
      <c r="BP23" s="105"/>
      <c r="BQ23" s="105"/>
      <c r="BR23" s="105"/>
      <c r="BS23" s="105"/>
      <c r="BT23" s="105"/>
      <c r="BU23" s="105"/>
      <c r="BV23" s="105"/>
      <c r="BW23" s="105"/>
      <c r="BX23" s="105"/>
      <c r="BY23" s="105">
        <v>385</v>
      </c>
    </row>
    <row r="24" spans="2:77">
      <c r="B24" s="103" t="s">
        <v>144</v>
      </c>
      <c r="C24" s="1" t="s">
        <v>145</v>
      </c>
      <c r="D24" s="12" t="s">
        <v>6</v>
      </c>
      <c r="E24" s="16"/>
      <c r="F24" s="21"/>
      <c r="G24" s="25"/>
      <c r="H24" s="15">
        <f t="shared" si="2"/>
        <v>0</v>
      </c>
    </row>
    <row r="25" spans="2:77">
      <c r="B25" s="101" t="s">
        <v>146</v>
      </c>
      <c r="C25" s="102" t="s">
        <v>147</v>
      </c>
      <c r="D25" s="3"/>
      <c r="E25" s="16"/>
      <c r="F25" s="21"/>
      <c r="G25" s="25"/>
      <c r="H25" s="15">
        <f t="shared" si="2"/>
        <v>0</v>
      </c>
    </row>
    <row r="26" spans="2:77">
      <c r="B26" s="103" t="s">
        <v>148</v>
      </c>
      <c r="C26" s="1" t="s">
        <v>149</v>
      </c>
      <c r="D26" s="12" t="s">
        <v>6</v>
      </c>
      <c r="E26" s="16"/>
      <c r="F26" s="21"/>
      <c r="G26" s="25"/>
      <c r="H26" s="15">
        <f t="shared" si="2"/>
        <v>0</v>
      </c>
    </row>
    <row r="27" spans="2:77">
      <c r="B27" s="103" t="s">
        <v>150</v>
      </c>
      <c r="C27" s="1" t="s">
        <v>151</v>
      </c>
      <c r="D27" s="12" t="s">
        <v>6</v>
      </c>
      <c r="E27" s="16"/>
      <c r="F27" s="21"/>
      <c r="G27" s="25"/>
      <c r="H27" s="15">
        <f t="shared" si="2"/>
        <v>0</v>
      </c>
    </row>
    <row r="28" spans="2:77">
      <c r="B28" s="103" t="s">
        <v>152</v>
      </c>
      <c r="C28" s="1" t="s">
        <v>153</v>
      </c>
      <c r="D28" s="19" t="s">
        <v>6</v>
      </c>
      <c r="E28" s="16"/>
      <c r="F28" s="21"/>
      <c r="G28" s="25"/>
      <c r="H28" s="15">
        <f t="shared" si="2"/>
        <v>0</v>
      </c>
    </row>
    <row r="29" spans="2:77">
      <c r="B29" s="103" t="s">
        <v>154</v>
      </c>
      <c r="C29" s="1" t="s">
        <v>155</v>
      </c>
      <c r="D29" s="12" t="s">
        <v>6</v>
      </c>
      <c r="E29" s="16"/>
      <c r="F29" s="21"/>
      <c r="G29" s="25"/>
      <c r="H29" s="15">
        <f t="shared" si="2"/>
        <v>0</v>
      </c>
    </row>
    <row r="30" spans="2:77">
      <c r="B30" s="106"/>
      <c r="C30" s="1"/>
      <c r="D30" s="3"/>
      <c r="E30" s="16"/>
      <c r="F30" s="21"/>
      <c r="G30" s="25"/>
      <c r="H30" s="15">
        <f t="shared" si="2"/>
        <v>0</v>
      </c>
    </row>
    <row r="31" spans="2:77">
      <c r="B31" s="107" t="s">
        <v>156</v>
      </c>
      <c r="C31" s="100" t="s">
        <v>157</v>
      </c>
      <c r="D31" s="2"/>
      <c r="E31" s="16"/>
      <c r="F31" s="21"/>
      <c r="G31" s="25"/>
      <c r="H31" s="15">
        <f t="shared" si="2"/>
        <v>0</v>
      </c>
    </row>
    <row r="32" spans="2:77">
      <c r="B32" s="103" t="s">
        <v>158</v>
      </c>
      <c r="C32" s="1" t="s">
        <v>159</v>
      </c>
      <c r="D32" s="12" t="s">
        <v>5</v>
      </c>
      <c r="E32" s="16"/>
      <c r="F32" s="21"/>
      <c r="G32" s="25"/>
      <c r="H32" s="15">
        <f t="shared" si="2"/>
        <v>0</v>
      </c>
    </row>
    <row r="33" spans="2:77">
      <c r="B33" s="106"/>
      <c r="C33" s="108"/>
      <c r="D33" s="3"/>
      <c r="E33" s="16"/>
      <c r="F33" s="21"/>
      <c r="G33" s="25"/>
      <c r="H33" s="15">
        <f t="shared" si="2"/>
        <v>0</v>
      </c>
    </row>
    <row r="34" spans="2:77">
      <c r="B34" s="107" t="s">
        <v>160</v>
      </c>
      <c r="C34" s="100" t="s">
        <v>0</v>
      </c>
      <c r="D34" s="3"/>
      <c r="E34" s="16"/>
      <c r="F34" s="21"/>
      <c r="G34" s="25"/>
      <c r="H34" s="15">
        <f t="shared" si="2"/>
        <v>0</v>
      </c>
    </row>
    <row r="35" spans="2:77">
      <c r="B35" s="104" t="s">
        <v>161</v>
      </c>
      <c r="C35" s="102" t="s">
        <v>162</v>
      </c>
      <c r="D35" s="3"/>
      <c r="E35" s="16"/>
      <c r="F35" s="21"/>
      <c r="G35" s="25"/>
      <c r="H35" s="15">
        <f t="shared" si="2"/>
        <v>0</v>
      </c>
    </row>
    <row r="36" spans="2:77">
      <c r="B36" s="104" t="s">
        <v>163</v>
      </c>
      <c r="C36" s="102" t="s">
        <v>164</v>
      </c>
      <c r="D36" s="3"/>
      <c r="E36" s="16"/>
      <c r="F36" s="21"/>
      <c r="G36" s="25"/>
      <c r="H36" s="15">
        <f t="shared" si="2"/>
        <v>0</v>
      </c>
    </row>
    <row r="37" spans="2:77">
      <c r="B37" s="103" t="s">
        <v>165</v>
      </c>
      <c r="C37" s="1" t="s">
        <v>166</v>
      </c>
      <c r="D37" s="12" t="s">
        <v>6</v>
      </c>
      <c r="E37" s="16"/>
      <c r="F37" s="21"/>
      <c r="G37" s="25"/>
      <c r="H37" s="15">
        <f t="shared" si="2"/>
        <v>0</v>
      </c>
    </row>
    <row r="38" spans="2:77">
      <c r="B38" s="103" t="s">
        <v>167</v>
      </c>
      <c r="C38" s="1" t="s">
        <v>168</v>
      </c>
      <c r="D38" s="12" t="s">
        <v>7</v>
      </c>
      <c r="E38" s="5" t="s">
        <v>9</v>
      </c>
      <c r="F38" s="1" t="s">
        <v>112</v>
      </c>
      <c r="G38" s="26">
        <v>13887000</v>
      </c>
      <c r="H38" s="15">
        <f t="shared" si="2"/>
        <v>13887000</v>
      </c>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v>13887000</v>
      </c>
      <c r="BP38" s="105"/>
      <c r="BQ38" s="105"/>
      <c r="BR38" s="105"/>
      <c r="BS38" s="105"/>
      <c r="BT38" s="105"/>
      <c r="BU38" s="105"/>
      <c r="BV38" s="105"/>
      <c r="BW38" s="105"/>
      <c r="BX38" s="105"/>
      <c r="BY38" s="105"/>
    </row>
    <row r="39" spans="2:77">
      <c r="B39" s="103" t="s">
        <v>169</v>
      </c>
      <c r="C39" s="1" t="s">
        <v>170</v>
      </c>
      <c r="D39" s="12" t="s">
        <v>7</v>
      </c>
      <c r="E39" s="5" t="s">
        <v>8</v>
      </c>
      <c r="F39" s="1" t="s">
        <v>112</v>
      </c>
      <c r="G39" s="26">
        <v>146929996</v>
      </c>
      <c r="H39" s="15">
        <f t="shared" si="2"/>
        <v>146929996</v>
      </c>
      <c r="BB39" s="71">
        <v>146929996</v>
      </c>
    </row>
    <row r="40" spans="2:77">
      <c r="B40" s="104" t="s">
        <v>171</v>
      </c>
      <c r="C40" s="102" t="s">
        <v>172</v>
      </c>
      <c r="D40" s="2"/>
      <c r="E40" s="16"/>
      <c r="F40" s="21"/>
      <c r="G40" s="25"/>
      <c r="H40" s="15">
        <f t="shared" si="2"/>
        <v>0</v>
      </c>
    </row>
    <row r="41" spans="2:77">
      <c r="B41" s="103" t="s">
        <v>173</v>
      </c>
      <c r="C41" s="1" t="s">
        <v>174</v>
      </c>
      <c r="D41" s="12" t="s">
        <v>6</v>
      </c>
      <c r="E41" s="16"/>
      <c r="F41" s="21"/>
      <c r="G41" s="25"/>
      <c r="H41" s="15">
        <f t="shared" si="2"/>
        <v>0</v>
      </c>
    </row>
    <row r="42" spans="2:77">
      <c r="B42" s="103" t="s">
        <v>175</v>
      </c>
      <c r="C42" s="1" t="s">
        <v>176</v>
      </c>
      <c r="D42" s="12" t="s">
        <v>6</v>
      </c>
      <c r="E42" s="16"/>
      <c r="F42" s="21"/>
      <c r="G42" s="25"/>
      <c r="H42" s="15">
        <f t="shared" si="2"/>
        <v>0</v>
      </c>
    </row>
    <row r="43" spans="2:77">
      <c r="B43" s="104" t="s">
        <v>171</v>
      </c>
      <c r="C43" s="102" t="s">
        <v>177</v>
      </c>
      <c r="D43" s="2"/>
      <c r="E43" s="16"/>
      <c r="F43" s="21"/>
      <c r="G43" s="25"/>
      <c r="H43" s="15">
        <f t="shared" si="2"/>
        <v>0</v>
      </c>
    </row>
    <row r="44" spans="2:77">
      <c r="B44" s="103" t="s">
        <v>178</v>
      </c>
      <c r="C44" s="1" t="s">
        <v>179</v>
      </c>
      <c r="D44" s="12" t="s">
        <v>6</v>
      </c>
      <c r="E44" s="16"/>
      <c r="F44" s="21"/>
      <c r="G44" s="25"/>
      <c r="H44" s="15">
        <f t="shared" si="2"/>
        <v>0</v>
      </c>
    </row>
    <row r="45" spans="2:77">
      <c r="B45" s="103" t="s">
        <v>180</v>
      </c>
      <c r="C45" s="1" t="s">
        <v>181</v>
      </c>
      <c r="D45" s="12" t="s">
        <v>6</v>
      </c>
      <c r="E45" s="16"/>
      <c r="F45" s="21"/>
      <c r="G45" s="25"/>
      <c r="H45" s="15">
        <f t="shared" si="2"/>
        <v>0</v>
      </c>
    </row>
    <row r="46" spans="2:77">
      <c r="B46" s="103" t="s">
        <v>182</v>
      </c>
      <c r="C46" s="1" t="s">
        <v>199</v>
      </c>
      <c r="D46" s="12" t="s">
        <v>6</v>
      </c>
      <c r="E46" s="16"/>
      <c r="F46" s="21"/>
      <c r="G46" s="25"/>
      <c r="H46" s="15">
        <f t="shared" si="2"/>
        <v>0</v>
      </c>
    </row>
    <row r="47" spans="2:77">
      <c r="B47" s="103" t="s">
        <v>183</v>
      </c>
      <c r="C47" s="1" t="s">
        <v>200</v>
      </c>
      <c r="D47" s="12" t="s">
        <v>6</v>
      </c>
      <c r="E47" s="16"/>
      <c r="F47" s="21"/>
      <c r="G47" s="25"/>
      <c r="H47" s="15">
        <f t="shared" si="2"/>
        <v>0</v>
      </c>
    </row>
    <row r="48" spans="2:77">
      <c r="B48" s="104" t="s">
        <v>184</v>
      </c>
      <c r="C48" s="102" t="s">
        <v>185</v>
      </c>
      <c r="D48" s="2"/>
      <c r="E48" s="16"/>
      <c r="F48" s="21"/>
      <c r="G48" s="25"/>
      <c r="H48" s="15">
        <f t="shared" si="2"/>
        <v>0</v>
      </c>
    </row>
    <row r="49" spans="2:8">
      <c r="B49" s="109" t="s">
        <v>186</v>
      </c>
      <c r="C49" s="1" t="s">
        <v>187</v>
      </c>
      <c r="D49" s="12" t="s">
        <v>6</v>
      </c>
      <c r="E49" s="17"/>
      <c r="F49" s="22"/>
      <c r="G49" s="27"/>
      <c r="H49" s="15">
        <f t="shared" si="2"/>
        <v>0</v>
      </c>
    </row>
    <row r="50" spans="2:8">
      <c r="B50" s="103" t="s">
        <v>188</v>
      </c>
      <c r="C50" s="1" t="s">
        <v>189</v>
      </c>
      <c r="D50" s="12" t="s">
        <v>5</v>
      </c>
      <c r="E50" s="16"/>
      <c r="F50" s="21"/>
      <c r="G50" s="25"/>
      <c r="H50" s="15">
        <f t="shared" si="2"/>
        <v>0</v>
      </c>
    </row>
    <row r="51" spans="2:8">
      <c r="B51" s="109" t="s">
        <v>190</v>
      </c>
      <c r="C51" s="1" t="s">
        <v>191</v>
      </c>
      <c r="D51" s="12" t="s">
        <v>6</v>
      </c>
      <c r="E51" s="16"/>
      <c r="F51" s="21"/>
      <c r="G51" s="25"/>
      <c r="H51" s="15">
        <f t="shared" si="2"/>
        <v>0</v>
      </c>
    </row>
    <row r="52" spans="2:8">
      <c r="B52" s="103" t="s">
        <v>192</v>
      </c>
      <c r="C52" s="1" t="s">
        <v>193</v>
      </c>
      <c r="D52" s="12" t="s">
        <v>6</v>
      </c>
      <c r="E52" s="16"/>
      <c r="F52" s="21"/>
      <c r="G52" s="25"/>
      <c r="H52" s="15">
        <f t="shared" si="2"/>
        <v>0</v>
      </c>
    </row>
    <row r="53" spans="2:8">
      <c r="B53" s="110"/>
      <c r="C53" s="111"/>
      <c r="D53" s="4"/>
      <c r="E53" s="18"/>
      <c r="F53" s="23"/>
      <c r="G53" s="28"/>
      <c r="H53" s="15">
        <f t="shared" si="2"/>
        <v>0</v>
      </c>
    </row>
    <row r="55" spans="2:8">
      <c r="E55" s="112"/>
      <c r="F55" s="112"/>
      <c r="G55" s="113" t="s">
        <v>248</v>
      </c>
      <c r="H55" s="114" t="s">
        <v>246</v>
      </c>
    </row>
    <row r="56" spans="2:8" ht="21">
      <c r="B56" s="115" t="s">
        <v>201</v>
      </c>
      <c r="G56" s="116">
        <f>SUM(G10:G52)</f>
        <v>393524207.63</v>
      </c>
      <c r="H56" s="116">
        <f>SUM(H10:H53)</f>
        <v>393524207.63</v>
      </c>
    </row>
    <row r="57" spans="2:8">
      <c r="B57" s="71">
        <v>1</v>
      </c>
      <c r="C57" s="71" t="s">
        <v>204</v>
      </c>
    </row>
  </sheetData>
  <mergeCells count="5">
    <mergeCell ref="B8:D8"/>
    <mergeCell ref="E8:G8"/>
    <mergeCell ref="H7:BY7"/>
    <mergeCell ref="H8:BY8"/>
    <mergeCell ref="E7:G7"/>
  </mergeCells>
  <conditionalFormatting sqref="I13:BY13 I21:BY21 I39:BY39">
    <cfRule type="expression" dxfId="0" priority="6">
      <formula>AND(ISTEXT($E13),ISTEXT(I$4))</formula>
    </cfRule>
  </conditionalFormatting>
  <pageMargins left="0.75" right="0.75" top="1" bottom="1" header="0.5" footer="0.5"/>
  <pageSetup paperSize="9" scale="42" fitToWidth="0" orientation="landscape" horizontalDpi="2400" verticalDpi="24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E42"/>
  <sheetViews>
    <sheetView showGridLines="0" workbookViewId="0"/>
  </sheetViews>
  <sheetFormatPr baseColWidth="10" defaultColWidth="3.5" defaultRowHeight="24" customHeight="1"/>
  <cols>
    <col min="1" max="1" width="3.5" style="31"/>
    <col min="2" max="2" width="10.375" style="31" customWidth="1"/>
    <col min="3" max="3" width="8" style="31" customWidth="1"/>
    <col min="4" max="4" width="60.375" style="31" customWidth="1"/>
    <col min="5" max="5" width="2" style="34" customWidth="1"/>
    <col min="6" max="16384" width="3.5" style="31"/>
  </cols>
  <sheetData>
    <row r="1" spans="2:5" ht="15.95" customHeight="1">
      <c r="E1" s="31"/>
    </row>
    <row r="2" spans="2:5" ht="24.95" customHeight="1">
      <c r="B2" s="32" t="s">
        <v>253</v>
      </c>
      <c r="E2" s="31"/>
    </row>
    <row r="3" spans="2:5" ht="15.95" customHeight="1">
      <c r="B3" s="33" t="s">
        <v>109</v>
      </c>
      <c r="E3" s="31"/>
    </row>
    <row r="4" spans="2:5" ht="15.95" customHeight="1">
      <c r="B4" s="38" t="s">
        <v>256</v>
      </c>
      <c r="C4" s="38" t="s">
        <v>255</v>
      </c>
      <c r="D4" s="6" t="s">
        <v>257</v>
      </c>
      <c r="E4" s="31"/>
    </row>
    <row r="5" spans="2:5" ht="15.95" customHeight="1">
      <c r="B5" s="35">
        <v>42023</v>
      </c>
      <c r="C5" s="36" t="s">
        <v>259</v>
      </c>
      <c r="D5" s="39" t="s">
        <v>260</v>
      </c>
      <c r="E5" s="31"/>
    </row>
    <row r="6" spans="2:5" ht="15.95" customHeight="1" thickBot="1">
      <c r="B6" s="30">
        <v>41991</v>
      </c>
      <c r="C6" s="37" t="s">
        <v>254</v>
      </c>
      <c r="D6" s="43" t="s">
        <v>258</v>
      </c>
      <c r="E6" s="31"/>
    </row>
    <row r="7" spans="2:5" ht="15.95" customHeight="1" thickBot="1">
      <c r="B7" s="30">
        <v>42061</v>
      </c>
      <c r="C7" s="42" t="s">
        <v>282</v>
      </c>
      <c r="D7" s="44" t="s">
        <v>267</v>
      </c>
      <c r="E7" s="31"/>
    </row>
    <row r="8" spans="2:5" ht="15.95" customHeight="1">
      <c r="D8" s="45" t="s">
        <v>268</v>
      </c>
      <c r="E8" s="31"/>
    </row>
    <row r="9" spans="2:5" ht="15.95" customHeight="1">
      <c r="D9" s="31" t="s">
        <v>271</v>
      </c>
      <c r="E9" s="31"/>
    </row>
    <row r="10" spans="2:5" ht="15.95" customHeight="1">
      <c r="B10" s="30">
        <v>42068</v>
      </c>
      <c r="C10" s="42" t="s">
        <v>266</v>
      </c>
      <c r="D10" s="31" t="s">
        <v>283</v>
      </c>
      <c r="E10" s="31"/>
    </row>
    <row r="11" spans="2:5" ht="15.95" customHeight="1">
      <c r="E11" s="31"/>
    </row>
    <row r="12" spans="2:5" ht="15.95" customHeight="1">
      <c r="E12" s="31"/>
    </row>
    <row r="13" spans="2:5" ht="15.95" customHeight="1">
      <c r="E13" s="31"/>
    </row>
    <row r="14" spans="2:5" ht="15.95" customHeight="1">
      <c r="E14" s="31"/>
    </row>
    <row r="15" spans="2:5" ht="15.95" customHeight="1">
      <c r="E15" s="31"/>
    </row>
    <row r="16" spans="2:5" ht="15.95" customHeight="1">
      <c r="E16" s="31"/>
    </row>
    <row r="17" spans="5:5" ht="15.95" customHeight="1">
      <c r="E17" s="31"/>
    </row>
    <row r="18" spans="5:5" ht="15.95" customHeight="1">
      <c r="E18" s="31"/>
    </row>
    <row r="19" spans="5:5" ht="15.95" customHeight="1">
      <c r="E19" s="31"/>
    </row>
    <row r="20" spans="5:5" ht="15.95" customHeight="1">
      <c r="E20" s="31"/>
    </row>
    <row r="21" spans="5:5" ht="15.95" customHeight="1">
      <c r="E21" s="31"/>
    </row>
    <row r="22" spans="5:5" ht="15.95" customHeight="1">
      <c r="E22" s="31"/>
    </row>
    <row r="23" spans="5:5" ht="15.95" customHeight="1">
      <c r="E23" s="31"/>
    </row>
    <row r="24" spans="5:5" ht="15.95" customHeight="1">
      <c r="E24" s="31"/>
    </row>
    <row r="25" spans="5:5" ht="15.95" customHeight="1">
      <c r="E25" s="31"/>
    </row>
    <row r="26" spans="5:5" ht="15.95" customHeight="1">
      <c r="E26" s="31"/>
    </row>
    <row r="27" spans="5:5" ht="15.95" customHeight="1">
      <c r="E27" s="31"/>
    </row>
    <row r="28" spans="5:5" ht="15.95" customHeight="1">
      <c r="E28" s="31"/>
    </row>
    <row r="29" spans="5:5" ht="15.95" customHeight="1">
      <c r="E29" s="31"/>
    </row>
    <row r="30" spans="5:5" ht="15.95" customHeight="1">
      <c r="E30" s="31"/>
    </row>
    <row r="31" spans="5:5" ht="15.95" customHeight="1">
      <c r="E31" s="31"/>
    </row>
    <row r="32" spans="5:5" ht="15.95" customHeight="1">
      <c r="E32" s="31"/>
    </row>
    <row r="33" spans="5:5" ht="15.95" customHeight="1">
      <c r="E33" s="31"/>
    </row>
    <row r="34" spans="5:5" ht="15.95" customHeight="1"/>
    <row r="35" spans="5:5" ht="15.95" customHeight="1"/>
    <row r="36" spans="5:5" ht="15.95" customHeight="1">
      <c r="E36" s="31"/>
    </row>
    <row r="37" spans="5:5" ht="15.95" customHeight="1">
      <c r="E37" s="31"/>
    </row>
    <row r="38" spans="5:5" ht="15.95" customHeight="1">
      <c r="E38" s="31"/>
    </row>
    <row r="39" spans="5:5" ht="15.95" customHeight="1">
      <c r="E39" s="31"/>
    </row>
    <row r="40" spans="5:5" ht="15.95" customHeight="1">
      <c r="E40" s="31"/>
    </row>
    <row r="41" spans="5:5" ht="15.95" customHeight="1">
      <c r="E41" s="31"/>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Introduction</vt:lpstr>
      <vt:lpstr>1. About</vt:lpstr>
      <vt:lpstr>2. Contextual</vt:lpstr>
      <vt:lpstr>3. Revenues</vt:lpstr>
      <vt:lpstr>Revenues - example Norway</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Lenovo</cp:lastModifiedBy>
  <cp:lastPrinted>2015-03-05T09:58:56Z</cp:lastPrinted>
  <dcterms:created xsi:type="dcterms:W3CDTF">2014-08-29T11:25:27Z</dcterms:created>
  <dcterms:modified xsi:type="dcterms:W3CDTF">2018-04-17T11:47:34Z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