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https://d.docs.live.net/c1ea4d12e57bc814/Moore Stephens/01-Missions/33-EITI Mianmar/2015-2016/Reporting/SIGNED VERSIONS 290318/"/>
    </mc:Choice>
  </mc:AlternateContent>
  <xr:revisionPtr revIDLastSave="48" documentId="12_ncr:500000_{DB40BBAB-450F-4D02-B7B5-1D0D5757B109}" xr6:coauthVersionLast="31" xr6:coauthVersionMax="31" xr10:uidLastSave="{B1F5B5E8-77E7-41E5-88AC-67ACDCB00DAF}"/>
  <bookViews>
    <workbookView xWindow="0" yWindow="0" windowWidth="20490" windowHeight="7545" tabRatio="500" activeTab="3" xr2:uid="{00000000-000D-0000-FFFF-FFFF00000000}"/>
  </bookViews>
  <sheets>
    <sheet name="Introduction" sheetId="6" r:id="rId1"/>
    <sheet name="1. About" sheetId="2" r:id="rId2"/>
    <sheet name="2. Contextual" sheetId="3" r:id="rId3"/>
    <sheet name="3. Revenues" sheetId="10" r:id="rId4"/>
    <sheet name="Revenues - example Norway" sheetId="9" state="hidden" r:id="rId5"/>
    <sheet name="Changelog" sheetId="11" state="hidden" r:id="rId6"/>
  </sheets>
  <calcPr calcId="179017"/>
</workbook>
</file>

<file path=xl/calcChain.xml><?xml version="1.0" encoding="utf-8"?>
<calcChain xmlns="http://schemas.openxmlformats.org/spreadsheetml/2006/main">
  <c r="D78" i="10" l="1"/>
  <c r="D79" i="10"/>
  <c r="D80" i="10" l="1"/>
  <c r="AZ10" i="10"/>
  <c r="AZ45" i="10"/>
  <c r="G56" i="10" l="1"/>
  <c r="G65" i="10"/>
  <c r="G47" i="10"/>
  <c r="CU58" i="10" l="1"/>
  <c r="CT58" i="10"/>
  <c r="CS58" i="10"/>
  <c r="CR58" i="10"/>
  <c r="H16" i="10"/>
  <c r="H14" i="10"/>
  <c r="H56" i="10"/>
  <c r="H55" i="10"/>
  <c r="H54" i="10"/>
  <c r="H53" i="10"/>
  <c r="H65" i="10"/>
  <c r="CP58" i="10"/>
  <c r="CK58" i="10"/>
  <c r="CI58" i="10"/>
  <c r="G13" i="10"/>
  <c r="G15" i="10"/>
  <c r="G30" i="10"/>
  <c r="G58" i="10"/>
  <c r="G45" i="10"/>
  <c r="G50" i="10"/>
  <c r="G69" i="10"/>
  <c r="G29" i="10"/>
  <c r="CE45" i="10" l="1"/>
  <c r="CD45" i="10"/>
  <c r="CC45" i="10"/>
  <c r="CB45" i="10"/>
  <c r="CA15" i="10"/>
  <c r="CA45" i="10"/>
  <c r="BZ15" i="10"/>
  <c r="BX15" i="10"/>
  <c r="BX45" i="10"/>
  <c r="BU15" i="10"/>
  <c r="BT45" i="10"/>
  <c r="BS15" i="10"/>
  <c r="BR45" i="10"/>
  <c r="BP45" i="10"/>
  <c r="BO45" i="10"/>
  <c r="BM45" i="10"/>
  <c r="BL15" i="10"/>
  <c r="BL45" i="10"/>
  <c r="BK15" i="10"/>
  <c r="BK45" i="10"/>
  <c r="BI45" i="10"/>
  <c r="BH45" i="10"/>
  <c r="BF45" i="10"/>
  <c r="BE45" i="10"/>
  <c r="BD45" i="10"/>
  <c r="BC15" i="10"/>
  <c r="BA15" i="10"/>
  <c r="BB45" i="10"/>
  <c r="BA45" i="10"/>
  <c r="AY15" i="10" l="1"/>
  <c r="AY45" i="10"/>
  <c r="AX45" i="10"/>
  <c r="AX10" i="10" s="1"/>
  <c r="AW45" i="10"/>
  <c r="AW10" i="10" s="1"/>
  <c r="AV15" i="10"/>
  <c r="AV45" i="10"/>
  <c r="AU45" i="10"/>
  <c r="AU10" i="10" s="1"/>
  <c r="AT15" i="10"/>
  <c r="AT10" i="10" s="1"/>
  <c r="AT45" i="10"/>
  <c r="AS15" i="10"/>
  <c r="AS45" i="10"/>
  <c r="AS10" i="10" s="1"/>
  <c r="AR45" i="10"/>
  <c r="AR10" i="10" s="1"/>
  <c r="AQ15" i="10"/>
  <c r="AQ45" i="10"/>
  <c r="AQ10" i="10" s="1"/>
  <c r="AP45" i="10"/>
  <c r="AP10" i="10" s="1"/>
  <c r="AO45" i="10"/>
  <c r="AO10" i="10" s="1"/>
  <c r="AN45" i="10"/>
  <c r="AM15" i="10"/>
  <c r="AM45" i="10"/>
  <c r="AM10" i="10" s="1"/>
  <c r="AL45" i="10"/>
  <c r="AL10" i="10" s="1"/>
  <c r="DG10" i="10"/>
  <c r="DF10" i="10"/>
  <c r="DE10" i="10"/>
  <c r="DD10" i="10"/>
  <c r="DC10" i="10"/>
  <c r="DB10" i="10"/>
  <c r="DA10" i="10"/>
  <c r="CZ10" i="10"/>
  <c r="CY10" i="10"/>
  <c r="CX10" i="10"/>
  <c r="CW10" i="10"/>
  <c r="CV10" i="10"/>
  <c r="CU10" i="10"/>
  <c r="CT10" i="10"/>
  <c r="CS10" i="10"/>
  <c r="CR10" i="10"/>
  <c r="CQ10" i="10"/>
  <c r="CP10" i="10"/>
  <c r="CO10" i="10"/>
  <c r="CN10" i="10"/>
  <c r="CM10" i="10"/>
  <c r="CL10" i="10"/>
  <c r="CK10" i="10"/>
  <c r="CJ10" i="10"/>
  <c r="CI10" i="10"/>
  <c r="CH10" i="10"/>
  <c r="CG10" i="10"/>
  <c r="CF10" i="10"/>
  <c r="CE10" i="10"/>
  <c r="CD10" i="10"/>
  <c r="CC10" i="10"/>
  <c r="CB10" i="10"/>
  <c r="CA10" i="10"/>
  <c r="BZ10" i="10"/>
  <c r="BY10" i="10"/>
  <c r="BX10" i="10"/>
  <c r="BW10" i="10"/>
  <c r="BV10" i="10"/>
  <c r="BU10" i="10"/>
  <c r="BT10" i="10"/>
  <c r="BS10" i="10"/>
  <c r="BR10" i="10"/>
  <c r="BQ10" i="10"/>
  <c r="BP10" i="10"/>
  <c r="BO10" i="10"/>
  <c r="BN10" i="10"/>
  <c r="BM10" i="10"/>
  <c r="BL10" i="10"/>
  <c r="BK10" i="10"/>
  <c r="BJ10" i="10"/>
  <c r="BI10" i="10"/>
  <c r="BH10" i="10"/>
  <c r="BG10" i="10"/>
  <c r="BF10" i="10"/>
  <c r="BE10" i="10"/>
  <c r="BD10" i="10"/>
  <c r="BC10" i="10"/>
  <c r="BB10" i="10"/>
  <c r="BA10" i="10"/>
  <c r="AY10" i="10"/>
  <c r="AV10" i="10"/>
  <c r="AN10" i="10"/>
  <c r="AK45" i="10"/>
  <c r="H15" i="10" l="1"/>
  <c r="G55" i="10"/>
  <c r="G64" i="10"/>
  <c r="G63" i="10"/>
  <c r="G62" i="10"/>
  <c r="G61" i="10"/>
  <c r="AG10" i="10" l="1"/>
  <c r="AD10" i="10" l="1"/>
  <c r="AC10" i="10"/>
  <c r="AB10" i="10"/>
  <c r="AA10" i="10"/>
  <c r="Z10" i="10"/>
  <c r="AE10" i="10"/>
  <c r="Y10" i="10"/>
  <c r="X10" i="10"/>
  <c r="W10" i="10"/>
  <c r="V10" i="10"/>
  <c r="U10" i="10"/>
  <c r="T10" i="10"/>
  <c r="S10" i="10"/>
  <c r="R10" i="10"/>
  <c r="C123" i="10" l="1"/>
  <c r="C122" i="10"/>
  <c r="H69" i="10"/>
  <c r="H67" i="10"/>
  <c r="H66" i="10"/>
  <c r="H64" i="10"/>
  <c r="H63" i="10"/>
  <c r="H62" i="10"/>
  <c r="H61" i="10"/>
  <c r="H60" i="10"/>
  <c r="H58" i="10"/>
  <c r="H57" i="10"/>
  <c r="H52" i="10"/>
  <c r="H51" i="10"/>
  <c r="H49" i="10"/>
  <c r="H47" i="10"/>
  <c r="H46" i="10"/>
  <c r="H45" i="10"/>
  <c r="H43" i="10"/>
  <c r="H42" i="10"/>
  <c r="H41" i="10"/>
  <c r="H36" i="10"/>
  <c r="H32" i="10"/>
  <c r="H31" i="10"/>
  <c r="H30" i="10"/>
  <c r="H29" i="10"/>
  <c r="H27" i="10"/>
  <c r="H26" i="10"/>
  <c r="H25" i="10"/>
  <c r="H23" i="10"/>
  <c r="H22" i="10"/>
  <c r="H21" i="10"/>
  <c r="H19" i="10"/>
  <c r="H18" i="10"/>
  <c r="G74" i="10"/>
  <c r="H13" i="10"/>
  <c r="AJ10" i="10"/>
  <c r="AI10" i="10"/>
  <c r="AH10" i="10"/>
  <c r="AF10" i="10"/>
  <c r="Q10" i="10"/>
  <c r="P10" i="10"/>
  <c r="O10" i="10"/>
  <c r="N10" i="10"/>
  <c r="M10" i="10"/>
  <c r="L10" i="10"/>
  <c r="K10" i="10"/>
  <c r="J10" i="10"/>
  <c r="I10" i="10"/>
  <c r="D127" i="3" l="1"/>
  <c r="D124" i="3"/>
  <c r="D123" i="3"/>
  <c r="D122" i="3"/>
  <c r="D22" i="3" l="1"/>
  <c r="D21" i="3"/>
  <c r="D18" i="3"/>
  <c r="D17" i="3"/>
  <c r="D14" i="3"/>
  <c r="D13" i="3"/>
  <c r="H10" i="9" l="1"/>
  <c r="H11" i="9"/>
  <c r="H12" i="9"/>
  <c r="H56" i="9" s="1"/>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G56"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N9" i="9"/>
  <c r="M9" i="9"/>
  <c r="L9" i="9"/>
  <c r="K9" i="9"/>
  <c r="J9" i="9"/>
  <c r="I9" i="9"/>
  <c r="H50" i="10"/>
  <c r="H74" i="10" s="1"/>
  <c r="AK10" i="10"/>
</calcChain>
</file>

<file path=xl/sharedStrings.xml><?xml version="1.0" encoding="utf-8"?>
<sst xmlns="http://schemas.openxmlformats.org/spreadsheetml/2006/main" count="1324" uniqueCount="603">
  <si>
    <t>Other revenue</t>
  </si>
  <si>
    <t>Commodities</t>
  </si>
  <si>
    <t>4Sea Energy AS</t>
  </si>
  <si>
    <t>A/S Norske Shell</t>
  </si>
  <si>
    <t>Bayerngas Norge AS</t>
  </si>
  <si>
    <t>not included</t>
  </si>
  <si>
    <t>not applicable</t>
  </si>
  <si>
    <t>included</t>
  </si>
  <si>
    <t>State Direct Financial Investment (Petoro)</t>
  </si>
  <si>
    <t>Dividend from ownership of Statoil</t>
  </si>
  <si>
    <t>Oil/gas</t>
  </si>
  <si>
    <t>Name of revenue stream in country</t>
  </si>
  <si>
    <t>Bayerngas Produksjon Norge AS</t>
  </si>
  <si>
    <t>BG Norge AS</t>
  </si>
  <si>
    <t>BP Norge AS</t>
  </si>
  <si>
    <t>Brigde Energy Norge AS</t>
  </si>
  <si>
    <t>Capricorn Norge AS</t>
  </si>
  <si>
    <t>Centrica Energi NUF</t>
  </si>
  <si>
    <t>Chevron Norge AS</t>
  </si>
  <si>
    <t>Concedo ASA</t>
  </si>
  <si>
    <t>ConocoPhillips Skandinavia AS</t>
  </si>
  <si>
    <t>Core Energy AS</t>
  </si>
  <si>
    <t>Dana Petroleum Norway AS2)</t>
  </si>
  <si>
    <t>Det Norske Oljeselskap ASA</t>
  </si>
  <si>
    <t>DONG E&amp;P Norge AS</t>
  </si>
  <si>
    <t>E&amp;P Holding AS</t>
  </si>
  <si>
    <t>E.ON E&amp;P Norge AS</t>
  </si>
  <si>
    <t>Edison International Norway Branch NUF</t>
  </si>
  <si>
    <t>Eni Norge AS</t>
  </si>
  <si>
    <t>EnQuest Norge AS</t>
  </si>
  <si>
    <t>Enterprise Oil Norge AS</t>
  </si>
  <si>
    <t>Explora Petroleum AS</t>
  </si>
  <si>
    <t>ExxonMobil Expl. and Prod. Norway AS2)</t>
  </si>
  <si>
    <t>Faroe Petroleum Norge AS</t>
  </si>
  <si>
    <t>Fortis Petroleum Norway AS</t>
  </si>
  <si>
    <t>Front Exploration AS</t>
  </si>
  <si>
    <t>GDF SUEZ E&amp;P Norge AS</t>
  </si>
  <si>
    <t>Hess Norge AS</t>
  </si>
  <si>
    <t>Idemitsu Petroleum Norge AS</t>
  </si>
  <si>
    <t>Infragas Norge AS</t>
  </si>
  <si>
    <t>Lotos Expl. and Prod.  Norge AS</t>
  </si>
  <si>
    <t>Lukoil Oil Company</t>
  </si>
  <si>
    <t>Lundin Norway AS</t>
  </si>
  <si>
    <t>Maersk Oil Norway AS</t>
  </si>
  <si>
    <t>Marathon Oil Norge AS</t>
  </si>
  <si>
    <t>Nexen Exploration Norge AS</t>
  </si>
  <si>
    <t>Njord Gas Infrastructure AS</t>
  </si>
  <si>
    <t>Noreco Norway AS</t>
  </si>
  <si>
    <t>Norpipe Oil AS</t>
  </si>
  <si>
    <t>Norsea Gas AS</t>
  </si>
  <si>
    <t>Norske AEDC AS</t>
  </si>
  <si>
    <t>North Energy ASA</t>
  </si>
  <si>
    <t>Norwegian Energy Company ASA</t>
  </si>
  <si>
    <t>OMV(Norge) AS</t>
  </si>
  <si>
    <t>Petoro AS</t>
  </si>
  <si>
    <t>Petrolia Norway AS</t>
  </si>
  <si>
    <t>PGNiG Norway AS</t>
  </si>
  <si>
    <t>Premier Oil Norge AS</t>
  </si>
  <si>
    <t>Repsol Exploración SA</t>
  </si>
  <si>
    <t>Repsol Exploration Norge AS</t>
  </si>
  <si>
    <t xml:space="preserve">RN Nordic Oil AS  </t>
  </si>
  <si>
    <t>Rocksource ASA</t>
  </si>
  <si>
    <t>RWE-DEA Norge AS</t>
  </si>
  <si>
    <t>Silex Gas Norway AS</t>
  </si>
  <si>
    <t>Skagen 44 AS</t>
  </si>
  <si>
    <t>Skeie Energy AS</t>
  </si>
  <si>
    <t>Solveig Gas Norway AS</t>
  </si>
  <si>
    <t>Statoil ASA</t>
  </si>
  <si>
    <t>Stratum Energy AS</t>
  </si>
  <si>
    <t>Suncor Energy Norge AS</t>
  </si>
  <si>
    <t>Svenska Petroleum Exploration AS</t>
  </si>
  <si>
    <t>Talisman Energy Norge AS</t>
  </si>
  <si>
    <t>Total E &amp; P Norge AS</t>
  </si>
  <si>
    <t>Tullow Oil (Bream) Norge AS</t>
  </si>
  <si>
    <t>Tullow Oil Norge AS</t>
  </si>
  <si>
    <t>Valiant Petroleum Norge AS</t>
  </si>
  <si>
    <t>VNG Norge AS</t>
  </si>
  <si>
    <t>Wintershall Norge AS</t>
  </si>
  <si>
    <t>Subtotals</t>
  </si>
  <si>
    <t>Legal name</t>
  </si>
  <si>
    <t>Identification #</t>
  </si>
  <si>
    <t>Start Date</t>
  </si>
  <si>
    <t>End Date</t>
  </si>
  <si>
    <t>Oil</t>
  </si>
  <si>
    <t>Gas</t>
  </si>
  <si>
    <t>Mining</t>
  </si>
  <si>
    <t>Other</t>
  </si>
  <si>
    <t>&lt;URL&gt;</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</si>
  <si>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</si>
  <si>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</si>
  <si>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</si>
  <si>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</si>
  <si>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</si>
  <si>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</si>
  <si>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</si>
  <si>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</si>
  <si>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</si>
  <si>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</si>
  <si>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</si>
  <si>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</si>
  <si>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</si>
  <si>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</si>
  <si>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</si>
  <si>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</si>
  <si>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</si>
  <si>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</si>
  <si>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</si>
  <si>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</si>
  <si>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</si>
  <si>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</si>
  <si>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</si>
  <si>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</si>
  <si>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</si>
  <si>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</si>
  <si>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</si>
  <si>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</si>
  <si>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</si>
  <si>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</si>
  <si>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</si>
  <si>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</si>
  <si>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</si>
  <si>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</si>
  <si>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</si>
  <si>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</si>
  <si>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</si>
  <si>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</si>
  <si>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</si>
  <si>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</si>
  <si>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</si>
  <si>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</si>
  <si>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</si>
  <si>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</si>
  <si>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</si>
  <si>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</si>
  <si>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</si>
  <si>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</si>
  <si>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</si>
  <si>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</si>
  <si>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</si>
  <si>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</si>
  <si>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</si>
  <si>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</si>
  <si>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</si>
  <si>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</si>
  <si>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</si>
  <si>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</si>
  <si>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</si>
  <si>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</si>
  <si>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</si>
  <si>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</si>
  <si>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</si>
  <si>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</si>
  <si>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</si>
  <si>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</si>
  <si>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</si>
  <si>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</si>
  <si>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</si>
  <si>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</si>
  <si>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</si>
  <si>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</si>
  <si>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</si>
  <si>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</si>
  <si>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</si>
  <si>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</si>
  <si>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</si>
  <si>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</si>
  <si>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</si>
  <si>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</si>
  <si>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</si>
  <si>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</si>
  <si>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</si>
  <si>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</si>
  <si>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</si>
  <si>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</si>
  <si>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</si>
  <si>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</si>
  <si>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</si>
  <si>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</si>
  <si>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</si>
  <si>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</si>
  <si>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</si>
  <si>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</si>
  <si>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</si>
  <si>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</si>
  <si>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</si>
  <si>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</si>
  <si>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</si>
  <si>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</si>
  <si>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</si>
  <si>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</si>
  <si>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</si>
  <si>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</si>
  <si>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</si>
  <si>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</si>
  <si>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</si>
  <si>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</si>
  <si>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</si>
  <si>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</si>
  <si>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</si>
  <si>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</si>
  <si>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</si>
  <si>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</si>
  <si>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</si>
  <si>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</si>
  <si>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Figures for payments broken down by ordinary tax and special tax are not available. Therefore figures under Special Tax include also CIT.</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</si>
  <si>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</si>
  <si>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</si>
  <si>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Record figures as reported by government, corrected after reconcilation.</t>
  </si>
  <si>
    <t>About</t>
  </si>
  <si>
    <t xml:space="preserve">   Part 1 covers the basic characteristics about the report</t>
  </si>
  <si>
    <t>Template for Summary Data from the EITI Report</t>
  </si>
  <si>
    <t>Registry 2</t>
  </si>
  <si>
    <t>ISO currency code</t>
  </si>
  <si>
    <t>Publicly available registry of contracts</t>
  </si>
  <si>
    <t>Add/remove rows as necessary, per registry</t>
  </si>
  <si>
    <t>Example: Norway's 2012 EITI Report.</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</si>
  <si>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</si>
  <si>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</si>
  <si>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</si>
  <si>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</si>
  <si>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</si>
  <si>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</si>
  <si>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</si>
  <si>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</si>
  <si>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</si>
  <si>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</si>
  <si>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</si>
  <si>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</si>
  <si>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</si>
  <si>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</si>
  <si>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</si>
  <si>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</si>
  <si>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</si>
  <si>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</si>
  <si>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</si>
  <si>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</si>
  <si>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</si>
  <si>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</si>
  <si>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</si>
  <si>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</si>
  <si>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Oljeskattekontoret (Petroleum Tax Office)</t>
  </si>
  <si>
    <t>Oljedirektoratet (Norwegian Petroluem Directorate)</t>
  </si>
  <si>
    <t>Toll- og avgiftsdirektoratet (Directorate of Customs and Excise)</t>
  </si>
  <si>
    <t>NOX avgift (NOX Fee)</t>
  </si>
  <si>
    <t>CO2 avgift (CO2 Fee)</t>
  </si>
  <si>
    <t>Arealavgift (Area Fee)</t>
  </si>
  <si>
    <t>TOTAL, reconciled</t>
  </si>
  <si>
    <t>Revenue, as disclosed by government</t>
  </si>
  <si>
    <t xml:space="preserve">TOTAL, disclosed by government </t>
  </si>
  <si>
    <t>Norway is a special case in that payments from all companies are reconciled down to zero. In most countries, the figures provided in section (B) and the sub-total in (D) will differ.</t>
  </si>
  <si>
    <t>Currency unit</t>
  </si>
  <si>
    <t>D. Reconciled revenue streams per company</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</si>
  <si>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</si>
  <si>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</si>
  <si>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</si>
  <si>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</si>
  <si>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</si>
  <si>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</si>
  <si>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</si>
  <si>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</si>
  <si>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</si>
  <si>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</si>
  <si>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</si>
  <si>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</si>
  <si>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B. Revenue streams (including revenues from extractive industries outside reconciliation)</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</si>
  <si>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</si>
  <si>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</si>
  <si>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</si>
  <si>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</si>
  <si>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</si>
  <si>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</si>
  <si>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</si>
  <si>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&lt;Choose option&gt;</t>
  </si>
  <si>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</si>
  <si>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</si>
  <si>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</si>
  <si>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</si>
  <si>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</si>
  <si>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</si>
  <si>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</si>
  <si>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</si>
  <si>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</si>
  <si>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</si>
  <si>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</si>
  <si>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1415E3</t>
  </si>
  <si>
    <t>Sector</t>
  </si>
  <si>
    <t>Oil &amp; Gas</t>
  </si>
  <si>
    <t>Gold</t>
  </si>
  <si>
    <t>1000 NOK</t>
  </si>
  <si>
    <t>Conversion rate utilised.  USD 1 =</t>
  </si>
  <si>
    <t>GFS codes</t>
  </si>
  <si>
    <t>GFS Descriptions</t>
  </si>
  <si>
    <t>data@eiti.org.</t>
  </si>
  <si>
    <t>Selskapsskatt</t>
  </si>
  <si>
    <t>Særskatt (Special Tax)</t>
  </si>
  <si>
    <t>Disaggregation of Data</t>
  </si>
  <si>
    <t>Oil, value</t>
  </si>
  <si>
    <t>Gas,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</si>
  <si>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</si>
  <si>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</si>
  <si>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</si>
  <si>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</si>
  <si>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</si>
  <si>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</si>
  <si>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</si>
  <si>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</si>
  <si>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</si>
  <si>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</si>
  <si>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</si>
  <si>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</si>
  <si>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</si>
  <si>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</si>
  <si>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</si>
  <si>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</si>
  <si>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</si>
  <si>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</si>
  <si>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</si>
  <si>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</si>
  <si>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</si>
  <si>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</si>
  <si>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</si>
  <si>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</si>
  <si>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</si>
  <si>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</si>
  <si>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</si>
  <si>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</si>
  <si>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Myanmar</t>
  </si>
  <si>
    <t>Moorstephens LLP</t>
  </si>
  <si>
    <t>Oil &amp; Gas transportation
Pearls</t>
  </si>
  <si>
    <t>http://myanmareiti.org/my/other-reports</t>
  </si>
  <si>
    <t>Yes</t>
  </si>
  <si>
    <t>MMK (Myanmar Kyat)</t>
  </si>
  <si>
    <t>No</t>
  </si>
  <si>
    <t>US$ 1 = MMK 1,223.58</t>
  </si>
  <si>
    <t>million MMK</t>
  </si>
  <si>
    <t>Section 3.9. Contribution to the Economy</t>
  </si>
  <si>
    <t>Barrels</t>
  </si>
  <si>
    <t>Section 1.2. Production and exports</t>
  </si>
  <si>
    <t>MMscf</t>
  </si>
  <si>
    <t>Condensate, volume</t>
  </si>
  <si>
    <t>Condensate, value</t>
  </si>
  <si>
    <t>Ruby &amp; Sapphire, volume</t>
  </si>
  <si>
    <t>carats</t>
  </si>
  <si>
    <t>Appendix 6: Production and export detail</t>
  </si>
  <si>
    <t>Ruby &amp; Sapphire, value</t>
  </si>
  <si>
    <t>Assorted Colour Gem, volume</t>
  </si>
  <si>
    <t>Kg</t>
  </si>
  <si>
    <t>Assorted Colour Gem, value</t>
  </si>
  <si>
    <t xml:space="preserve"> Jade, Quartzite &amp; Amber, volume</t>
  </si>
  <si>
    <t xml:space="preserve"> Jade, Quartzite &amp; Amber, value</t>
  </si>
  <si>
    <t xml:space="preserve"> Lead Ore, volume</t>
  </si>
  <si>
    <t xml:space="preserve"> Lead Ore, value</t>
  </si>
  <si>
    <t xml:space="preserve"> Lead Concentrate, volume</t>
  </si>
  <si>
    <t xml:space="preserve"> Lead Concentrate, value</t>
  </si>
  <si>
    <t xml:space="preserve"> Zinc Ore, volume</t>
  </si>
  <si>
    <t xml:space="preserve"> Zinc Ore, value</t>
  </si>
  <si>
    <t xml:space="preserve"> Copper Ore, volume</t>
  </si>
  <si>
    <t xml:space="preserve"> Copper Ore, value</t>
  </si>
  <si>
    <t xml:space="preserve"> Iron Ore, volume</t>
  </si>
  <si>
    <t xml:space="preserve"> Iron Ore, value</t>
  </si>
  <si>
    <t xml:space="preserve"> Anitimony Ore, volume</t>
  </si>
  <si>
    <t xml:space="preserve"> Anitimony Ore, value</t>
  </si>
  <si>
    <t xml:space="preserve"> Anitimony Concenteate, volume</t>
  </si>
  <si>
    <t xml:space="preserve"> Anitimony Concenteate, value</t>
  </si>
  <si>
    <t xml:space="preserve"> Zinc Concentrate, volume</t>
  </si>
  <si>
    <t xml:space="preserve"> Zinc Concentrate, value</t>
  </si>
  <si>
    <t xml:space="preserve"> Chromium Ore, volume</t>
  </si>
  <si>
    <t xml:space="preserve"> Chromium Ore, value</t>
  </si>
  <si>
    <t xml:space="preserve"> Tin, volume</t>
  </si>
  <si>
    <t xml:space="preserve"> Tin, value</t>
  </si>
  <si>
    <t xml:space="preserve"> Tungsten, volume</t>
  </si>
  <si>
    <t xml:space="preserve"> Tungsten, value</t>
  </si>
  <si>
    <t xml:space="preserve"> Tin/Tungsten Mixed, volume</t>
  </si>
  <si>
    <t xml:space="preserve"> Tin/Tungsten Mixed, value</t>
  </si>
  <si>
    <t xml:space="preserve"> Tin/Tungsten/Scheelite  Mixed, volume</t>
  </si>
  <si>
    <t xml:space="preserve"> Tin/Tungsten/Scheelite  Mixed, value</t>
  </si>
  <si>
    <t xml:space="preserve"> Gold, volume</t>
  </si>
  <si>
    <t>ToZ</t>
  </si>
  <si>
    <t xml:space="preserve"> Gold, value</t>
  </si>
  <si>
    <t xml:space="preserve"> Coal, volume</t>
  </si>
  <si>
    <t xml:space="preserve"> Coal, value</t>
  </si>
  <si>
    <t xml:space="preserve"> Limestone, volume</t>
  </si>
  <si>
    <t xml:space="preserve"> Limestone, value</t>
  </si>
  <si>
    <t xml:space="preserve"> Maganesedioxide, volume</t>
  </si>
  <si>
    <t xml:space="preserve"> Maganesedioxide, value</t>
  </si>
  <si>
    <t xml:space="preserve"> Marble, volume</t>
  </si>
  <si>
    <t xml:space="preserve"> Marble, value</t>
  </si>
  <si>
    <t xml:space="preserve"> Granite, volume</t>
  </si>
  <si>
    <t xml:space="preserve"> Granite, value</t>
  </si>
  <si>
    <t xml:space="preserve"> Gypsum, volume</t>
  </si>
  <si>
    <t xml:space="preserve"> Gypsum, value</t>
  </si>
  <si>
    <t xml:space="preserve"> Bauxite, volume</t>
  </si>
  <si>
    <t xml:space="preserve"> Bauxite, value</t>
  </si>
  <si>
    <t xml:space="preserve"> Limestone(decorative), volume</t>
  </si>
  <si>
    <t xml:space="preserve"> Limestone(decorative), value</t>
  </si>
  <si>
    <t xml:space="preserve"> Barite, volume</t>
  </si>
  <si>
    <t xml:space="preserve"> Barite, value</t>
  </si>
  <si>
    <t xml:space="preserve"> White Clay, volume</t>
  </si>
  <si>
    <t xml:space="preserve"> White Clay, value</t>
  </si>
  <si>
    <t xml:space="preserve"> Barite Powder, volume</t>
  </si>
  <si>
    <t xml:space="preserve"> Barite Powder, value</t>
  </si>
  <si>
    <t xml:space="preserve"> Clay, volume</t>
  </si>
  <si>
    <t xml:space="preserve"> Clay, value</t>
  </si>
  <si>
    <t xml:space="preserve"> Ferro Nickel, volume</t>
  </si>
  <si>
    <t xml:space="preserve"> Ferro Nickel, value</t>
  </si>
  <si>
    <t xml:space="preserve"> Dolomite, volume</t>
  </si>
  <si>
    <t>Quartz, volume</t>
  </si>
  <si>
    <t>Quartz, value</t>
  </si>
  <si>
    <t xml:space="preserve"> Dolomite, value</t>
  </si>
  <si>
    <t>Bantonite, volume</t>
  </si>
  <si>
    <t>Bantonite, value</t>
  </si>
  <si>
    <t>Zinc Ore, volume</t>
  </si>
  <si>
    <t>Zinc Ore, value</t>
  </si>
  <si>
    <t>Tin Concentrate, volume</t>
  </si>
  <si>
    <t>Tin Concentrate, value</t>
  </si>
  <si>
    <t>Tin&amp;TungstenMixedConcentrate, volume</t>
  </si>
  <si>
    <t>Tin&amp;TungstenMixedConcentrate, value</t>
  </si>
  <si>
    <t>Ferro Nickel, volume</t>
  </si>
  <si>
    <t>Ferro Nickel, value</t>
  </si>
  <si>
    <t>Section 3.4.1. Budget process</t>
  </si>
  <si>
    <t>Detail of licenses is disclosed in EITI report</t>
  </si>
  <si>
    <t>Moore Stephens LLP | P a g e 140
Appendix 10: Detail of Licenses</t>
  </si>
  <si>
    <t>All detail about awarding procedures are presented in the MEITI report</t>
  </si>
  <si>
    <t xml:space="preserve">Section 3.2.6. Procedures for the award of Oil &amp; Gas blocks 
Section 3.3.14 Award procedures for mineral concessions and licenses 
Appendix 11: Award Process
</t>
  </si>
  <si>
    <t xml:space="preserve">Section 3.2.9. Policy on disclosure of contracts and licenses 
Section 3.3.14. Award procedures for mineral concessions and licenses </t>
  </si>
  <si>
    <t>Section 6.4. Revenues from the sale of the State’s production share</t>
  </si>
  <si>
    <t>Condensate</t>
  </si>
  <si>
    <t>Refined Tin</t>
  </si>
  <si>
    <t>Section 6.9. Infrastructure provisions and barter arrangements</t>
  </si>
  <si>
    <t>Section 6.6. Social Expenditures and Infrastructure Provisions</t>
  </si>
  <si>
    <t>Section 1.1. 1.1. Revenue generated from the extractive sector</t>
  </si>
  <si>
    <t>Not applicable</t>
  </si>
  <si>
    <t>MMK</t>
  </si>
  <si>
    <t>Petronas Carigali Hong Kong Ltd (PCML)</t>
  </si>
  <si>
    <t>TOTAL</t>
  </si>
  <si>
    <t>Daewoo International Corporation</t>
  </si>
  <si>
    <t>Goldpetrol Co Ltd</t>
  </si>
  <si>
    <t>Nippon Oil</t>
  </si>
  <si>
    <t>PTTEP International Ltd.</t>
  </si>
  <si>
    <t>Unocal Myanmar Offshore Co., Ltd</t>
  </si>
  <si>
    <t>Petronas Carigali Myanmar Inc (PCMI)</t>
  </si>
  <si>
    <t>PTTEP South Asia Ltd</t>
  </si>
  <si>
    <t>Ophir Myanmar Ltd</t>
  </si>
  <si>
    <t>Moattama Gas Transportation Company (MGTC)</t>
  </si>
  <si>
    <t>Taninthayi Pipeline Company (TPC)</t>
  </si>
  <si>
    <t>South-East Asia Gas Pipeline Co (SEAGP)</t>
  </si>
  <si>
    <t>Sein Lom Taung Tan Gems Ltd. (*)</t>
  </si>
  <si>
    <t>Yar Za Htar Ne Gems Co;Ltd. (*)</t>
  </si>
  <si>
    <t>Myanmar Imperial Jade(Gems &amp; Jewellery) (*)</t>
  </si>
  <si>
    <t>Wai Aung Gabar Gems Co; Ltd. (*)</t>
  </si>
  <si>
    <t>Ayar Jade Co; Ltd.</t>
  </si>
  <si>
    <t>Myat Yamon Gems Co;Ltd. (*)</t>
  </si>
  <si>
    <t>Linn Lett Win Yadanar Gems (*)</t>
  </si>
  <si>
    <t>Khin Zaw Aung &amp; Brothers Gems &amp; Jewellery (*)</t>
  </si>
  <si>
    <t>Great Genesis Gems Co; Ltd. (*)</t>
  </si>
  <si>
    <t>Richest Gems Co;Ltd. (*)</t>
  </si>
  <si>
    <t>Kyaing International Gems (*)</t>
  </si>
  <si>
    <t>Kachin National Development</t>
  </si>
  <si>
    <t>Myo Nwe Gems &amp; Jewellery</t>
  </si>
  <si>
    <t>Natural Gas/ Condensate</t>
  </si>
  <si>
    <t>Natural Gas</t>
  </si>
  <si>
    <t>Gas/Oil</t>
  </si>
  <si>
    <t>O&amp;G Transportation</t>
  </si>
  <si>
    <t>Gems and Jade</t>
  </si>
  <si>
    <t>Ferronickel</t>
  </si>
  <si>
    <t>Gypsum</t>
  </si>
  <si>
    <t>Lead /Zinc concentrate</t>
  </si>
  <si>
    <t>Antimony Ore</t>
  </si>
  <si>
    <t>Lime Stone</t>
  </si>
  <si>
    <t>Lime Stone / Coal</t>
  </si>
  <si>
    <t>Copper</t>
  </si>
  <si>
    <t>Tin &amp; Tungsten</t>
  </si>
  <si>
    <t xml:space="preserve">Lime Stone </t>
  </si>
  <si>
    <t>Antimony</t>
  </si>
  <si>
    <t>Tin/ Tungsten Mixed Ore</t>
  </si>
  <si>
    <t>Income Tax (IT)</t>
  </si>
  <si>
    <t>Royalties on Sales</t>
  </si>
  <si>
    <t>Commercial Tax</t>
  </si>
  <si>
    <t>Capital Gains Tax</t>
  </si>
  <si>
    <t>Stamp Duties</t>
  </si>
  <si>
    <t xml:space="preserve">Commercial Tax on Imports </t>
  </si>
  <si>
    <t>Customs Department</t>
  </si>
  <si>
    <t xml:space="preserve">Customs Duties on imports </t>
  </si>
  <si>
    <t>Royalties</t>
  </si>
  <si>
    <t>Production Bonus</t>
  </si>
  <si>
    <t>Signature bonus/Application fees</t>
  </si>
  <si>
    <t>Production Split</t>
  </si>
  <si>
    <t>MOGE share (Profit and Cost- G&amp;O sales)</t>
  </si>
  <si>
    <t>Dividend/Profit Sharing  on Oil &amp; Gas transportation</t>
  </si>
  <si>
    <t>Road right fee Oil &amp; Gas transportation (Right of way)</t>
  </si>
  <si>
    <t>Sale Split</t>
  </si>
  <si>
    <t>Revenues from the Sale of the State Share of Production</t>
  </si>
  <si>
    <t>Land fees/Dead rent fee</t>
  </si>
  <si>
    <t>Data fee</t>
  </si>
  <si>
    <t>Service  Fees</t>
  </si>
  <si>
    <t>Permit fees</t>
  </si>
  <si>
    <t>Incentive fees</t>
  </si>
  <si>
    <t>Emporium Fees / Sale Fees</t>
  </si>
  <si>
    <t>Central committee</t>
  </si>
  <si>
    <t>15E</t>
  </si>
  <si>
    <t xml:space="preserve">Revenues not classified </t>
  </si>
  <si>
    <t>Social payments</t>
  </si>
  <si>
    <t>Other significant payments (&gt; 50,000 USD)</t>
  </si>
  <si>
    <t>ONGC Videsh Ltd</t>
  </si>
  <si>
    <t>Geopetrol International Holding Inc</t>
  </si>
  <si>
    <t>Eni Myanmar BV</t>
  </si>
  <si>
    <t>Central Asia Oil and Gas (CAOG) Pte. Ltd</t>
  </si>
  <si>
    <t>Bashneft International B.V</t>
  </si>
  <si>
    <t>Brunei National Petroleum Co</t>
  </si>
  <si>
    <t>Oil India Ltd</t>
  </si>
  <si>
    <t>Barlanga Myanmar Pte. Ltd.</t>
  </si>
  <si>
    <t>Shell Myanmar Energy Pte.Ltd</t>
  </si>
  <si>
    <t>BG Exploration &amp; Production Myanmar Pte. Ltd.</t>
  </si>
  <si>
    <t>Woodside Energy (Myanmar ) Pte. Ltd.</t>
  </si>
  <si>
    <t>CFG Energy Pte.Ltd.</t>
  </si>
  <si>
    <t>Reliance Industries Ltd</t>
  </si>
  <si>
    <t>Tap Energy Pte. Ltd.</t>
  </si>
  <si>
    <t>Andaman Transportation Limited (ATL)</t>
  </si>
  <si>
    <t>Shwe Pyi Tha Gems Trading &amp; Faceting</t>
  </si>
  <si>
    <t xml:space="preserve">Yadanar Taung Tann Gems </t>
  </si>
  <si>
    <t>Khun Pa-Oh Gems &amp; Jewellery</t>
  </si>
  <si>
    <t>Kan Pwint Oo Gems &amp; Jewellery</t>
  </si>
  <si>
    <t xml:space="preserve">Green Comet Gems </t>
  </si>
  <si>
    <t>Thi Raw Mani Gems &amp; Jewellery (*)</t>
  </si>
  <si>
    <t>Myanma Seinn Lei Aung Gems</t>
  </si>
  <si>
    <t>Nay La Pwint Gems Co; Ltd. (*)</t>
  </si>
  <si>
    <t>Myanmar Win Gate Gems &amp; Jewellery Mining</t>
  </si>
  <si>
    <t>Khaing Lon Gems Co;Ltd.</t>
  </si>
  <si>
    <t xml:space="preserve">Chaow Brothers Gemstone </t>
  </si>
  <si>
    <t>Kyay Lin</t>
  </si>
  <si>
    <t>Jade Mountain Gems Co;Ltd. (*)</t>
  </si>
  <si>
    <t>Phyo Thiha Kyaw Gems</t>
  </si>
  <si>
    <t xml:space="preserve">Silver Elephant Gems </t>
  </si>
  <si>
    <t>Yadanar Yaung Chi Gems Co;Ltd. (*)</t>
  </si>
  <si>
    <t>Myanmar Sithu Jewellery (*)</t>
  </si>
  <si>
    <t>Pang Huke Duwa Co; Ltd.</t>
  </si>
  <si>
    <t>Kyay Sin Phyu</t>
  </si>
  <si>
    <t>SEIN THURA SAN GEMS COMPANY</t>
  </si>
  <si>
    <t>Lucky Star</t>
  </si>
  <si>
    <t>San Taw Win Gems &amp; Jewellery</t>
  </si>
  <si>
    <t>Yadanar Kaung Kin Gems &amp;JewelleryCo;Ltd</t>
  </si>
  <si>
    <t>Yadanar San Shwin Gems Co., Ltd</t>
  </si>
  <si>
    <t>Golden Wallet Jewellery Co.,Ltd</t>
  </si>
  <si>
    <t>SHWE BYAIN PHYU CO</t>
  </si>
  <si>
    <t>NILAR YOMA TRADING</t>
  </si>
  <si>
    <t>Ayar Yadanar</t>
  </si>
  <si>
    <t>Kaung Myat Thukha</t>
  </si>
  <si>
    <t>Unity Gems Co;Ltd.</t>
  </si>
  <si>
    <t>Thiha &amp; Three Brothers Gems &amp; Jewellery</t>
  </si>
  <si>
    <t>Emerald Garden</t>
  </si>
  <si>
    <t>Shwe Gaung Gaung Gems</t>
  </si>
  <si>
    <t>Green Light Treasure 
Co.,Ltd</t>
  </si>
  <si>
    <t>Xie Family Co.,Ltd (*)</t>
  </si>
  <si>
    <t>Myanmar CNMC Nickel Co; LTD (*)</t>
  </si>
  <si>
    <t>Ruby Dragon Mining Co., Ltd.</t>
  </si>
  <si>
    <t>Thein Than Mining Co.,Ltd.</t>
  </si>
  <si>
    <t>Shwe Sapar Mining Co.,Ltd.</t>
  </si>
  <si>
    <t>Cornerstone Resources Myanmar Co.</t>
  </si>
  <si>
    <t>Myanmar Golden High Land Mining Co.,Ltd.</t>
  </si>
  <si>
    <t>Win Myint Mo Industries Co.,Ltd. (*)</t>
  </si>
  <si>
    <t>Ngwe Yi Pale Mining Co., Ltd (*)</t>
  </si>
  <si>
    <t>Shwe Taung Mining Co., Ltd.</t>
  </si>
  <si>
    <t>Tha Byu Mining Co.,Ltd (*)</t>
  </si>
  <si>
    <t>Myanmar Golden Point Family Co.,Ltd</t>
  </si>
  <si>
    <t>Myanmar Economic Corporation</t>
  </si>
  <si>
    <t>Max Myanmar Co., Group. (*)</t>
  </si>
  <si>
    <t>Than Taw Myat</t>
  </si>
  <si>
    <t>Myanmar Yang Tse Copper Ltd (*)</t>
  </si>
  <si>
    <t>Swan Min Htet Mining Co;Ltd</t>
  </si>
  <si>
    <t>Sea Sun Mining Production &amp; Marketing Co.,Ltd</t>
  </si>
  <si>
    <t>Eastern Mining Co.,Ltd</t>
  </si>
  <si>
    <t>National Prosperity Gold Production Group Ltd.</t>
  </si>
  <si>
    <t>Shwe Moe YanCo., Ltd.</t>
  </si>
  <si>
    <t>Eternal Mining Co., Ltd (*)</t>
  </si>
  <si>
    <t>Geo Asia Industrial and Mining Co., Ltd.</t>
  </si>
  <si>
    <t>Myanmar Pongpipat Co.,L td (*)</t>
  </si>
  <si>
    <t>Kayar Mine Production  Co., Ltd</t>
  </si>
  <si>
    <t>Ye Htut Kyaw Mining Co.,Ltd</t>
  </si>
  <si>
    <t>A&amp;A, Natural Resources Development Co,Lt d</t>
  </si>
  <si>
    <t>Lead Zinc</t>
  </si>
  <si>
    <t>Antimony Mineral</t>
  </si>
  <si>
    <t>Zinc</t>
  </si>
  <si>
    <t>Lead Ore</t>
  </si>
  <si>
    <t>Tin/ Tungsten mixed Ore</t>
  </si>
  <si>
    <t>Tin/Tungsten Sheelite/ Mixed</t>
  </si>
  <si>
    <t>Licence/application Fees</t>
  </si>
  <si>
    <t>Shining Star Light Gems &amp; Jewellery (*)</t>
  </si>
  <si>
    <t>Internal Revenue Department (IRD)</t>
  </si>
  <si>
    <t>Myanma Oil &amp; Gas Enterprise (MOGE)</t>
  </si>
  <si>
    <t>Myanmar Gems Enterprise(MGE)</t>
  </si>
  <si>
    <t>Myanma Oil &amp; Gas Enterprise (MOGE)/Mining Enterprise (ME)</t>
  </si>
  <si>
    <t>Myanmar Gems Enterprise(MGE)/Mining Enterprise (ME)</t>
  </si>
  <si>
    <t>Myanma Oil &amp; Gas Enterprise (MOGE)/Mining Enterprise (ME)/DoM/Myanmar Petrochemical Enterprise(MPE)</t>
  </si>
  <si>
    <t>Mining Enterprise (ME)/Myanmar Petrochemical Enterprise(MPE)</t>
  </si>
  <si>
    <t>Myanma Oil &amp; Gas Enterprise (MOGE)/Myanmar Gems Enterprise(MGE)/Mining Enterprise (ME)</t>
  </si>
  <si>
    <t>Myanma Oil &amp; Gas Enterprise (MOGE)/Forestry Department (FD)/Mining Enterprise (ME)/Department of Geological Service and Mineral Exploration (DGSE)</t>
  </si>
  <si>
    <t>Internal Revenue Department (IRD)/Myanmar Gems Enterprise(MGE)</t>
  </si>
  <si>
    <t>Total revenues ( MEITI Report)</t>
  </si>
  <si>
    <t>Withholding taxes</t>
  </si>
  <si>
    <t>Total revenues ( excluding WHT and Social payments)</t>
  </si>
  <si>
    <t>Karim Lourimi/Elyes Kooli</t>
  </si>
  <si>
    <t>Moore Stephens</t>
  </si>
  <si>
    <t>Karim.lourimi@moorestephens.com/elyes.kooli@moorestephens.com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</si>
</sst>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yyyy\-mm\-dd;@"/>
    <numFmt numFmtId="166" formatCode="_-* #,##0_-;\-* #,##0_-;_-* &quot;-&quot;??_-;_-@_-"/>
    <numFmt numFmtId="167" formatCode="_-* #,##0_-;[Red]\-* #,##0_-;_-* &quot;-&quot;??_-;_-@_-"/>
    <numFmt numFmtId="168" formatCode="#,##0_);\(&quot;&quot;#,##0\);_-* &quot;-&quot;??_-;_-@_-"/>
  </numFmts>
  <fonts count="42">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sz val="12"/>
      <name val="Calibri"/>
      <family val="2"/>
      <scheme val="minor"/>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sz val="10"/>
      <color theme="1"/>
      <name val="Arial"/>
      <family val="2"/>
    </font>
    <font>
      <sz val="8"/>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rgb="FFFFCC99"/>
        <bgColor rgb="FF000000"/>
      </patternFill>
    </fill>
    <fill>
      <patternFill patternType="solid">
        <fgColor theme="2"/>
        <bgColor indexed="64"/>
      </patternFill>
    </fill>
    <fill>
      <patternFill patternType="solid">
        <fgColor rgb="FFF2F2F2"/>
      </patternFill>
    </fill>
    <fill>
      <patternFill patternType="solid">
        <fgColor rgb="FFF2F2F2"/>
        <bgColor indexed="64"/>
      </patternFill>
    </fill>
  </fills>
  <borders count="36">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style="thin">
        <color auto="1"/>
      </bottom>
      <diagonal/>
    </border>
    <border>
      <left style="thin">
        <color indexed="64"/>
      </left>
      <right style="thin">
        <color auto="1"/>
      </right>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s>
  <cellStyleXfs count="33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0" fillId="14"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0" fillId="0" borderId="0"/>
  </cellStyleXfs>
  <cellXfs count="244">
    <xf numFmtId="0" fontId="0" fillId="0" borderId="0" xfId="0"/>
    <xf numFmtId="0" fontId="2" fillId="0" borderId="0" xfId="0" applyFont="1" applyBorder="1" applyAlignment="1">
      <alignment vertical="center" wrapText="1"/>
    </xf>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2" fillId="0" borderId="2"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3" fontId="4" fillId="0" borderId="8" xfId="0" applyNumberFormat="1" applyFont="1" applyBorder="1" applyAlignment="1">
      <alignment vertical="center" wrapText="1"/>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7" fillId="12" borderId="12"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0" fontId="2" fillId="0" borderId="4"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3" fillId="0" borderId="8" xfId="245" applyNumberFormat="1" applyFont="1" applyFill="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2" fillId="14"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5"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6" borderId="0" xfId="0" applyFont="1" applyFill="1" applyBorder="1" applyAlignment="1">
      <alignment horizontal="left" vertical="center" wrapText="1"/>
    </xf>
    <xf numFmtId="0" fontId="33" fillId="0" borderId="0" xfId="128" applyFont="1" applyAlignment="1">
      <alignment vertical="center"/>
    </xf>
    <xf numFmtId="165" fontId="11" fillId="4" borderId="24" xfId="0" applyNumberFormat="1" applyFont="1" applyFill="1" applyBorder="1" applyAlignment="1">
      <alignment horizontal="left" vertical="center" wrapText="1"/>
    </xf>
    <xf numFmtId="0" fontId="34" fillId="0" borderId="0" xfId="0" applyFont="1" applyBorder="1" applyAlignment="1">
      <alignment vertical="center"/>
    </xf>
    <xf numFmtId="165" fontId="11" fillId="4"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5" fillId="0" borderId="0" xfId="0" applyFont="1" applyBorder="1" applyAlignment="1">
      <alignment vertical="center"/>
    </xf>
    <xf numFmtId="0" fontId="14" fillId="0" borderId="14" xfId="0" applyFont="1" applyBorder="1" applyAlignment="1">
      <alignment vertical="center"/>
    </xf>
    <xf numFmtId="165" fontId="11" fillId="11" borderId="26" xfId="0" applyNumberFormat="1"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6" borderId="0" xfId="0" applyFont="1" applyFill="1" applyBorder="1" applyAlignment="1">
      <alignment horizontal="left" vertical="center" wrapText="1"/>
    </xf>
    <xf numFmtId="0" fontId="34" fillId="0" borderId="10" xfId="0" applyFont="1" applyBorder="1" applyAlignment="1">
      <alignment vertical="center"/>
    </xf>
    <xf numFmtId="0" fontId="2" fillId="0" borderId="0" xfId="0" applyFont="1" applyAlignment="1">
      <alignment vertical="center"/>
    </xf>
    <xf numFmtId="0" fontId="17" fillId="0" borderId="0" xfId="0" applyFont="1" applyAlignment="1">
      <alignment vertical="center"/>
    </xf>
    <xf numFmtId="0" fontId="9" fillId="0" borderId="17" xfId="0" applyFont="1" applyBorder="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9" fillId="0" borderId="0" xfId="0" applyFont="1" applyAlignment="1">
      <alignment vertical="center"/>
    </xf>
    <xf numFmtId="0" fontId="2" fillId="0" borderId="18" xfId="0" applyFont="1" applyBorder="1" applyAlignment="1">
      <alignment vertical="center"/>
    </xf>
    <xf numFmtId="0" fontId="4" fillId="0" borderId="2"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8" fillId="0" borderId="0" xfId="0" applyFont="1" applyAlignment="1">
      <alignment vertical="center"/>
    </xf>
    <xf numFmtId="0" fontId="3" fillId="0" borderId="2" xfId="0" applyFont="1" applyBorder="1" applyAlignment="1">
      <alignment horizontal="right" vertical="center" wrapText="1"/>
    </xf>
    <xf numFmtId="0" fontId="0" fillId="10" borderId="0" xfId="0" applyFill="1" applyBorder="1" applyAlignment="1">
      <alignment vertical="center" wrapText="1"/>
    </xf>
    <xf numFmtId="0" fontId="0" fillId="10" borderId="8" xfId="0" applyFill="1" applyBorder="1" applyAlignment="1">
      <alignment vertical="center" wrapText="1"/>
    </xf>
    <xf numFmtId="0" fontId="3" fillId="0" borderId="2" xfId="0" applyFont="1" applyBorder="1" applyAlignment="1">
      <alignment horizontal="right" vertical="center"/>
    </xf>
    <xf numFmtId="0" fontId="2" fillId="10" borderId="0" xfId="0" applyFont="1" applyFill="1" applyBorder="1" applyAlignment="1">
      <alignment vertical="center"/>
    </xf>
    <xf numFmtId="0" fontId="24" fillId="10" borderId="0" xfId="0" applyFont="1" applyFill="1" applyAlignment="1">
      <alignment vertical="center"/>
    </xf>
    <xf numFmtId="0" fontId="24" fillId="10" borderId="0" xfId="0" applyFont="1" applyFill="1" applyBorder="1" applyAlignment="1">
      <alignment vertical="center"/>
    </xf>
    <xf numFmtId="0" fontId="24" fillId="10" borderId="8" xfId="0" applyFont="1" applyFill="1" applyBorder="1" applyAlignment="1">
      <alignment vertical="center"/>
    </xf>
    <xf numFmtId="0" fontId="3" fillId="0" borderId="9" xfId="0" applyFont="1" applyBorder="1" applyAlignment="1">
      <alignment horizontal="right" vertical="center"/>
    </xf>
    <xf numFmtId="0" fontId="2" fillId="10" borderId="10" xfId="0" applyFont="1" applyFill="1" applyBorder="1" applyAlignment="1">
      <alignment vertical="center"/>
    </xf>
    <xf numFmtId="0" fontId="2" fillId="10" borderId="11" xfId="0" applyFont="1" applyFill="1" applyBorder="1" applyAlignment="1">
      <alignment vertical="center"/>
    </xf>
    <xf numFmtId="0" fontId="3" fillId="0" borderId="9" xfId="0" applyFont="1" applyBorder="1" applyAlignment="1">
      <alignment vertical="center"/>
    </xf>
    <xf numFmtId="0" fontId="2" fillId="0" borderId="10" xfId="0" applyFont="1" applyBorder="1" applyAlignment="1">
      <alignment vertical="center"/>
    </xf>
    <xf numFmtId="0" fontId="4" fillId="0" borderId="11" xfId="0" applyFont="1" applyBorder="1" applyAlignment="1">
      <alignment horizontal="right" vertical="center"/>
    </xf>
    <xf numFmtId="3" fontId="10" fillId="0" borderId="10" xfId="0" applyNumberFormat="1" applyFont="1" applyBorder="1" applyAlignment="1">
      <alignment vertical="center"/>
    </xf>
    <xf numFmtId="0" fontId="25" fillId="2" borderId="2" xfId="0" applyFont="1" applyFill="1" applyBorder="1" applyAlignment="1">
      <alignment horizontal="left" vertical="center" wrapText="1"/>
    </xf>
    <xf numFmtId="0" fontId="25" fillId="0" borderId="0" xfId="0" applyFont="1" applyBorder="1" applyAlignment="1">
      <alignment vertical="center" wrapText="1"/>
    </xf>
    <xf numFmtId="0" fontId="26" fillId="2" borderId="2" xfId="0" applyFont="1" applyFill="1" applyBorder="1" applyAlignment="1">
      <alignment horizontal="left" vertical="center" wrapText="1"/>
    </xf>
    <xf numFmtId="0" fontId="26" fillId="0" borderId="0" xfId="0" applyFont="1" applyBorder="1" applyAlignment="1">
      <alignment vertical="center" wrapText="1"/>
    </xf>
    <xf numFmtId="0" fontId="2"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7" borderId="0" xfId="0" applyFont="1" applyFill="1" applyAlignment="1">
      <alignment vertical="center"/>
    </xf>
    <xf numFmtId="0" fontId="3" fillId="2" borderId="2" xfId="0" applyFont="1" applyFill="1" applyBorder="1" applyAlignment="1">
      <alignment horizontal="left" vertical="center"/>
    </xf>
    <xf numFmtId="0" fontId="25" fillId="2" borderId="2" xfId="0" applyFont="1" applyFill="1" applyBorder="1" applyAlignment="1">
      <alignment horizontal="left" vertical="center"/>
    </xf>
    <xf numFmtId="0" fontId="4" fillId="0" borderId="0" xfId="0" applyFont="1" applyBorder="1" applyAlignment="1">
      <alignmen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5" xfId="0" applyFont="1" applyBorder="1" applyAlignment="1">
      <alignment vertical="center" wrapText="1"/>
    </xf>
    <xf numFmtId="0" fontId="2" fillId="0" borderId="0" xfId="0" applyFont="1" applyAlignment="1">
      <alignment horizontal="right" vertical="center"/>
    </xf>
    <xf numFmtId="0" fontId="3" fillId="13" borderId="0" xfId="0" applyFont="1" applyFill="1" applyAlignment="1">
      <alignment horizontal="right" vertical="center"/>
    </xf>
    <xf numFmtId="0" fontId="3" fillId="13" borderId="0" xfId="0" applyFont="1" applyFill="1" applyAlignment="1">
      <alignment vertical="center"/>
    </xf>
    <xf numFmtId="0" fontId="9" fillId="0" borderId="0" xfId="0" applyFont="1" applyAlignment="1">
      <alignment vertical="center"/>
    </xf>
    <xf numFmtId="3" fontId="3" fillId="13" borderId="0" xfId="0" applyNumberFormat="1" applyFont="1" applyFill="1" applyAlignment="1">
      <alignment vertical="center"/>
    </xf>
    <xf numFmtId="166" fontId="11" fillId="4" borderId="22" xfId="245" applyNumberFormat="1" applyFont="1" applyFill="1" applyBorder="1" applyAlignment="1">
      <alignment horizontal="left" vertical="center" wrapText="1"/>
    </xf>
    <xf numFmtId="166" fontId="11" fillId="4" borderId="25" xfId="245" applyNumberFormat="1" applyFont="1" applyFill="1" applyBorder="1" applyAlignment="1">
      <alignment horizontal="left" vertical="center" wrapText="1"/>
    </xf>
    <xf numFmtId="0" fontId="11" fillId="4" borderId="31" xfId="0" applyFont="1" applyFill="1" applyBorder="1" applyAlignment="1">
      <alignment horizontal="left" vertical="center" wrapText="1"/>
    </xf>
    <xf numFmtId="0" fontId="5" fillId="5" borderId="31" xfId="128" applyFill="1" applyBorder="1" applyAlignment="1">
      <alignment horizontal="left" vertical="center" wrapText="1"/>
    </xf>
    <xf numFmtId="166" fontId="11" fillId="4" borderId="31" xfId="245" applyNumberFormat="1" applyFont="1" applyFill="1" applyBorder="1" applyAlignment="1">
      <alignment horizontal="left" vertical="center" wrapText="1"/>
    </xf>
    <xf numFmtId="0" fontId="11" fillId="10" borderId="31" xfId="0" applyFont="1" applyFill="1" applyBorder="1" applyAlignment="1">
      <alignment horizontal="left" vertical="center" wrapText="1"/>
    </xf>
    <xf numFmtId="0" fontId="5" fillId="5" borderId="26" xfId="128" applyFill="1" applyBorder="1" applyAlignment="1">
      <alignment horizontal="left" vertical="center" wrapText="1"/>
    </xf>
    <xf numFmtId="0" fontId="5" fillId="5" borderId="29" xfId="128" applyFill="1" applyBorder="1" applyAlignment="1">
      <alignment horizontal="left" vertical="center" wrapText="1"/>
    </xf>
    <xf numFmtId="166" fontId="11" fillId="4" borderId="27" xfId="245" applyNumberFormat="1" applyFont="1" applyFill="1" applyBorder="1" applyAlignment="1">
      <alignment horizontal="left" vertical="center" wrapText="1"/>
    </xf>
    <xf numFmtId="3" fontId="4" fillId="0" borderId="32" xfId="0" applyNumberFormat="1" applyFont="1" applyBorder="1" applyAlignment="1">
      <alignment vertical="center" wrapText="1"/>
    </xf>
    <xf numFmtId="3" fontId="4" fillId="0" borderId="18" xfId="0" applyNumberFormat="1" applyFont="1" applyBorder="1" applyAlignment="1">
      <alignment vertical="center" wrapText="1"/>
    </xf>
    <xf numFmtId="0" fontId="28" fillId="0" borderId="2" xfId="0" applyFont="1" applyBorder="1" applyAlignment="1">
      <alignment vertical="center"/>
    </xf>
    <xf numFmtId="0" fontId="4" fillId="0" borderId="18" xfId="0" applyFont="1" applyBorder="1" applyAlignment="1">
      <alignment horizontal="right" vertical="center"/>
    </xf>
    <xf numFmtId="49" fontId="25" fillId="15"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49" fontId="26" fillId="15" borderId="2" xfId="0" applyNumberFormat="1" applyFont="1" applyFill="1" applyBorder="1" applyAlignment="1">
      <alignment horizontal="left" vertical="center" wrapText="1"/>
    </xf>
    <xf numFmtId="49" fontId="2" fillId="15" borderId="2" xfId="0" applyNumberFormat="1" applyFont="1" applyFill="1" applyBorder="1" applyAlignment="1">
      <alignment horizontal="left" vertical="center"/>
    </xf>
    <xf numFmtId="49" fontId="26" fillId="15" borderId="2" xfId="0" applyNumberFormat="1" applyFont="1" applyFill="1" applyBorder="1" applyAlignment="1">
      <alignment horizontal="left" vertical="center"/>
    </xf>
    <xf numFmtId="49" fontId="3" fillId="15" borderId="2" xfId="0" applyNumberFormat="1" applyFont="1" applyFill="1" applyBorder="1" applyAlignment="1">
      <alignment horizontal="left" vertical="center"/>
    </xf>
    <xf numFmtId="49" fontId="25" fillId="15" borderId="2" xfId="0" applyNumberFormat="1" applyFont="1" applyFill="1" applyBorder="1" applyAlignment="1">
      <alignment horizontal="left" vertical="center"/>
    </xf>
    <xf numFmtId="49" fontId="2" fillId="15"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49" fontId="11" fillId="4" borderId="23" xfId="0" applyNumberFormat="1" applyFont="1" applyFill="1" applyBorder="1" applyAlignment="1">
      <alignment horizontal="left" vertical="center" wrapText="1"/>
    </xf>
    <xf numFmtId="49" fontId="11" fillId="4" borderId="15" xfId="0" applyNumberFormat="1" applyFont="1" applyFill="1" applyBorder="1" applyAlignment="1">
      <alignment horizontal="left" vertical="center" wrapText="1"/>
    </xf>
    <xf numFmtId="49" fontId="11" fillId="4" borderId="28" xfId="0" applyNumberFormat="1" applyFont="1" applyFill="1" applyBorder="1" applyAlignment="1">
      <alignment horizontal="left" vertical="center" wrapText="1"/>
    </xf>
    <xf numFmtId="0" fontId="5" fillId="4" borderId="26" xfId="128"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5" borderId="0" xfId="0" applyNumberFormat="1" applyFont="1" applyFill="1" applyBorder="1" applyAlignment="1">
      <alignment vertical="center" wrapText="1"/>
    </xf>
    <xf numFmtId="49" fontId="2" fillId="15" borderId="0" xfId="0" applyNumberFormat="1" applyFont="1" applyFill="1" applyBorder="1" applyAlignment="1">
      <alignment vertical="center" wrapText="1"/>
    </xf>
    <xf numFmtId="49" fontId="4" fillId="15" borderId="0" xfId="0" applyNumberFormat="1" applyFont="1" applyFill="1" applyBorder="1" applyAlignment="1">
      <alignment vertical="center" wrapText="1"/>
    </xf>
    <xf numFmtId="49" fontId="2" fillId="15" borderId="1" xfId="0" applyNumberFormat="1" applyFont="1" applyFill="1" applyBorder="1" applyAlignment="1">
      <alignment vertical="center" wrapText="1"/>
    </xf>
    <xf numFmtId="49" fontId="2" fillId="15" borderId="5" xfId="0" applyNumberFormat="1" applyFont="1" applyFill="1" applyBorder="1" applyAlignment="1">
      <alignment vertical="center" wrapText="1"/>
    </xf>
    <xf numFmtId="49" fontId="26" fillId="15" borderId="0" xfId="0" applyNumberFormat="1" applyFont="1" applyFill="1" applyBorder="1" applyAlignment="1">
      <alignment horizontal="left" vertical="center" wrapText="1" indent="2"/>
    </xf>
    <xf numFmtId="49" fontId="2" fillId="15" borderId="0" xfId="0" applyNumberFormat="1" applyFont="1" applyFill="1" applyBorder="1" applyAlignment="1">
      <alignment horizontal="left" vertical="center" wrapText="1" indent="2"/>
    </xf>
    <xf numFmtId="49" fontId="2" fillId="15" borderId="0" xfId="0" applyNumberFormat="1" applyFont="1" applyFill="1" applyBorder="1" applyAlignment="1">
      <alignment horizontal="left" vertical="center" wrapText="1" indent="4"/>
    </xf>
    <xf numFmtId="49" fontId="26" fillId="15" borderId="0" xfId="0" applyNumberFormat="1" applyFont="1" applyFill="1" applyBorder="1" applyAlignment="1">
      <alignment horizontal="left" vertical="center" wrapText="1" indent="4"/>
    </xf>
    <xf numFmtId="49" fontId="2" fillId="15" borderId="0" xfId="0" applyNumberFormat="1" applyFont="1" applyFill="1" applyBorder="1" applyAlignment="1">
      <alignment horizontal="left" vertical="center" wrapText="1" indent="6"/>
    </xf>
    <xf numFmtId="49" fontId="26" fillId="15" borderId="0" xfId="0" applyNumberFormat="1" applyFont="1" applyFill="1" applyBorder="1" applyAlignment="1">
      <alignment horizontal="left" vertical="center" wrapText="1" indent="6"/>
    </xf>
    <xf numFmtId="49" fontId="2" fillId="15"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4" borderId="31" xfId="128"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3" fillId="0" borderId="17" xfId="0" applyFont="1" applyBorder="1" applyAlignment="1">
      <alignment vertical="center" wrapText="1"/>
    </xf>
    <xf numFmtId="0" fontId="0" fillId="5" borderId="32" xfId="0" applyFill="1" applyBorder="1" applyAlignment="1">
      <alignment vertical="center" wrapText="1"/>
    </xf>
    <xf numFmtId="0" fontId="0" fillId="5" borderId="18" xfId="0" applyFill="1" applyBorder="1" applyAlignment="1">
      <alignment vertical="center" wrapText="1"/>
    </xf>
    <xf numFmtId="49" fontId="2" fillId="5" borderId="0" xfId="0" applyNumberFormat="1" applyFont="1" applyFill="1" applyBorder="1" applyAlignment="1">
      <alignment vertical="center"/>
    </xf>
    <xf numFmtId="49" fontId="24" fillId="5" borderId="0" xfId="0" applyNumberFormat="1" applyFont="1" applyFill="1" applyBorder="1" applyAlignment="1">
      <alignment vertical="center"/>
    </xf>
    <xf numFmtId="0" fontId="3" fillId="0" borderId="17" xfId="0" applyFont="1" applyBorder="1" applyAlignment="1">
      <alignment vertical="center"/>
    </xf>
    <xf numFmtId="0" fontId="2" fillId="10" borderId="18" xfId="0" applyFont="1" applyFill="1" applyBorder="1" applyAlignment="1">
      <alignment vertical="center"/>
    </xf>
    <xf numFmtId="165" fontId="11" fillId="4" borderId="15" xfId="0" applyNumberFormat="1" applyFont="1" applyFill="1" applyBorder="1" applyAlignment="1">
      <alignment horizontal="left" vertical="center" wrapText="1"/>
    </xf>
    <xf numFmtId="49" fontId="39" fillId="15"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21" fillId="0" borderId="0" xfId="0" applyFont="1" applyFill="1" applyAlignment="1">
      <alignment vertical="center"/>
    </xf>
    <xf numFmtId="165" fontId="11" fillId="4" borderId="1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4" borderId="33" xfId="0" applyFont="1" applyFill="1" applyBorder="1" applyAlignment="1">
      <alignment horizontal="left" wrapText="1"/>
    </xf>
    <xf numFmtId="165" fontId="11" fillId="4" borderId="34" xfId="0" applyNumberFormat="1" applyFont="1" applyFill="1" applyBorder="1" applyAlignment="1">
      <alignment horizontal="left" wrapText="1"/>
    </xf>
    <xf numFmtId="0" fontId="11" fillId="4" borderId="34" xfId="0" applyFont="1" applyFill="1" applyBorder="1" applyAlignment="1">
      <alignment horizontal="left" wrapText="1"/>
    </xf>
    <xf numFmtId="0" fontId="11" fillId="5" borderId="34" xfId="0" applyFont="1" applyFill="1" applyBorder="1" applyAlignment="1">
      <alignment horizontal="left" wrapText="1"/>
    </xf>
    <xf numFmtId="0" fontId="5" fillId="4" borderId="31" xfId="128" applyFill="1" applyBorder="1" applyAlignment="1">
      <alignment horizontal="left" vertical="center" wrapText="1"/>
    </xf>
    <xf numFmtId="0" fontId="5" fillId="10" borderId="35" xfId="128" applyFill="1" applyBorder="1" applyAlignment="1">
      <alignment horizontal="left" wrapText="1"/>
    </xf>
    <xf numFmtId="165" fontId="11" fillId="4" borderId="26" xfId="0" applyNumberFormat="1" applyFont="1" applyFill="1" applyBorder="1" applyAlignment="1">
      <alignment horizontal="left" wrapText="1"/>
    </xf>
    <xf numFmtId="0" fontId="28" fillId="0" borderId="0" xfId="0" applyFont="1" applyAlignment="1">
      <alignment vertical="center"/>
    </xf>
    <xf numFmtId="0" fontId="9" fillId="0" borderId="3" xfId="0" applyFont="1" applyBorder="1" applyAlignment="1">
      <alignment vertical="center"/>
    </xf>
    <xf numFmtId="0" fontId="11" fillId="5" borderId="26" xfId="0" applyFont="1" applyFill="1" applyBorder="1" applyAlignment="1">
      <alignment horizontal="left" wrapText="1"/>
    </xf>
    <xf numFmtId="165" fontId="11" fillId="4" borderId="26" xfId="0" applyNumberFormat="1" applyFont="1" applyFill="1" applyBorder="1" applyAlignment="1">
      <alignment horizontal="left" vertical="top" wrapText="1"/>
    </xf>
    <xf numFmtId="0" fontId="11" fillId="0" borderId="14" xfId="0" applyFont="1" applyBorder="1"/>
    <xf numFmtId="0" fontId="2" fillId="10" borderId="0" xfId="0" applyFont="1" applyFill="1" applyBorder="1" applyAlignment="1">
      <alignment vertical="center" wrapText="1"/>
    </xf>
    <xf numFmtId="0" fontId="2" fillId="0" borderId="0" xfId="0" applyFont="1" applyAlignment="1">
      <alignment vertical="center" wrapText="1"/>
    </xf>
    <xf numFmtId="0" fontId="2" fillId="10" borderId="10" xfId="0" applyFont="1" applyFill="1" applyBorder="1" applyAlignment="1">
      <alignment vertical="center" wrapText="1"/>
    </xf>
    <xf numFmtId="0" fontId="2" fillId="2" borderId="2" xfId="0" applyFont="1" applyFill="1" applyBorder="1" applyAlignment="1">
      <alignment horizontal="left" vertical="top"/>
    </xf>
    <xf numFmtId="0" fontId="7" fillId="3" borderId="8" xfId="27" applyFont="1" applyBorder="1" applyAlignment="1">
      <alignment vertical="center" wrapText="1"/>
    </xf>
    <xf numFmtId="168" fontId="41" fillId="0" borderId="0" xfId="331" applyNumberFormat="1" applyFont="1" applyFill="1" applyBorder="1" applyAlignment="1">
      <alignment vertical="center"/>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36" fillId="7" borderId="0" xfId="0" applyFont="1" applyFill="1" applyAlignment="1">
      <alignment vertical="center"/>
    </xf>
    <xf numFmtId="0" fontId="37"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25" xfId="0" applyFont="1" applyFill="1" applyBorder="1" applyAlignment="1">
      <alignment horizontal="left" vertical="center" wrapText="1"/>
    </xf>
    <xf numFmtId="0" fontId="11" fillId="10" borderId="15" xfId="0" applyFont="1" applyFill="1" applyBorder="1" applyAlignment="1">
      <alignment horizontal="left" vertical="center" wrapText="1"/>
    </xf>
    <xf numFmtId="165" fontId="11" fillId="5" borderId="27" xfId="0" applyNumberFormat="1" applyFont="1" applyFill="1" applyBorder="1" applyAlignment="1">
      <alignment horizontal="left" vertical="center" wrapText="1"/>
    </xf>
    <xf numFmtId="165" fontId="11" fillId="5" borderId="28" xfId="0" applyNumberFormat="1" applyFont="1" applyFill="1" applyBorder="1" applyAlignment="1">
      <alignment horizontal="left" vertical="center" wrapText="1"/>
    </xf>
    <xf numFmtId="0" fontId="11" fillId="10" borderId="22" xfId="0" applyFont="1" applyFill="1" applyBorder="1" applyAlignment="1">
      <alignment horizontal="left" vertical="center" wrapText="1"/>
    </xf>
    <xf numFmtId="0" fontId="11" fillId="10" borderId="2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165" fontId="11" fillId="5" borderId="25" xfId="0" applyNumberFormat="1" applyFont="1" applyFill="1" applyBorder="1" applyAlignment="1">
      <alignment horizontal="left" vertical="center" wrapText="1"/>
    </xf>
    <xf numFmtId="165" fontId="11" fillId="5" borderId="15" xfId="0" applyNumberFormat="1" applyFont="1" applyFill="1" applyBorder="1" applyAlignment="1">
      <alignment horizontal="left" vertical="center" wrapText="1"/>
    </xf>
    <xf numFmtId="0" fontId="11" fillId="5" borderId="25" xfId="0" applyFont="1" applyFill="1" applyBorder="1" applyAlignment="1">
      <alignment horizontal="left" vertical="center" wrapText="1"/>
    </xf>
    <xf numFmtId="0" fontId="11" fillId="5" borderId="15" xfId="0" applyFont="1" applyFill="1" applyBorder="1" applyAlignment="1">
      <alignment horizontal="left" vertical="center" wrapText="1"/>
    </xf>
    <xf numFmtId="165" fontId="11" fillId="4" borderId="25" xfId="0" applyNumberFormat="1" applyFont="1" applyFill="1" applyBorder="1" applyAlignment="1">
      <alignment horizontal="left" wrapText="1"/>
    </xf>
    <xf numFmtId="165" fontId="11" fillId="4" borderId="15" xfId="0" applyNumberFormat="1" applyFont="1" applyFill="1" applyBorder="1" applyAlignment="1">
      <alignment horizontal="left" wrapText="1"/>
    </xf>
    <xf numFmtId="0" fontId="11" fillId="5" borderId="25" xfId="0" applyFont="1" applyFill="1" applyBorder="1" applyAlignment="1">
      <alignment horizontal="left" vertical="top" wrapText="1"/>
    </xf>
    <xf numFmtId="0" fontId="11" fillId="5" borderId="15" xfId="0" applyFont="1" applyFill="1" applyBorder="1" applyAlignment="1">
      <alignment horizontal="left" vertical="top" wrapText="1"/>
    </xf>
    <xf numFmtId="165" fontId="11" fillId="4" borderId="25" xfId="0" applyNumberFormat="1" applyFont="1" applyFill="1" applyBorder="1" applyAlignment="1">
      <alignment horizontal="left" vertical="top" wrapText="1"/>
    </xf>
    <xf numFmtId="165" fontId="11" fillId="4" borderId="15" xfId="0" applyNumberFormat="1" applyFont="1" applyFill="1" applyBorder="1" applyAlignment="1">
      <alignment horizontal="left" vertical="top" wrapText="1"/>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9" fillId="0" borderId="3" xfId="0" applyFont="1" applyBorder="1" applyAlignment="1">
      <alignment horizontal="left" vertical="center"/>
    </xf>
    <xf numFmtId="0" fontId="0" fillId="0" borderId="4" xfId="0" applyBorder="1" applyAlignment="1">
      <alignment vertical="center"/>
    </xf>
    <xf numFmtId="3" fontId="14" fillId="0" borderId="2" xfId="0" applyNumberFormat="1" applyFont="1" applyBorder="1" applyAlignment="1">
      <alignment vertical="center"/>
    </xf>
    <xf numFmtId="0" fontId="10" fillId="0" borderId="0" xfId="0" applyFont="1" applyBorder="1" applyAlignment="1">
      <alignment vertical="center"/>
    </xf>
    <xf numFmtId="0" fontId="29" fillId="0" borderId="0" xfId="0" applyFont="1" applyAlignment="1">
      <alignment vertical="center"/>
    </xf>
    <xf numFmtId="0" fontId="28"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28" fillId="0" borderId="2" xfId="0" applyFont="1" applyBorder="1" applyAlignment="1">
      <alignment horizontal="left" vertical="center" wrapText="1"/>
    </xf>
    <xf numFmtId="0" fontId="28" fillId="0" borderId="0" xfId="0" applyFont="1" applyBorder="1" applyAlignment="1">
      <alignment horizontal="left" vertical="center" wrapText="1"/>
    </xf>
    <xf numFmtId="0" fontId="28" fillId="0" borderId="8" xfId="0" applyFont="1" applyBorder="1" applyAlignment="1">
      <alignment horizontal="left" vertical="center" wrapText="1"/>
    </xf>
    <xf numFmtId="0" fontId="9"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9" fillId="0" borderId="4" xfId="0" applyFont="1" applyBorder="1" applyAlignment="1">
      <alignment horizontal="left" vertical="center"/>
    </xf>
    <xf numFmtId="0" fontId="31" fillId="0" borderId="3" xfId="0" applyFont="1"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3" fillId="0" borderId="0" xfId="0" applyFont="1" applyAlignment="1">
      <alignment vertical="center"/>
    </xf>
    <xf numFmtId="3" fontId="3" fillId="0" borderId="0" xfId="0" applyNumberFormat="1" applyFont="1" applyAlignment="1">
      <alignment vertical="center"/>
    </xf>
  </cellXfs>
  <cellStyles count="332">
    <cellStyle name="Entrée" xfId="27" builtinId="20"/>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Milliers" xfId="245" builtinId="3"/>
    <cellStyle name="Normal" xfId="0" builtinId="0"/>
    <cellStyle name="Normal 5" xfId="331" xr:uid="{9E4197BE-EF24-4933-B94F-6A96AA5A39B4}"/>
    <cellStyle name="Sortie" xfId="320" builtinId="21"/>
  </cellStyles>
  <dxfs count="18">
    <dxf>
      <font>
        <color auto="1"/>
      </font>
      <fill>
        <patternFill patternType="solid">
          <fgColor indexed="64"/>
          <bgColor rgb="FFFABF8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colors>
    <mruColors>
      <color rgb="FFA6A6A6"/>
      <color rgb="FFFABF8F"/>
      <color rgb="FFF7FAB4"/>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arim.lourimi@moorestephens.com/elyes.kooli@moorestephens.com" TargetMode="External"/><Relationship Id="rId1" Type="http://schemas.openxmlformats.org/officeDocument/2006/relationships/hyperlink" Target="http://myanmareiti.org/my/other-repor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8"/>
  <sheetViews>
    <sheetView showGridLines="0" workbookViewId="0"/>
  </sheetViews>
  <sheetFormatPr baseColWidth="10" defaultColWidth="3.5" defaultRowHeight="24" customHeight="1"/>
  <cols>
    <col min="1" max="1" width="3.5" style="8"/>
    <col min="2" max="2" width="30.375" style="8" customWidth="1"/>
    <col min="3" max="3" width="37.875" style="8" customWidth="1"/>
    <col min="4" max="4" width="85.875" style="8" customWidth="1"/>
    <col min="5" max="16384" width="3.5" style="8"/>
  </cols>
  <sheetData>
    <row r="1" spans="2:4" ht="15.95" customHeight="1"/>
    <row r="2" spans="2:4" ht="20.25">
      <c r="B2" s="200" t="s">
        <v>210</v>
      </c>
      <c r="C2" s="196"/>
      <c r="D2" s="196"/>
    </row>
    <row r="3" spans="2:4" ht="15.95" customHeight="1">
      <c r="B3" s="171" t="s">
        <v>321</v>
      </c>
      <c r="C3" s="171"/>
      <c r="D3" s="171"/>
    </row>
    <row r="4" spans="2:4" ht="15.95" customHeight="1">
      <c r="B4" s="169"/>
      <c r="C4" s="170"/>
      <c r="D4" s="170"/>
    </row>
    <row r="5" spans="2:4" ht="15.95" customHeight="1">
      <c r="B5" s="170" t="s">
        <v>322</v>
      </c>
      <c r="C5" s="170"/>
      <c r="D5" s="170"/>
    </row>
    <row r="6" spans="2:4" ht="15.95" customHeight="1">
      <c r="B6" s="201" t="s">
        <v>323</v>
      </c>
      <c r="C6" s="201"/>
      <c r="D6" s="201"/>
    </row>
    <row r="7" spans="2:4" ht="15.95" customHeight="1">
      <c r="B7" s="201"/>
      <c r="C7" s="201"/>
      <c r="D7" s="201"/>
    </row>
    <row r="8" spans="2:4" ht="15.95" customHeight="1">
      <c r="B8" s="195"/>
      <c r="C8" s="196"/>
      <c r="D8" s="196"/>
    </row>
    <row r="9" spans="2:4" ht="15.95" customHeight="1">
      <c r="B9" s="195" t="s">
        <v>325</v>
      </c>
      <c r="C9" s="196"/>
      <c r="D9" s="196"/>
    </row>
    <row r="10" spans="2:4" ht="15.95" customHeight="1">
      <c r="B10" s="195" t="s">
        <v>107</v>
      </c>
      <c r="C10" s="196"/>
      <c r="D10" s="196"/>
    </row>
    <row r="11" spans="2:4" ht="15.95" customHeight="1">
      <c r="B11" s="195"/>
      <c r="C11" s="196"/>
      <c r="D11" s="196"/>
    </row>
    <row r="12" spans="2:4" ht="15.95" customHeight="1">
      <c r="B12" s="195" t="s">
        <v>108</v>
      </c>
      <c r="C12" s="196"/>
      <c r="D12" s="196"/>
    </row>
    <row r="13" spans="2:4" ht="15.95" customHeight="1">
      <c r="B13" s="195" t="s">
        <v>209</v>
      </c>
      <c r="C13" s="196"/>
      <c r="D13" s="196"/>
    </row>
    <row r="14" spans="2:4" ht="15.95" customHeight="1">
      <c r="B14" s="195" t="s">
        <v>97</v>
      </c>
      <c r="C14" s="196"/>
      <c r="D14" s="196"/>
    </row>
    <row r="15" spans="2:4" ht="15.95" customHeight="1">
      <c r="B15" s="195" t="s">
        <v>324</v>
      </c>
      <c r="C15" s="196"/>
      <c r="D15" s="196"/>
    </row>
    <row r="16" spans="2:4" ht="15.95" customHeight="1">
      <c r="B16" s="195"/>
      <c r="C16" s="196"/>
      <c r="D16" s="196"/>
    </row>
    <row r="17" spans="2:4" ht="15.95" customHeight="1">
      <c r="B17" s="198" t="s">
        <v>98</v>
      </c>
      <c r="C17" s="199"/>
      <c r="D17" s="174"/>
    </row>
    <row r="18" spans="2:4" ht="15.95" customHeight="1">
      <c r="B18" s="197" t="s">
        <v>99</v>
      </c>
      <c r="C18" s="196"/>
      <c r="D18" s="174"/>
    </row>
    <row r="19" spans="2:4" ht="15.95" customHeight="1">
      <c r="B19" s="173"/>
      <c r="C19" s="173"/>
      <c r="D19" s="173"/>
    </row>
    <row r="20" spans="2:4" ht="15.95" customHeight="1">
      <c r="B20" s="172"/>
      <c r="C20" s="172"/>
      <c r="D20" s="172"/>
    </row>
    <row r="21" spans="2:4" ht="15.95" customHeight="1">
      <c r="B21" s="172" t="s">
        <v>265</v>
      </c>
      <c r="C21" s="172"/>
      <c r="D21" s="41" t="s">
        <v>292</v>
      </c>
    </row>
    <row r="22" spans="2:4" ht="15.95" customHeight="1">
      <c r="B22" s="9"/>
      <c r="C22" s="9"/>
      <c r="D22" s="9"/>
    </row>
    <row r="23" spans="2:4" ht="15.95" customHeight="1">
      <c r="B23" s="9"/>
      <c r="C23" s="9"/>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xr:uid="{00000000-0004-0000-0000-000000000000}"/>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37"/>
  <sheetViews>
    <sheetView showGridLines="0" topLeftCell="A24" workbookViewId="0">
      <selection activeCell="A42" sqref="A42"/>
    </sheetView>
  </sheetViews>
  <sheetFormatPr baseColWidth="10" defaultColWidth="3.5" defaultRowHeight="24" customHeight="1"/>
  <cols>
    <col min="1" max="1" width="3.5" style="46"/>
    <col min="2" max="2" width="53.375" style="46" customWidth="1"/>
    <col min="3" max="3" width="27" style="46" customWidth="1"/>
    <col min="4" max="4" width="35.375" style="46" bestFit="1" customWidth="1"/>
    <col min="5" max="5" width="38.375" style="46" customWidth="1"/>
    <col min="6" max="16384" width="3.5" style="46"/>
  </cols>
  <sheetData>
    <row r="1" spans="2:5" ht="15.95" customHeight="1"/>
    <row r="2" spans="2:5" ht="24.95" customHeight="1">
      <c r="B2" s="47" t="s">
        <v>208</v>
      </c>
    </row>
    <row r="3" spans="2:5" ht="15.95" customHeight="1">
      <c r="B3" s="48" t="s">
        <v>109</v>
      </c>
    </row>
    <row r="4" spans="2:5" ht="15.95" customHeight="1" thickBot="1">
      <c r="D4" s="10" t="s">
        <v>91</v>
      </c>
      <c r="E4" s="10" t="s">
        <v>261</v>
      </c>
    </row>
    <row r="5" spans="2:5" ht="15.95" customHeight="1" thickTop="1">
      <c r="B5" s="49" t="s">
        <v>101</v>
      </c>
      <c r="C5" s="49"/>
      <c r="D5" s="177" t="s">
        <v>326</v>
      </c>
      <c r="E5" s="40"/>
    </row>
    <row r="6" spans="2:5" ht="15.95" customHeight="1">
      <c r="B6" s="50" t="s">
        <v>102</v>
      </c>
      <c r="C6" s="49" t="s">
        <v>81</v>
      </c>
      <c r="D6" s="178">
        <v>42095</v>
      </c>
      <c r="E6" s="40"/>
    </row>
    <row r="7" spans="2:5" ht="15.95" customHeight="1">
      <c r="B7" s="51"/>
      <c r="C7" s="49" t="s">
        <v>82</v>
      </c>
      <c r="D7" s="178">
        <v>42460</v>
      </c>
      <c r="E7" s="40"/>
    </row>
    <row r="8" spans="2:5" ht="15.95" customHeight="1">
      <c r="B8" s="49" t="s">
        <v>103</v>
      </c>
      <c r="C8" s="52"/>
      <c r="D8" s="179" t="s">
        <v>327</v>
      </c>
      <c r="E8" s="40"/>
    </row>
    <row r="9" spans="2:5" ht="15.95" customHeight="1">
      <c r="B9" s="49" t="s">
        <v>104</v>
      </c>
      <c r="C9" s="49"/>
      <c r="D9" s="178">
        <v>43189</v>
      </c>
      <c r="E9" s="40"/>
    </row>
    <row r="10" spans="2:5" ht="15.95" customHeight="1">
      <c r="B10" s="50" t="s">
        <v>105</v>
      </c>
      <c r="C10" s="49" t="s">
        <v>83</v>
      </c>
      <c r="D10" s="119" t="s">
        <v>330</v>
      </c>
      <c r="E10" s="40"/>
    </row>
    <row r="11" spans="2:5" ht="15.95" customHeight="1">
      <c r="B11" s="53" t="s">
        <v>94</v>
      </c>
      <c r="C11" s="49" t="s">
        <v>84</v>
      </c>
      <c r="D11" s="119" t="s">
        <v>330</v>
      </c>
      <c r="E11" s="40"/>
    </row>
    <row r="12" spans="2:5" ht="15.95" customHeight="1">
      <c r="B12" s="54"/>
      <c r="C12" s="49" t="s">
        <v>85</v>
      </c>
      <c r="D12" s="119" t="s">
        <v>330</v>
      </c>
      <c r="E12" s="40"/>
    </row>
    <row r="13" spans="2:5" ht="25.5">
      <c r="B13" s="54"/>
      <c r="C13" s="49" t="s">
        <v>86</v>
      </c>
      <c r="D13" s="180" t="s">
        <v>328</v>
      </c>
      <c r="E13" s="40"/>
    </row>
    <row r="14" spans="2:5" ht="15.95" customHeight="1">
      <c r="B14" s="50" t="s">
        <v>106</v>
      </c>
      <c r="C14" s="50" t="s">
        <v>95</v>
      </c>
      <c r="D14" s="181" t="s">
        <v>329</v>
      </c>
      <c r="E14" s="40"/>
    </row>
    <row r="15" spans="2:5" ht="15.95" customHeight="1">
      <c r="B15" s="53" t="s">
        <v>96</v>
      </c>
      <c r="C15" s="49" t="s">
        <v>269</v>
      </c>
      <c r="D15" s="158" t="s">
        <v>87</v>
      </c>
      <c r="E15" s="40"/>
    </row>
    <row r="16" spans="2:5" ht="15.95" customHeight="1">
      <c r="B16" s="53"/>
      <c r="C16" s="49" t="s">
        <v>302</v>
      </c>
      <c r="D16" s="158" t="s">
        <v>87</v>
      </c>
      <c r="E16" s="40"/>
    </row>
    <row r="17" spans="2:5" ht="15.95" customHeight="1">
      <c r="C17" s="52" t="s">
        <v>88</v>
      </c>
      <c r="D17" s="120" t="s">
        <v>87</v>
      </c>
      <c r="E17" s="40"/>
    </row>
    <row r="18" spans="2:5" ht="15.95" customHeight="1">
      <c r="B18" s="49" t="s">
        <v>113</v>
      </c>
      <c r="C18" s="49"/>
      <c r="D18" s="121">
        <v>15</v>
      </c>
      <c r="E18" s="40"/>
    </row>
    <row r="19" spans="2:5" ht="15.95" customHeight="1">
      <c r="B19" s="49" t="s">
        <v>114</v>
      </c>
      <c r="C19" s="49"/>
      <c r="D19" s="121">
        <v>119</v>
      </c>
      <c r="E19" s="40"/>
    </row>
    <row r="20" spans="2:5" ht="15.95" customHeight="1">
      <c r="B20" s="50" t="s">
        <v>117</v>
      </c>
      <c r="C20" s="49" t="s">
        <v>212</v>
      </c>
      <c r="D20" s="178" t="s">
        <v>331</v>
      </c>
      <c r="E20" s="40"/>
    </row>
    <row r="21" spans="2:5" ht="15.95" customHeight="1">
      <c r="B21" s="51"/>
      <c r="C21" s="49" t="s">
        <v>289</v>
      </c>
      <c r="D21" s="178" t="s">
        <v>333</v>
      </c>
      <c r="E21" s="40"/>
    </row>
    <row r="22" spans="2:5" ht="15.95" customHeight="1">
      <c r="B22" s="50" t="s">
        <v>295</v>
      </c>
      <c r="C22" s="49" t="s">
        <v>89</v>
      </c>
      <c r="D22" s="119" t="s">
        <v>330</v>
      </c>
      <c r="E22" s="40"/>
    </row>
    <row r="23" spans="2:5" ht="15.95" customHeight="1">
      <c r="B23" s="53" t="s">
        <v>263</v>
      </c>
      <c r="C23" s="49" t="s">
        <v>90</v>
      </c>
      <c r="D23" s="119" t="s">
        <v>330</v>
      </c>
      <c r="E23" s="40"/>
    </row>
    <row r="24" spans="2:5" ht="15.95" customHeight="1">
      <c r="B24" s="54"/>
      <c r="C24" s="50" t="s">
        <v>100</v>
      </c>
      <c r="D24" s="119" t="s">
        <v>332</v>
      </c>
      <c r="E24" s="40"/>
    </row>
    <row r="25" spans="2:5" ht="15.95" customHeight="1">
      <c r="B25" s="50" t="s">
        <v>221</v>
      </c>
      <c r="C25" s="49" t="s">
        <v>218</v>
      </c>
      <c r="D25" s="122" t="s">
        <v>600</v>
      </c>
      <c r="E25" s="40"/>
    </row>
    <row r="26" spans="2:5" ht="15.95" customHeight="1">
      <c r="B26" s="54"/>
      <c r="C26" s="49" t="s">
        <v>220</v>
      </c>
      <c r="D26" s="179" t="s">
        <v>601</v>
      </c>
      <c r="E26" s="40"/>
    </row>
    <row r="27" spans="2:5" ht="15.95" customHeight="1" thickBot="1">
      <c r="B27" s="52"/>
      <c r="C27" s="49" t="s">
        <v>219</v>
      </c>
      <c r="D27" s="182" t="s">
        <v>602</v>
      </c>
      <c r="E27" s="40"/>
    </row>
    <row r="28" spans="2:5" ht="15.95" customHeight="1" thickTop="1">
      <c r="B28" s="54"/>
      <c r="C28" s="54"/>
      <c r="D28" s="55"/>
    </row>
    <row r="29" spans="2:5" ht="15.95" customHeight="1">
      <c r="B29" s="54"/>
      <c r="C29" s="54"/>
      <c r="D29" s="55"/>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xWindow="955" yWindow="668" count="9">
    <dataValidation allowBlank="1" showInputMessage="1" showErrorMessage="1" promptTitle="EITI Report URL" prompt="Please insert direct URL to EITI Report (or report folder) on National EITI website." sqref="D14" xr:uid="{CB08C2C2-E6C2-4D90-AB1D-D0311257C828}"/>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xr:uid="{00000000-0002-0000-0100-000007000000}"/>
    <dataValidation allowBlank="1" showInputMessage="1" showErrorMessage="1" promptTitle="Additional relevant files" prompt="If several files relevant to the report exist, please indicate as such here. If several, please copy this into several rows." sqref="D17" xr:uid="{00000000-0002-0000-0100-000008000000}"/>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8" xr:uid="{6413B46C-8FAA-4282-8ECE-94DE70AF1694}">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9" xr:uid="{00000000-0002-0000-0100-00000A000000}">
      <formula1>0</formula1>
      <formula2>9999999999999990000</formula2>
    </dataValidation>
    <dataValidation allowBlank="1" showInputMessage="1" showErrorMessage="1" promptTitle="Open data policy" prompt="Please insert direct URL to Open data policy on National EITI website." sqref="D16" xr:uid="{00000000-0002-0000-0100-00000B000000}"/>
    <dataValidation type="list" showInputMessage="1" showErrorMessage="1" errorTitle="Invalid entry" error="_x000a_Please choose among the following:_x000a__x000a_Yes_x000a_No_x000a_Not applicable" promptTitle="Choose among the following" prompt="_x000a_Yes_x000a_No_x000a_Not applicable" sqref="D10:D12 D22:D24" xr:uid="{00000000-0002-0000-0100-00000C000000}">
      <formula1>"Yes,No,Not applicable,&lt;choose option&gt;"</formula1>
    </dataValidation>
    <dataValidation type="list" showDropDown="1" showInputMessage="1" showErrorMessage="1" errorTitle="Please do not edit these cells" error="Please do not edit these cells" sqref="C1:C12 C14:C16 A1:B29 C18:C29 D28:E30 D1:E4" xr:uid="{00000000-0002-0000-0100-00000D000000}">
      <formula1>"#ERROR!"</formula1>
    </dataValidation>
    <dataValidation allowBlank="1" sqref="D6:D7 D9 D20:D21" xr:uid="{0B1B4023-B738-4CEC-863C-148F23A3497D}"/>
  </dataValidations>
  <hyperlinks>
    <hyperlink ref="D14" r:id="rId1" xr:uid="{0CCECB99-26E1-4323-B4D1-3A790D18132F}"/>
    <hyperlink ref="D27" r:id="rId2" xr:uid="{A50BD666-5990-4F30-8F42-5A719016BE6F}"/>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8"/>
  <sheetViews>
    <sheetView showGridLines="0" zoomScale="115" zoomScaleNormal="115" workbookViewId="0">
      <selection activeCell="D11" sqref="D11"/>
    </sheetView>
  </sheetViews>
  <sheetFormatPr baseColWidth="10" defaultColWidth="3.5" defaultRowHeight="24" customHeight="1"/>
  <cols>
    <col min="1" max="1" width="3.5" style="46"/>
    <col min="2" max="2" width="53.5" style="46" customWidth="1"/>
    <col min="3" max="3" width="52.5" style="46" bestFit="1" customWidth="1"/>
    <col min="4" max="4" width="26.25" style="46" customWidth="1"/>
    <col min="5" max="5" width="15.125" style="46" bestFit="1" customWidth="1"/>
    <col min="6" max="6" width="32.875" style="46" bestFit="1" customWidth="1"/>
    <col min="7" max="7" width="32.125" style="46" customWidth="1"/>
    <col min="8" max="8" width="46.5" style="46" customWidth="1"/>
    <col min="9" max="16384" width="3.5" style="46"/>
  </cols>
  <sheetData>
    <row r="1" spans="2:8" ht="15.95" customHeight="1"/>
    <row r="2" spans="2:8" ht="24.95" customHeight="1">
      <c r="B2" s="47" t="s">
        <v>92</v>
      </c>
      <c r="C2" s="7"/>
      <c r="E2" s="10"/>
    </row>
    <row r="3" spans="2:8" ht="15.95" customHeight="1">
      <c r="B3" s="56"/>
      <c r="E3" s="10"/>
    </row>
    <row r="4" spans="2:8" ht="15" customHeight="1" thickBot="1">
      <c r="D4" s="10" t="s">
        <v>91</v>
      </c>
      <c r="E4" s="10" t="s">
        <v>222</v>
      </c>
      <c r="F4" s="11" t="s">
        <v>262</v>
      </c>
      <c r="G4" s="10" t="s">
        <v>261</v>
      </c>
      <c r="H4" s="38"/>
    </row>
    <row r="5" spans="2:8" ht="16.5" customHeight="1" thickBot="1">
      <c r="B5" s="50" t="s">
        <v>307</v>
      </c>
      <c r="C5" s="49" t="s">
        <v>276</v>
      </c>
      <c r="D5" s="117">
        <v>4447498</v>
      </c>
      <c r="E5" s="139" t="s">
        <v>334</v>
      </c>
      <c r="F5" s="57" t="s">
        <v>335</v>
      </c>
      <c r="G5" s="40"/>
    </row>
    <row r="6" spans="2:8" ht="16.5" customHeight="1">
      <c r="B6" s="58" t="s">
        <v>223</v>
      </c>
      <c r="C6" s="49" t="s">
        <v>273</v>
      </c>
      <c r="D6" s="118">
        <v>72714021.200000003</v>
      </c>
      <c r="E6" s="139" t="s">
        <v>334</v>
      </c>
      <c r="F6" s="59" t="s">
        <v>335</v>
      </c>
      <c r="G6" s="40"/>
    </row>
    <row r="7" spans="2:8" ht="16.5" customHeight="1">
      <c r="C7" s="60" t="s">
        <v>274</v>
      </c>
      <c r="D7" s="118">
        <v>3404469</v>
      </c>
      <c r="E7" s="140" t="s">
        <v>334</v>
      </c>
      <c r="F7" s="59" t="s">
        <v>335</v>
      </c>
      <c r="G7" s="40"/>
    </row>
    <row r="8" spans="2:8" ht="16.5" customHeight="1">
      <c r="B8" s="54"/>
      <c r="C8" s="49" t="s">
        <v>275</v>
      </c>
      <c r="D8" s="118">
        <v>17000051</v>
      </c>
      <c r="E8" s="140" t="s">
        <v>334</v>
      </c>
      <c r="F8" s="59" t="s">
        <v>335</v>
      </c>
      <c r="G8" s="40"/>
    </row>
    <row r="9" spans="2:8" ht="16.5" customHeight="1">
      <c r="B9" s="54"/>
      <c r="C9" s="49" t="s">
        <v>277</v>
      </c>
      <c r="D9" s="118">
        <v>6489880</v>
      </c>
      <c r="E9" s="140" t="s">
        <v>334</v>
      </c>
      <c r="F9" s="59" t="s">
        <v>335</v>
      </c>
      <c r="G9" s="40"/>
    </row>
    <row r="10" spans="2:8" ht="16.5" customHeight="1">
      <c r="B10" s="54"/>
      <c r="C10" s="49" t="s">
        <v>278</v>
      </c>
      <c r="D10" s="118">
        <v>13626811</v>
      </c>
      <c r="E10" s="140" t="s">
        <v>334</v>
      </c>
      <c r="F10" s="59" t="s">
        <v>335</v>
      </c>
      <c r="G10" s="40"/>
    </row>
    <row r="11" spans="2:8" ht="15.95" customHeight="1">
      <c r="B11" s="50" t="s">
        <v>308</v>
      </c>
      <c r="C11" s="49" t="s">
        <v>224</v>
      </c>
      <c r="D11" s="118">
        <v>1506345</v>
      </c>
      <c r="E11" s="175" t="s">
        <v>336</v>
      </c>
      <c r="F11" s="59" t="s">
        <v>337</v>
      </c>
      <c r="G11" s="40"/>
    </row>
    <row r="12" spans="2:8" ht="15.95" customHeight="1">
      <c r="B12" s="58" t="s">
        <v>223</v>
      </c>
      <c r="C12" s="49" t="s">
        <v>296</v>
      </c>
      <c r="D12" s="118">
        <v>96506</v>
      </c>
      <c r="E12" s="140" t="s">
        <v>334</v>
      </c>
      <c r="F12" s="59" t="s">
        <v>337</v>
      </c>
      <c r="G12" s="40"/>
    </row>
    <row r="13" spans="2:8" ht="15.95" customHeight="1">
      <c r="B13" s="61"/>
      <c r="C13" s="49" t="s">
        <v>225</v>
      </c>
      <c r="D13" s="118">
        <f>676954+713</f>
        <v>677667</v>
      </c>
      <c r="E13" s="140" t="s">
        <v>338</v>
      </c>
      <c r="F13" s="59" t="s">
        <v>337</v>
      </c>
      <c r="G13" s="40"/>
    </row>
    <row r="14" spans="2:8" ht="15.95" customHeight="1">
      <c r="B14" s="61"/>
      <c r="C14" s="49" t="s">
        <v>297</v>
      </c>
      <c r="D14" s="118">
        <f>5789256+6100</f>
        <v>5795356</v>
      </c>
      <c r="E14" s="140" t="s">
        <v>334</v>
      </c>
      <c r="F14" s="59" t="s">
        <v>337</v>
      </c>
      <c r="G14" s="40"/>
    </row>
    <row r="15" spans="2:8" ht="15.95" customHeight="1">
      <c r="B15" s="61"/>
      <c r="C15" s="49" t="s">
        <v>339</v>
      </c>
      <c r="D15" s="118">
        <v>2003419</v>
      </c>
      <c r="E15" s="175" t="s">
        <v>336</v>
      </c>
      <c r="F15" s="59" t="s">
        <v>337</v>
      </c>
      <c r="G15" s="40"/>
    </row>
    <row r="16" spans="2:8" ht="15.95" customHeight="1">
      <c r="B16"/>
      <c r="C16" s="49" t="s">
        <v>340</v>
      </c>
      <c r="D16" s="118">
        <v>112579</v>
      </c>
      <c r="E16" s="140" t="s">
        <v>334</v>
      </c>
      <c r="F16" s="59" t="s">
        <v>337</v>
      </c>
      <c r="G16" s="40"/>
    </row>
    <row r="17" spans="2:7" ht="15.95" customHeight="1">
      <c r="B17"/>
      <c r="C17" s="49" t="s">
        <v>341</v>
      </c>
      <c r="D17" s="118">
        <f>765259+10810781+58300+1849042</f>
        <v>13483382</v>
      </c>
      <c r="E17" s="175" t="s">
        <v>342</v>
      </c>
      <c r="F17" s="183" t="s">
        <v>343</v>
      </c>
      <c r="G17" s="40"/>
    </row>
    <row r="18" spans="2:7" ht="15.95" customHeight="1">
      <c r="B18"/>
      <c r="C18" s="49" t="s">
        <v>344</v>
      </c>
      <c r="D18" s="118">
        <f>144.95+870.86+2.91+96.9</f>
        <v>1115.6199999999999</v>
      </c>
      <c r="E18" s="140" t="s">
        <v>334</v>
      </c>
      <c r="F18" s="183" t="s">
        <v>343</v>
      </c>
      <c r="G18" s="40"/>
    </row>
    <row r="19" spans="2:7" ht="15.95" customHeight="1">
      <c r="B19"/>
      <c r="C19" s="49" t="s">
        <v>345</v>
      </c>
      <c r="D19" s="118">
        <v>71</v>
      </c>
      <c r="E19" s="175" t="s">
        <v>346</v>
      </c>
      <c r="F19" s="183" t="s">
        <v>343</v>
      </c>
      <c r="G19" s="40"/>
    </row>
    <row r="20" spans="2:7" ht="15.95" customHeight="1">
      <c r="B20"/>
      <c r="C20" s="49" t="s">
        <v>347</v>
      </c>
      <c r="D20" s="118">
        <v>0.6</v>
      </c>
      <c r="E20" s="140" t="s">
        <v>334</v>
      </c>
      <c r="F20" s="183" t="s">
        <v>343</v>
      </c>
      <c r="G20" s="40"/>
    </row>
    <row r="21" spans="2:7" ht="15.95" customHeight="1">
      <c r="B21"/>
      <c r="C21" s="49" t="s">
        <v>348</v>
      </c>
      <c r="D21" s="118">
        <f>17258772+80319+17425166+343905+944343+6682</f>
        <v>36059187</v>
      </c>
      <c r="E21" s="175" t="s">
        <v>346</v>
      </c>
      <c r="F21" s="183" t="s">
        <v>343</v>
      </c>
      <c r="G21" s="40"/>
    </row>
    <row r="22" spans="2:7" ht="15.95" customHeight="1">
      <c r="B22" s="61"/>
      <c r="C22" s="49" t="s">
        <v>349</v>
      </c>
      <c r="D22" s="118">
        <f>40831.87+44190.69</f>
        <v>85022.56</v>
      </c>
      <c r="E22" s="140" t="s">
        <v>334</v>
      </c>
      <c r="F22" s="183" t="s">
        <v>343</v>
      </c>
      <c r="G22" s="40"/>
    </row>
    <row r="23" spans="2:7" ht="15.95" customHeight="1">
      <c r="B23" s="61"/>
      <c r="C23" s="49" t="s">
        <v>350</v>
      </c>
      <c r="D23" s="118">
        <v>17463</v>
      </c>
      <c r="E23" s="175" t="s">
        <v>298</v>
      </c>
      <c r="F23" s="183" t="s">
        <v>343</v>
      </c>
      <c r="G23" s="40"/>
    </row>
    <row r="24" spans="2:7" ht="15.95" customHeight="1">
      <c r="B24" s="61"/>
      <c r="C24" s="49" t="s">
        <v>351</v>
      </c>
      <c r="D24" s="118">
        <v>1048</v>
      </c>
      <c r="E24" s="140" t="s">
        <v>334</v>
      </c>
      <c r="F24" s="183" t="s">
        <v>343</v>
      </c>
      <c r="G24" s="40"/>
    </row>
    <row r="25" spans="2:7" ht="15.95" customHeight="1">
      <c r="B25" s="61"/>
      <c r="C25" s="49" t="s">
        <v>352</v>
      </c>
      <c r="D25" s="118">
        <v>4319</v>
      </c>
      <c r="E25" s="175" t="s">
        <v>298</v>
      </c>
      <c r="F25" s="183" t="s">
        <v>343</v>
      </c>
      <c r="G25" s="40"/>
    </row>
    <row r="26" spans="2:7" ht="15.95" customHeight="1">
      <c r="B26" s="61"/>
      <c r="C26" s="49" t="s">
        <v>353</v>
      </c>
      <c r="D26" s="118">
        <v>586</v>
      </c>
      <c r="E26" s="140" t="s">
        <v>334</v>
      </c>
      <c r="F26" s="183" t="s">
        <v>343</v>
      </c>
      <c r="G26" s="40"/>
    </row>
    <row r="27" spans="2:7" ht="15.95" customHeight="1">
      <c r="B27" s="61"/>
      <c r="C27" s="49" t="s">
        <v>354</v>
      </c>
      <c r="D27" s="118">
        <v>31025</v>
      </c>
      <c r="E27" s="175" t="s">
        <v>298</v>
      </c>
      <c r="F27" s="183" t="s">
        <v>343</v>
      </c>
      <c r="G27" s="40"/>
    </row>
    <row r="28" spans="2:7" ht="15.95" customHeight="1">
      <c r="B28" s="61"/>
      <c r="C28" s="49" t="s">
        <v>355</v>
      </c>
      <c r="D28" s="118">
        <v>2483</v>
      </c>
      <c r="E28" s="140" t="s">
        <v>334</v>
      </c>
      <c r="F28" s="183" t="s">
        <v>343</v>
      </c>
      <c r="G28" s="40"/>
    </row>
    <row r="29" spans="2:7" ht="15.95" customHeight="1">
      <c r="B29" s="61"/>
      <c r="C29" s="49" t="s">
        <v>356</v>
      </c>
      <c r="D29" s="118">
        <v>6015</v>
      </c>
      <c r="E29" s="175" t="s">
        <v>298</v>
      </c>
      <c r="F29" s="183" t="s">
        <v>343</v>
      </c>
      <c r="G29" s="40"/>
    </row>
    <row r="30" spans="2:7" ht="15.95" customHeight="1">
      <c r="B30" s="61"/>
      <c r="C30" s="49" t="s">
        <v>357</v>
      </c>
      <c r="D30" s="118">
        <v>301</v>
      </c>
      <c r="E30" s="140" t="s">
        <v>334</v>
      </c>
      <c r="F30" s="183" t="s">
        <v>343</v>
      </c>
      <c r="G30" s="40"/>
    </row>
    <row r="31" spans="2:7" ht="15.95" customHeight="1">
      <c r="B31" s="61"/>
      <c r="C31" s="49" t="s">
        <v>358</v>
      </c>
      <c r="D31" s="118">
        <v>1286</v>
      </c>
      <c r="E31" s="175" t="s">
        <v>298</v>
      </c>
      <c r="F31" s="183" t="s">
        <v>343</v>
      </c>
      <c r="G31" s="40"/>
    </row>
    <row r="32" spans="2:7" ht="15.95" customHeight="1">
      <c r="B32" s="61"/>
      <c r="C32" s="49" t="s">
        <v>359</v>
      </c>
      <c r="D32" s="118">
        <v>90</v>
      </c>
      <c r="E32" s="140" t="s">
        <v>334</v>
      </c>
      <c r="F32" s="183" t="s">
        <v>343</v>
      </c>
      <c r="G32" s="40"/>
    </row>
    <row r="33" spans="2:7" ht="15.95" customHeight="1">
      <c r="B33" s="61"/>
      <c r="C33" s="49" t="s">
        <v>360</v>
      </c>
      <c r="D33" s="118">
        <v>5777</v>
      </c>
      <c r="E33" s="175" t="s">
        <v>298</v>
      </c>
      <c r="F33" s="183" t="s">
        <v>343</v>
      </c>
      <c r="G33" s="40"/>
    </row>
    <row r="34" spans="2:7" ht="15.95" customHeight="1">
      <c r="B34" s="61"/>
      <c r="C34" s="49" t="s">
        <v>361</v>
      </c>
      <c r="D34" s="118">
        <v>2021</v>
      </c>
      <c r="E34" s="140" t="s">
        <v>334</v>
      </c>
      <c r="F34" s="183" t="s">
        <v>343</v>
      </c>
      <c r="G34" s="40"/>
    </row>
    <row r="35" spans="2:7" ht="15.95" customHeight="1">
      <c r="B35" s="61"/>
      <c r="C35" s="49" t="s">
        <v>362</v>
      </c>
      <c r="D35" s="118">
        <v>760</v>
      </c>
      <c r="E35" s="175" t="s">
        <v>298</v>
      </c>
      <c r="F35" s="183" t="s">
        <v>343</v>
      </c>
      <c r="G35" s="40"/>
    </row>
    <row r="36" spans="2:7" ht="15.95" customHeight="1">
      <c r="B36" s="61"/>
      <c r="C36" s="49" t="s">
        <v>363</v>
      </c>
      <c r="D36" s="118">
        <v>380</v>
      </c>
      <c r="E36" s="140" t="s">
        <v>334</v>
      </c>
      <c r="F36" s="183" t="s">
        <v>343</v>
      </c>
      <c r="G36" s="40"/>
    </row>
    <row r="37" spans="2:7" ht="15.95" customHeight="1">
      <c r="B37" s="61"/>
      <c r="C37" s="49" t="s">
        <v>364</v>
      </c>
      <c r="D37" s="118">
        <v>757</v>
      </c>
      <c r="E37" s="175" t="s">
        <v>298</v>
      </c>
      <c r="F37" s="183" t="s">
        <v>343</v>
      </c>
      <c r="G37" s="40"/>
    </row>
    <row r="38" spans="2:7" ht="15.95" customHeight="1">
      <c r="B38" s="61"/>
      <c r="C38" s="49" t="s">
        <v>365</v>
      </c>
      <c r="D38" s="118">
        <v>114</v>
      </c>
      <c r="E38" s="140" t="s">
        <v>334</v>
      </c>
      <c r="F38" s="183" t="s">
        <v>343</v>
      </c>
      <c r="G38" s="40"/>
    </row>
    <row r="39" spans="2:7" ht="15.95" customHeight="1">
      <c r="B39" s="61"/>
      <c r="C39" s="49" t="s">
        <v>366</v>
      </c>
      <c r="D39" s="118">
        <v>1200</v>
      </c>
      <c r="E39" s="175" t="s">
        <v>298</v>
      </c>
      <c r="F39" s="183" t="s">
        <v>343</v>
      </c>
      <c r="G39" s="40"/>
    </row>
    <row r="40" spans="2:7" ht="15.95" customHeight="1">
      <c r="B40" s="61"/>
      <c r="C40" s="49" t="s">
        <v>367</v>
      </c>
      <c r="D40" s="118">
        <v>90</v>
      </c>
      <c r="E40" s="140" t="s">
        <v>334</v>
      </c>
      <c r="F40" s="183" t="s">
        <v>343</v>
      </c>
      <c r="G40" s="40"/>
    </row>
    <row r="41" spans="2:7" ht="15.95" customHeight="1">
      <c r="B41" s="61"/>
      <c r="C41" s="49" t="s">
        <v>368</v>
      </c>
      <c r="D41" s="118">
        <v>451</v>
      </c>
      <c r="E41" s="175" t="s">
        <v>298</v>
      </c>
      <c r="F41" s="183" t="s">
        <v>343</v>
      </c>
      <c r="G41" s="40"/>
    </row>
    <row r="42" spans="2:7" ht="15.95" customHeight="1">
      <c r="B42" s="61"/>
      <c r="C42" s="49" t="s">
        <v>369</v>
      </c>
      <c r="D42" s="118">
        <v>3074</v>
      </c>
      <c r="E42" s="140" t="s">
        <v>334</v>
      </c>
      <c r="F42" s="183" t="s">
        <v>343</v>
      </c>
      <c r="G42" s="40"/>
    </row>
    <row r="43" spans="2:7" ht="15.95" customHeight="1">
      <c r="B43" s="61"/>
      <c r="C43" s="49" t="s">
        <v>370</v>
      </c>
      <c r="D43" s="118">
        <v>10</v>
      </c>
      <c r="E43" s="175" t="s">
        <v>298</v>
      </c>
      <c r="F43" s="183" t="s">
        <v>343</v>
      </c>
      <c r="G43" s="40"/>
    </row>
    <row r="44" spans="2:7" ht="15.95" customHeight="1">
      <c r="B44" s="61"/>
      <c r="C44" s="49" t="s">
        <v>371</v>
      </c>
      <c r="D44" s="118">
        <v>142</v>
      </c>
      <c r="E44" s="140" t="s">
        <v>334</v>
      </c>
      <c r="F44" s="183" t="s">
        <v>343</v>
      </c>
      <c r="G44" s="40"/>
    </row>
    <row r="45" spans="2:7" ht="15.95" customHeight="1">
      <c r="B45" s="61"/>
      <c r="C45" s="49" t="s">
        <v>372</v>
      </c>
      <c r="D45" s="118">
        <v>385</v>
      </c>
      <c r="E45" s="175" t="s">
        <v>298</v>
      </c>
      <c r="F45" s="183" t="s">
        <v>343</v>
      </c>
      <c r="G45" s="40"/>
    </row>
    <row r="46" spans="2:7" ht="15.95" customHeight="1">
      <c r="B46" s="61"/>
      <c r="C46" s="49" t="s">
        <v>373</v>
      </c>
      <c r="D46" s="118">
        <v>2784</v>
      </c>
      <c r="E46" s="140" t="s">
        <v>334</v>
      </c>
      <c r="F46" s="183" t="s">
        <v>343</v>
      </c>
      <c r="G46" s="40"/>
    </row>
    <row r="47" spans="2:7" ht="15.95" customHeight="1">
      <c r="B47" s="61"/>
      <c r="C47" s="49" t="s">
        <v>374</v>
      </c>
      <c r="D47" s="118">
        <v>242</v>
      </c>
      <c r="E47" s="175" t="s">
        <v>298</v>
      </c>
      <c r="F47" s="183" t="s">
        <v>343</v>
      </c>
      <c r="G47" s="40"/>
    </row>
    <row r="48" spans="2:7" ht="15.95" customHeight="1">
      <c r="B48" s="61"/>
      <c r="C48" s="49" t="s">
        <v>375</v>
      </c>
      <c r="D48" s="118">
        <v>1785</v>
      </c>
      <c r="E48" s="140" t="s">
        <v>334</v>
      </c>
      <c r="F48" s="183" t="s">
        <v>343</v>
      </c>
      <c r="G48" s="40"/>
    </row>
    <row r="49" spans="2:7" ht="15.95" customHeight="1">
      <c r="B49" s="61"/>
      <c r="C49" s="49" t="s">
        <v>376</v>
      </c>
      <c r="D49" s="118">
        <v>54400</v>
      </c>
      <c r="E49" s="175" t="s">
        <v>377</v>
      </c>
      <c r="F49" s="183" t="s">
        <v>343</v>
      </c>
      <c r="G49" s="40"/>
    </row>
    <row r="50" spans="2:7" ht="15.95" customHeight="1">
      <c r="B50" s="61"/>
      <c r="C50" s="49" t="s">
        <v>378</v>
      </c>
      <c r="D50" s="118">
        <v>77661</v>
      </c>
      <c r="E50" s="140" t="s">
        <v>334</v>
      </c>
      <c r="F50" s="183" t="s">
        <v>343</v>
      </c>
      <c r="G50" s="40"/>
    </row>
    <row r="51" spans="2:7" ht="15.95" customHeight="1">
      <c r="B51" s="61"/>
      <c r="C51" s="49" t="s">
        <v>379</v>
      </c>
      <c r="D51" s="118">
        <v>419862</v>
      </c>
      <c r="E51" s="175" t="s">
        <v>298</v>
      </c>
      <c r="F51" s="183" t="s">
        <v>343</v>
      </c>
      <c r="G51" s="40"/>
    </row>
    <row r="52" spans="2:7" ht="15.95" customHeight="1">
      <c r="B52" s="61"/>
      <c r="C52" s="49" t="s">
        <v>380</v>
      </c>
      <c r="D52" s="118">
        <v>41989</v>
      </c>
      <c r="E52" s="140" t="s">
        <v>334</v>
      </c>
      <c r="F52" s="183" t="s">
        <v>343</v>
      </c>
      <c r="G52" s="40"/>
    </row>
    <row r="53" spans="2:7" ht="15.95" customHeight="1">
      <c r="B53" s="61"/>
      <c r="C53" s="49" t="s">
        <v>381</v>
      </c>
      <c r="D53" s="118">
        <v>3427909</v>
      </c>
      <c r="E53" s="175" t="s">
        <v>298</v>
      </c>
      <c r="F53" s="183" t="s">
        <v>343</v>
      </c>
      <c r="G53" s="40"/>
    </row>
    <row r="54" spans="2:7" ht="15.95" customHeight="1">
      <c r="B54" s="61"/>
      <c r="C54" s="49" t="s">
        <v>382</v>
      </c>
      <c r="D54" s="118">
        <v>4144</v>
      </c>
      <c r="E54" s="140" t="s">
        <v>334</v>
      </c>
      <c r="F54" s="183" t="s">
        <v>343</v>
      </c>
      <c r="G54" s="40"/>
    </row>
    <row r="55" spans="2:7" ht="15.95" customHeight="1">
      <c r="B55" s="61"/>
      <c r="C55" s="49" t="s">
        <v>383</v>
      </c>
      <c r="D55" s="118">
        <v>4722</v>
      </c>
      <c r="E55" s="175" t="s">
        <v>298</v>
      </c>
      <c r="F55" s="183" t="s">
        <v>343</v>
      </c>
      <c r="G55" s="40"/>
    </row>
    <row r="56" spans="2:7" ht="15.95" customHeight="1">
      <c r="B56" s="61"/>
      <c r="C56" s="49" t="s">
        <v>384</v>
      </c>
      <c r="D56" s="118">
        <v>246</v>
      </c>
      <c r="E56" s="140" t="s">
        <v>334</v>
      </c>
      <c r="F56" s="183" t="s">
        <v>343</v>
      </c>
      <c r="G56" s="40"/>
    </row>
    <row r="57" spans="2:7" ht="15.95" customHeight="1">
      <c r="B57" s="61"/>
      <c r="C57" s="49" t="s">
        <v>385</v>
      </c>
      <c r="D57" s="118">
        <v>5760</v>
      </c>
      <c r="E57" s="175" t="s">
        <v>298</v>
      </c>
      <c r="F57" s="183" t="s">
        <v>343</v>
      </c>
      <c r="G57" s="40"/>
    </row>
    <row r="58" spans="2:7" ht="15.95" customHeight="1">
      <c r="B58" s="61"/>
      <c r="C58" s="49" t="s">
        <v>386</v>
      </c>
      <c r="D58" s="118">
        <v>458</v>
      </c>
      <c r="E58" s="140" t="s">
        <v>334</v>
      </c>
      <c r="F58" s="183" t="s">
        <v>343</v>
      </c>
      <c r="G58" s="40"/>
    </row>
    <row r="59" spans="2:7" ht="15.95" customHeight="1">
      <c r="B59" s="61"/>
      <c r="C59" s="49" t="s">
        <v>387</v>
      </c>
      <c r="D59" s="118">
        <v>200</v>
      </c>
      <c r="E59" s="175" t="s">
        <v>298</v>
      </c>
      <c r="F59" s="183" t="s">
        <v>343</v>
      </c>
      <c r="G59" s="40"/>
    </row>
    <row r="60" spans="2:7" ht="15.95" customHeight="1">
      <c r="B60" s="61"/>
      <c r="C60" s="49" t="s">
        <v>388</v>
      </c>
      <c r="D60" s="118">
        <v>3</v>
      </c>
      <c r="E60" s="140" t="s">
        <v>334</v>
      </c>
      <c r="F60" s="183" t="s">
        <v>343</v>
      </c>
      <c r="G60" s="40"/>
    </row>
    <row r="61" spans="2:7" ht="15.95" customHeight="1">
      <c r="B61" s="61"/>
      <c r="C61" s="49" t="s">
        <v>389</v>
      </c>
      <c r="D61" s="118">
        <v>99859</v>
      </c>
      <c r="E61" s="175" t="s">
        <v>298</v>
      </c>
      <c r="F61" s="183" t="s">
        <v>343</v>
      </c>
      <c r="G61" s="40"/>
    </row>
    <row r="62" spans="2:7" ht="15.95" customHeight="1">
      <c r="B62" s="61"/>
      <c r="C62" s="49" t="s">
        <v>390</v>
      </c>
      <c r="D62" s="118">
        <v>1198</v>
      </c>
      <c r="E62" s="140" t="s">
        <v>334</v>
      </c>
      <c r="F62" s="183" t="s">
        <v>343</v>
      </c>
      <c r="G62" s="40"/>
    </row>
    <row r="63" spans="2:7" ht="15.95" customHeight="1">
      <c r="B63" s="61"/>
      <c r="C63" s="49" t="s">
        <v>406</v>
      </c>
      <c r="D63" s="118">
        <v>2715</v>
      </c>
      <c r="E63" s="175" t="s">
        <v>298</v>
      </c>
      <c r="F63" s="183" t="s">
        <v>343</v>
      </c>
      <c r="G63" s="40"/>
    </row>
    <row r="64" spans="2:7" ht="15.95" customHeight="1">
      <c r="B64" s="61"/>
      <c r="C64" s="49" t="s">
        <v>407</v>
      </c>
      <c r="D64" s="118">
        <v>18</v>
      </c>
      <c r="E64" s="140" t="s">
        <v>334</v>
      </c>
      <c r="F64" s="183" t="s">
        <v>343</v>
      </c>
      <c r="G64" s="40"/>
    </row>
    <row r="65" spans="2:7" ht="15.95" customHeight="1">
      <c r="B65" s="61"/>
      <c r="C65" s="49" t="s">
        <v>391</v>
      </c>
      <c r="D65" s="118">
        <v>7968</v>
      </c>
      <c r="E65" s="175" t="s">
        <v>298</v>
      </c>
      <c r="F65" s="183" t="s">
        <v>343</v>
      </c>
      <c r="G65" s="40"/>
    </row>
    <row r="66" spans="2:7" ht="15.95" customHeight="1">
      <c r="B66" s="61"/>
      <c r="C66" s="49" t="s">
        <v>392</v>
      </c>
      <c r="D66" s="118">
        <v>64</v>
      </c>
      <c r="E66" s="140" t="s">
        <v>334</v>
      </c>
      <c r="F66" s="183" t="s">
        <v>343</v>
      </c>
      <c r="G66" s="40"/>
    </row>
    <row r="67" spans="2:7" ht="15.95" customHeight="1">
      <c r="B67" s="61"/>
      <c r="C67" s="49" t="s">
        <v>393</v>
      </c>
      <c r="D67" s="118">
        <v>2366</v>
      </c>
      <c r="E67" s="175" t="s">
        <v>298</v>
      </c>
      <c r="F67" s="183" t="s">
        <v>343</v>
      </c>
      <c r="G67" s="40"/>
    </row>
    <row r="68" spans="2:7" ht="15.95" customHeight="1">
      <c r="B68" s="61"/>
      <c r="C68" s="49" t="s">
        <v>394</v>
      </c>
      <c r="D68" s="118">
        <v>47</v>
      </c>
      <c r="E68" s="140" t="s">
        <v>334</v>
      </c>
      <c r="F68" s="183" t="s">
        <v>343</v>
      </c>
      <c r="G68" s="40"/>
    </row>
    <row r="69" spans="2:7" ht="15.95" customHeight="1">
      <c r="B69" s="61"/>
      <c r="C69" s="49" t="s">
        <v>395</v>
      </c>
      <c r="D69" s="118">
        <v>2836</v>
      </c>
      <c r="E69" s="175" t="s">
        <v>298</v>
      </c>
      <c r="F69" s="183" t="s">
        <v>343</v>
      </c>
      <c r="G69" s="40"/>
    </row>
    <row r="70" spans="2:7" ht="15.95" customHeight="1">
      <c r="B70" s="61"/>
      <c r="C70" s="49" t="s">
        <v>396</v>
      </c>
      <c r="D70" s="118">
        <v>34</v>
      </c>
      <c r="E70" s="140" t="s">
        <v>334</v>
      </c>
      <c r="F70" s="183" t="s">
        <v>343</v>
      </c>
      <c r="G70" s="40"/>
    </row>
    <row r="71" spans="2:7" ht="15.95" customHeight="1">
      <c r="B71" s="61"/>
      <c r="C71" s="49" t="s">
        <v>397</v>
      </c>
      <c r="D71" s="118">
        <v>5250</v>
      </c>
      <c r="E71" s="175" t="s">
        <v>298</v>
      </c>
      <c r="F71" s="183" t="s">
        <v>343</v>
      </c>
      <c r="G71" s="40"/>
    </row>
    <row r="72" spans="2:7" ht="15.95" customHeight="1">
      <c r="B72" s="61"/>
      <c r="C72" s="49" t="s">
        <v>398</v>
      </c>
      <c r="D72" s="118">
        <v>34</v>
      </c>
      <c r="E72" s="140" t="s">
        <v>334</v>
      </c>
      <c r="F72" s="183" t="s">
        <v>343</v>
      </c>
      <c r="G72" s="40"/>
    </row>
    <row r="73" spans="2:7" ht="15.95" customHeight="1">
      <c r="B73" s="61"/>
      <c r="C73" s="49" t="s">
        <v>399</v>
      </c>
      <c r="D73" s="118">
        <v>2000</v>
      </c>
      <c r="E73" s="140" t="s">
        <v>298</v>
      </c>
      <c r="F73" s="59" t="s">
        <v>343</v>
      </c>
      <c r="G73" s="40"/>
    </row>
    <row r="74" spans="2:7" ht="15.95" customHeight="1">
      <c r="B74" s="61"/>
      <c r="C74" s="49" t="s">
        <v>400</v>
      </c>
      <c r="D74" s="118">
        <v>200</v>
      </c>
      <c r="E74" s="140" t="s">
        <v>334</v>
      </c>
      <c r="F74" s="59" t="s">
        <v>343</v>
      </c>
      <c r="G74" s="40"/>
    </row>
    <row r="75" spans="2:7" ht="15.95" customHeight="1">
      <c r="B75" s="61"/>
      <c r="C75" s="49" t="s">
        <v>401</v>
      </c>
      <c r="D75" s="118">
        <v>1650</v>
      </c>
      <c r="E75" s="140" t="s">
        <v>298</v>
      </c>
      <c r="F75" s="59" t="s">
        <v>343</v>
      </c>
      <c r="G75" s="40"/>
    </row>
    <row r="76" spans="2:7" ht="15.95" customHeight="1">
      <c r="B76" s="61"/>
      <c r="C76" s="49" t="s">
        <v>402</v>
      </c>
      <c r="D76" s="118">
        <v>17</v>
      </c>
      <c r="E76" s="140" t="s">
        <v>334</v>
      </c>
      <c r="F76" s="59" t="s">
        <v>343</v>
      </c>
      <c r="G76" s="40"/>
    </row>
    <row r="77" spans="2:7" ht="15.95" customHeight="1">
      <c r="B77" s="61"/>
      <c r="C77" s="49" t="s">
        <v>403</v>
      </c>
      <c r="D77" s="118">
        <v>65466</v>
      </c>
      <c r="E77" s="140" t="s">
        <v>298</v>
      </c>
      <c r="F77" s="59" t="s">
        <v>343</v>
      </c>
      <c r="G77" s="40"/>
    </row>
    <row r="78" spans="2:7" ht="15.95" customHeight="1">
      <c r="B78" s="61"/>
      <c r="C78" s="49" t="s">
        <v>404</v>
      </c>
      <c r="D78" s="118">
        <v>276152</v>
      </c>
      <c r="E78" s="140" t="s">
        <v>334</v>
      </c>
      <c r="F78" s="59" t="s">
        <v>343</v>
      </c>
      <c r="G78" s="40"/>
    </row>
    <row r="79" spans="2:7" ht="15.95" customHeight="1">
      <c r="B79" s="61"/>
      <c r="C79" s="62" t="s">
        <v>409</v>
      </c>
      <c r="D79" s="118">
        <v>700</v>
      </c>
      <c r="E79" s="175" t="s">
        <v>298</v>
      </c>
      <c r="F79" s="59" t="s">
        <v>343</v>
      </c>
      <c r="G79" s="40"/>
    </row>
    <row r="80" spans="2:7" ht="15.95" customHeight="1">
      <c r="B80" s="61"/>
      <c r="C80" s="62" t="s">
        <v>410</v>
      </c>
      <c r="D80" s="118">
        <v>6</v>
      </c>
      <c r="E80" s="140" t="s">
        <v>334</v>
      </c>
      <c r="F80" s="59" t="s">
        <v>343</v>
      </c>
      <c r="G80" s="40"/>
    </row>
    <row r="81" spans="2:7" ht="15.95" customHeight="1">
      <c r="B81" s="61"/>
      <c r="C81" s="62" t="s">
        <v>405</v>
      </c>
      <c r="D81" s="118">
        <v>2200</v>
      </c>
      <c r="E81" s="175" t="s">
        <v>298</v>
      </c>
      <c r="F81" s="59" t="s">
        <v>343</v>
      </c>
      <c r="G81" s="40"/>
    </row>
    <row r="82" spans="2:7" ht="15.95" customHeight="1">
      <c r="B82" s="61"/>
      <c r="C82" s="62" t="s">
        <v>408</v>
      </c>
      <c r="D82" s="118">
        <v>10</v>
      </c>
      <c r="E82" s="140" t="s">
        <v>334</v>
      </c>
      <c r="F82" s="59" t="s">
        <v>343</v>
      </c>
      <c r="G82" s="40"/>
    </row>
    <row r="83" spans="2:7" ht="15.95" customHeight="1">
      <c r="B83" s="50" t="s">
        <v>309</v>
      </c>
      <c r="C83" s="49" t="s">
        <v>225</v>
      </c>
      <c r="D83" s="118">
        <v>541784</v>
      </c>
      <c r="E83" s="140" t="s">
        <v>338</v>
      </c>
      <c r="F83" s="59" t="s">
        <v>343</v>
      </c>
      <c r="G83" s="40"/>
    </row>
    <row r="84" spans="2:7" ht="15.95" customHeight="1">
      <c r="B84" s="58" t="s">
        <v>223</v>
      </c>
      <c r="C84" s="49" t="s">
        <v>297</v>
      </c>
      <c r="D84" s="118">
        <v>4633290</v>
      </c>
      <c r="E84" s="140" t="s">
        <v>334</v>
      </c>
      <c r="F84" s="59" t="s">
        <v>343</v>
      </c>
      <c r="G84" s="40"/>
    </row>
    <row r="85" spans="2:7" ht="15.95" customHeight="1">
      <c r="B85" s="61"/>
      <c r="C85" s="49" t="s">
        <v>339</v>
      </c>
      <c r="D85" s="118">
        <v>1084606</v>
      </c>
      <c r="E85" s="175" t="s">
        <v>336</v>
      </c>
      <c r="F85" s="59" t="s">
        <v>343</v>
      </c>
      <c r="G85" s="40"/>
    </row>
    <row r="86" spans="2:7" ht="15.95" customHeight="1">
      <c r="B86" s="61"/>
      <c r="C86" s="49" t="s">
        <v>340</v>
      </c>
      <c r="D86" s="118">
        <v>60948</v>
      </c>
      <c r="E86" s="140" t="s">
        <v>334</v>
      </c>
      <c r="F86" s="59" t="s">
        <v>343</v>
      </c>
      <c r="G86" s="40"/>
    </row>
    <row r="87" spans="2:7" ht="15.95" customHeight="1">
      <c r="B87" s="61"/>
      <c r="C87" s="49" t="s">
        <v>350</v>
      </c>
      <c r="D87" s="118">
        <v>36706</v>
      </c>
      <c r="E87" s="175" t="s">
        <v>298</v>
      </c>
      <c r="F87" s="183" t="s">
        <v>343</v>
      </c>
      <c r="G87" s="40"/>
    </row>
    <row r="88" spans="2:7" ht="15.95" customHeight="1">
      <c r="B88" s="61"/>
      <c r="C88" s="49" t="s">
        <v>351</v>
      </c>
      <c r="D88" s="118">
        <v>2938</v>
      </c>
      <c r="E88" s="140" t="s">
        <v>334</v>
      </c>
      <c r="F88" s="183" t="s">
        <v>343</v>
      </c>
      <c r="G88" s="40"/>
    </row>
    <row r="89" spans="2:7" ht="15.95" customHeight="1">
      <c r="B89" s="61"/>
      <c r="C89" s="49" t="s">
        <v>352</v>
      </c>
      <c r="D89" s="118">
        <v>827</v>
      </c>
      <c r="E89" s="175" t="s">
        <v>298</v>
      </c>
      <c r="F89" s="183" t="s">
        <v>343</v>
      </c>
      <c r="G89" s="40"/>
    </row>
    <row r="90" spans="2:7" ht="15.95" customHeight="1">
      <c r="B90"/>
      <c r="C90" s="49" t="s">
        <v>353</v>
      </c>
      <c r="D90" s="118">
        <v>481</v>
      </c>
      <c r="E90" s="140" t="s">
        <v>334</v>
      </c>
      <c r="F90" s="183" t="s">
        <v>343</v>
      </c>
      <c r="G90" s="40"/>
    </row>
    <row r="91" spans="2:7" ht="15.95" customHeight="1">
      <c r="B91"/>
      <c r="C91" s="49" t="s">
        <v>358</v>
      </c>
      <c r="D91" s="118">
        <v>20000</v>
      </c>
      <c r="E91" s="175" t="s">
        <v>298</v>
      </c>
      <c r="F91" s="183" t="s">
        <v>343</v>
      </c>
      <c r="G91" s="40"/>
    </row>
    <row r="92" spans="2:7" ht="15.95" customHeight="1">
      <c r="B92"/>
      <c r="C92" s="49" t="s">
        <v>359</v>
      </c>
      <c r="D92" s="118">
        <v>1273</v>
      </c>
      <c r="E92" s="140" t="s">
        <v>334</v>
      </c>
      <c r="F92" s="183" t="s">
        <v>343</v>
      </c>
      <c r="G92" s="40"/>
    </row>
    <row r="93" spans="2:7" ht="15.95" customHeight="1">
      <c r="B93"/>
      <c r="C93" s="49" t="s">
        <v>360</v>
      </c>
      <c r="D93" s="118">
        <v>91</v>
      </c>
      <c r="E93" s="175" t="s">
        <v>298</v>
      </c>
      <c r="F93" s="183" t="s">
        <v>343</v>
      </c>
      <c r="G93" s="40"/>
    </row>
    <row r="94" spans="2:7" ht="15.95" customHeight="1">
      <c r="B94" s="61"/>
      <c r="C94" s="49" t="s">
        <v>361</v>
      </c>
      <c r="D94" s="118">
        <v>573</v>
      </c>
      <c r="E94" s="140" t="s">
        <v>334</v>
      </c>
      <c r="F94" s="183" t="s">
        <v>343</v>
      </c>
      <c r="G94" s="40"/>
    </row>
    <row r="95" spans="2:7" ht="15.95" customHeight="1">
      <c r="B95" s="61"/>
      <c r="C95" s="49" t="s">
        <v>362</v>
      </c>
      <c r="D95" s="118">
        <v>1000</v>
      </c>
      <c r="E95" s="175" t="s">
        <v>298</v>
      </c>
      <c r="F95" s="183" t="s">
        <v>343</v>
      </c>
      <c r="G95" s="40"/>
    </row>
    <row r="96" spans="2:7" ht="15.95" customHeight="1">
      <c r="B96" s="61"/>
      <c r="C96" s="49" t="s">
        <v>363</v>
      </c>
      <c r="D96" s="118">
        <v>1705</v>
      </c>
      <c r="E96" s="140" t="s">
        <v>334</v>
      </c>
      <c r="F96" s="183" t="s">
        <v>343</v>
      </c>
      <c r="G96" s="40"/>
    </row>
    <row r="97" spans="2:7" ht="15.95" customHeight="1">
      <c r="B97" s="61"/>
      <c r="C97" s="49" t="s">
        <v>411</v>
      </c>
      <c r="D97" s="118">
        <v>710</v>
      </c>
      <c r="E97" s="175" t="s">
        <v>298</v>
      </c>
      <c r="F97" s="183" t="s">
        <v>343</v>
      </c>
      <c r="G97" s="40"/>
    </row>
    <row r="98" spans="2:7" ht="15.95" customHeight="1">
      <c r="B98" s="61"/>
      <c r="C98" s="49" t="s">
        <v>412</v>
      </c>
      <c r="D98" s="118">
        <v>54</v>
      </c>
      <c r="E98" s="140" t="s">
        <v>334</v>
      </c>
      <c r="F98" s="183" t="s">
        <v>343</v>
      </c>
      <c r="G98" s="40"/>
    </row>
    <row r="99" spans="2:7" ht="15.95" customHeight="1">
      <c r="B99" s="61"/>
      <c r="C99" s="49" t="s">
        <v>413</v>
      </c>
      <c r="D99" s="118">
        <v>208</v>
      </c>
      <c r="E99" s="140" t="s">
        <v>298</v>
      </c>
      <c r="F99" s="183" t="s">
        <v>343</v>
      </c>
      <c r="G99" s="40"/>
    </row>
    <row r="100" spans="2:7" ht="15.95" customHeight="1">
      <c r="B100" s="61"/>
      <c r="C100" s="49" t="s">
        <v>414</v>
      </c>
      <c r="D100" s="118">
        <v>1674</v>
      </c>
      <c r="E100" s="140" t="s">
        <v>334</v>
      </c>
      <c r="F100" s="183" t="s">
        <v>343</v>
      </c>
      <c r="G100" s="40"/>
    </row>
    <row r="101" spans="2:7" ht="15.95" customHeight="1">
      <c r="B101" s="61"/>
      <c r="C101" s="49" t="s">
        <v>415</v>
      </c>
      <c r="D101" s="118">
        <v>191</v>
      </c>
      <c r="E101" s="140" t="s">
        <v>298</v>
      </c>
      <c r="F101" s="183" t="s">
        <v>343</v>
      </c>
      <c r="G101" s="40"/>
    </row>
    <row r="102" spans="2:7" ht="15.95" customHeight="1">
      <c r="B102" s="61"/>
      <c r="C102" s="49" t="s">
        <v>416</v>
      </c>
      <c r="D102" s="118">
        <v>1724</v>
      </c>
      <c r="E102" s="140" t="s">
        <v>334</v>
      </c>
      <c r="F102" s="183" t="s">
        <v>343</v>
      </c>
      <c r="G102" s="40"/>
    </row>
    <row r="103" spans="2:7" ht="15.95" customHeight="1">
      <c r="B103" s="61"/>
      <c r="C103" s="62" t="s">
        <v>417</v>
      </c>
      <c r="D103" s="118">
        <v>33745</v>
      </c>
      <c r="E103" s="159" t="s">
        <v>298</v>
      </c>
      <c r="F103" s="59" t="s">
        <v>343</v>
      </c>
      <c r="G103" s="40"/>
    </row>
    <row r="104" spans="2:7" ht="15.95" customHeight="1">
      <c r="B104" s="61"/>
      <c r="C104" s="62" t="s">
        <v>418</v>
      </c>
      <c r="D104" s="118">
        <v>2502</v>
      </c>
      <c r="E104" s="140" t="s">
        <v>334</v>
      </c>
      <c r="F104" s="59" t="s">
        <v>343</v>
      </c>
      <c r="G104" s="40"/>
    </row>
    <row r="105" spans="2:7" ht="15.95" customHeight="1">
      <c r="B105" s="50" t="s">
        <v>310</v>
      </c>
      <c r="C105" s="49" t="s">
        <v>279</v>
      </c>
      <c r="D105" s="202" t="s">
        <v>330</v>
      </c>
      <c r="E105" s="203"/>
      <c r="F105" s="59" t="s">
        <v>419</v>
      </c>
      <c r="G105" s="40"/>
    </row>
    <row r="106" spans="2:7" ht="15.95" customHeight="1">
      <c r="B106" s="53" t="s">
        <v>216</v>
      </c>
      <c r="C106" s="49" t="s">
        <v>115</v>
      </c>
      <c r="D106" s="212"/>
      <c r="E106" s="213"/>
      <c r="F106" s="63"/>
      <c r="G106" s="40"/>
    </row>
    <row r="107" spans="2:7" ht="15.95" customHeight="1">
      <c r="B107" s="54"/>
      <c r="C107" s="49" t="s">
        <v>217</v>
      </c>
      <c r="D107" s="212"/>
      <c r="E107" s="213"/>
      <c r="F107" s="123"/>
      <c r="G107" s="40"/>
    </row>
    <row r="108" spans="2:7" ht="15.95" customHeight="1">
      <c r="B108" s="53"/>
      <c r="C108" s="49" t="s">
        <v>229</v>
      </c>
      <c r="D108" s="212"/>
      <c r="E108" s="213"/>
      <c r="F108" s="123"/>
      <c r="G108" s="40"/>
    </row>
    <row r="109" spans="2:7" ht="15.95" customHeight="1">
      <c r="B109" s="64" t="s">
        <v>311</v>
      </c>
      <c r="C109" s="65" t="s">
        <v>303</v>
      </c>
      <c r="D109" s="214" t="s">
        <v>332</v>
      </c>
      <c r="E109" s="215"/>
      <c r="F109" s="142"/>
      <c r="G109" s="40"/>
    </row>
    <row r="110" spans="2:7" ht="15.95" customHeight="1">
      <c r="B110" s="53" t="s">
        <v>230</v>
      </c>
      <c r="C110" s="65" t="s">
        <v>304</v>
      </c>
      <c r="D110" s="214" t="s">
        <v>332</v>
      </c>
      <c r="E110" s="215"/>
      <c r="F110" s="142"/>
      <c r="G110" s="40"/>
    </row>
    <row r="111" spans="2:7" ht="15.95" customHeight="1">
      <c r="B111" s="66"/>
      <c r="C111" s="49" t="s">
        <v>226</v>
      </c>
      <c r="D111" s="216" t="s">
        <v>420</v>
      </c>
      <c r="E111" s="217"/>
      <c r="F111" s="186" t="s">
        <v>421</v>
      </c>
      <c r="G111" s="40"/>
    </row>
    <row r="112" spans="2:7" ht="86.1" customHeight="1">
      <c r="B112" s="64" t="s">
        <v>312</v>
      </c>
      <c r="C112" s="65" t="s">
        <v>93</v>
      </c>
      <c r="D112" s="218" t="s">
        <v>422</v>
      </c>
      <c r="E112" s="219"/>
      <c r="F112" s="183" t="s">
        <v>423</v>
      </c>
      <c r="G112" s="40"/>
    </row>
    <row r="113" spans="2:7" ht="15.95" customHeight="1">
      <c r="B113" s="64" t="s">
        <v>313</v>
      </c>
      <c r="C113" s="65" t="s">
        <v>116</v>
      </c>
      <c r="D113" s="220" t="s">
        <v>332</v>
      </c>
      <c r="E113" s="221"/>
      <c r="F113" s="142"/>
      <c r="G113" s="40"/>
    </row>
    <row r="114" spans="2:7" ht="59.1" customHeight="1">
      <c r="B114" s="64" t="s">
        <v>314</v>
      </c>
      <c r="C114" s="65" t="s">
        <v>227</v>
      </c>
      <c r="D114" s="202" t="s">
        <v>330</v>
      </c>
      <c r="E114" s="203"/>
      <c r="F114" s="187" t="s">
        <v>424</v>
      </c>
      <c r="G114" s="40"/>
    </row>
    <row r="115" spans="2:7" ht="15.95" customHeight="1">
      <c r="B115" s="10" t="s">
        <v>214</v>
      </c>
      <c r="C115" s="65" t="s">
        <v>228</v>
      </c>
      <c r="D115" s="202" t="s">
        <v>332</v>
      </c>
      <c r="E115" s="203"/>
      <c r="F115" s="63"/>
      <c r="G115" s="40"/>
    </row>
    <row r="116" spans="2:7" ht="15.95" customHeight="1">
      <c r="C116" s="65" t="s">
        <v>213</v>
      </c>
      <c r="D116" s="210" t="s">
        <v>332</v>
      </c>
      <c r="E116" s="211"/>
      <c r="F116" s="123"/>
      <c r="G116" s="40"/>
    </row>
    <row r="117" spans="2:7" ht="15.95" customHeight="1" thickBot="1">
      <c r="B117" s="67"/>
      <c r="C117" s="62" t="s">
        <v>211</v>
      </c>
      <c r="D117" s="204"/>
      <c r="E117" s="205"/>
      <c r="F117" s="124"/>
      <c r="G117" s="40"/>
    </row>
    <row r="118" spans="2:7" ht="15.95" customHeight="1">
      <c r="B118" s="68"/>
      <c r="C118" s="68"/>
      <c r="D118" s="69"/>
      <c r="E118" s="69"/>
      <c r="F118" s="69"/>
    </row>
    <row r="119" spans="2:7" ht="15.95" customHeight="1" thickBot="1">
      <c r="D119" s="208" t="s">
        <v>110</v>
      </c>
      <c r="E119" s="209"/>
    </row>
    <row r="120" spans="2:7" ht="25.5">
      <c r="B120" s="50" t="s">
        <v>315</v>
      </c>
      <c r="C120" s="49" t="s">
        <v>231</v>
      </c>
      <c r="D120" s="206" t="s">
        <v>330</v>
      </c>
      <c r="E120" s="207"/>
      <c r="F120" s="57" t="s">
        <v>425</v>
      </c>
      <c r="G120" s="40"/>
    </row>
    <row r="121" spans="2:7" ht="13.5" thickBot="1">
      <c r="B121" s="58" t="s">
        <v>223</v>
      </c>
      <c r="C121" s="49" t="s">
        <v>233</v>
      </c>
      <c r="D121" s="118"/>
      <c r="E121" s="167"/>
      <c r="F121" s="59"/>
      <c r="G121" s="40"/>
    </row>
    <row r="122" spans="2:7" ht="26.25" thickBot="1">
      <c r="B122" s="58"/>
      <c r="C122" s="188" t="s">
        <v>426</v>
      </c>
      <c r="D122" s="118">
        <f>334946+181949</f>
        <v>516895</v>
      </c>
      <c r="E122" s="176" t="s">
        <v>336</v>
      </c>
      <c r="F122" s="57" t="s">
        <v>425</v>
      </c>
      <c r="G122" s="40"/>
    </row>
    <row r="123" spans="2:7" ht="26.25" thickBot="1">
      <c r="B123" s="58"/>
      <c r="C123" s="188" t="s">
        <v>83</v>
      </c>
      <c r="D123" s="118">
        <f>52937+107982+141.983</f>
        <v>161060.98300000001</v>
      </c>
      <c r="E123" s="176" t="s">
        <v>336</v>
      </c>
      <c r="F123" s="57" t="s">
        <v>425</v>
      </c>
      <c r="G123" s="40"/>
    </row>
    <row r="124" spans="2:7" ht="26.25" thickBot="1">
      <c r="B124" s="58"/>
      <c r="C124" s="188" t="s">
        <v>84</v>
      </c>
      <c r="D124" s="118">
        <f>83702+55722+41</f>
        <v>139465</v>
      </c>
      <c r="E124" s="140" t="s">
        <v>338</v>
      </c>
      <c r="F124" s="57" t="s">
        <v>425</v>
      </c>
      <c r="G124" s="40"/>
    </row>
    <row r="125" spans="2:7" ht="26.25" thickBot="1">
      <c r="B125" s="58"/>
      <c r="C125" s="188" t="s">
        <v>287</v>
      </c>
      <c r="D125" s="118">
        <v>20356</v>
      </c>
      <c r="E125" s="176" t="s">
        <v>377</v>
      </c>
      <c r="F125" s="57" t="s">
        <v>425</v>
      </c>
      <c r="G125" s="40"/>
    </row>
    <row r="126" spans="2:7" ht="26.25" thickBot="1">
      <c r="B126" s="58"/>
      <c r="C126" s="188" t="s">
        <v>427</v>
      </c>
      <c r="D126" s="118">
        <v>3</v>
      </c>
      <c r="E126" s="176" t="s">
        <v>298</v>
      </c>
      <c r="F126" s="57" t="s">
        <v>425</v>
      </c>
      <c r="G126" s="40"/>
    </row>
    <row r="127" spans="2:7" ht="26.25" thickBot="1">
      <c r="C127" s="49" t="s">
        <v>234</v>
      </c>
      <c r="D127" s="118">
        <f>1133624+425593+28315</f>
        <v>1587532</v>
      </c>
      <c r="E127" s="140" t="s">
        <v>334</v>
      </c>
      <c r="F127" s="57" t="s">
        <v>425</v>
      </c>
      <c r="G127" s="40"/>
    </row>
    <row r="128" spans="2:7" ht="26.25" thickBot="1">
      <c r="B128" s="50" t="s">
        <v>316</v>
      </c>
      <c r="C128" s="49" t="s">
        <v>231</v>
      </c>
      <c r="D128" s="202" t="s">
        <v>330</v>
      </c>
      <c r="E128" s="203"/>
      <c r="F128" s="57" t="s">
        <v>428</v>
      </c>
      <c r="G128" s="40"/>
    </row>
    <row r="129" spans="2:7" ht="26.25" thickBot="1">
      <c r="B129" s="58" t="s">
        <v>223</v>
      </c>
      <c r="C129" s="49" t="s">
        <v>235</v>
      </c>
      <c r="D129" s="118">
        <v>0</v>
      </c>
      <c r="E129" s="140" t="s">
        <v>334</v>
      </c>
      <c r="F129" s="57" t="s">
        <v>428</v>
      </c>
      <c r="G129" s="40"/>
    </row>
    <row r="130" spans="2:7" ht="26.25" thickBot="1">
      <c r="B130" s="50" t="s">
        <v>317</v>
      </c>
      <c r="C130" s="52" t="s">
        <v>232</v>
      </c>
      <c r="D130" s="202" t="s">
        <v>330</v>
      </c>
      <c r="E130" s="203"/>
      <c r="F130" s="57" t="s">
        <v>429</v>
      </c>
      <c r="G130" s="40"/>
    </row>
    <row r="131" spans="2:7" ht="26.25" thickBot="1">
      <c r="B131" s="58" t="s">
        <v>223</v>
      </c>
      <c r="C131" s="49" t="s">
        <v>235</v>
      </c>
      <c r="D131" s="118">
        <v>14619</v>
      </c>
      <c r="E131" s="140" t="s">
        <v>334</v>
      </c>
      <c r="F131" s="57" t="s">
        <v>429</v>
      </c>
      <c r="G131" s="40"/>
    </row>
    <row r="132" spans="2:7" ht="26.25" thickBot="1">
      <c r="B132" s="50" t="s">
        <v>318</v>
      </c>
      <c r="C132" s="52" t="s">
        <v>236</v>
      </c>
      <c r="D132" s="202" t="s">
        <v>330</v>
      </c>
      <c r="E132" s="203"/>
      <c r="F132" s="57" t="s">
        <v>430</v>
      </c>
      <c r="G132" s="40"/>
    </row>
    <row r="133" spans="2:7" ht="25.5">
      <c r="B133" s="58" t="s">
        <v>223</v>
      </c>
      <c r="C133" s="49" t="s">
        <v>235</v>
      </c>
      <c r="D133" s="118">
        <v>408607</v>
      </c>
      <c r="E133" s="140" t="s">
        <v>334</v>
      </c>
      <c r="F133" s="57" t="s">
        <v>430</v>
      </c>
      <c r="G133" s="40"/>
    </row>
    <row r="134" spans="2:7" ht="15.95" customHeight="1">
      <c r="B134" s="50" t="s">
        <v>319</v>
      </c>
      <c r="C134" s="52" t="s">
        <v>237</v>
      </c>
      <c r="D134" s="202" t="s">
        <v>431</v>
      </c>
      <c r="E134" s="203"/>
      <c r="F134" s="59"/>
      <c r="G134" s="40"/>
    </row>
    <row r="135" spans="2:7" ht="15.95" customHeight="1">
      <c r="B135" s="58" t="s">
        <v>223</v>
      </c>
      <c r="C135" s="49" t="s">
        <v>235</v>
      </c>
      <c r="D135" s="118"/>
      <c r="E135" s="140"/>
      <c r="F135" s="59"/>
      <c r="G135" s="40"/>
    </row>
    <row r="136" spans="2:7" ht="15.95" customHeight="1">
      <c r="B136" s="50" t="s">
        <v>320</v>
      </c>
      <c r="C136" s="52" t="s">
        <v>238</v>
      </c>
      <c r="D136" s="202" t="s">
        <v>431</v>
      </c>
      <c r="E136" s="203"/>
      <c r="F136" s="59"/>
      <c r="G136" s="40"/>
    </row>
    <row r="137" spans="2:7" ht="15.95" customHeight="1" thickBot="1">
      <c r="B137" s="70" t="s">
        <v>223</v>
      </c>
      <c r="C137" s="49" t="s">
        <v>235</v>
      </c>
      <c r="D137" s="125"/>
      <c r="E137" s="141"/>
      <c r="F137" s="143"/>
      <c r="G137" s="40"/>
    </row>
    <row r="138" spans="2:7" ht="15.95" customHeight="1">
      <c r="B138" s="157"/>
    </row>
  </sheetData>
  <mergeCells count="20">
    <mergeCell ref="D116:E116"/>
    <mergeCell ref="D105:E105"/>
    <mergeCell ref="D106:E106"/>
    <mergeCell ref="D107:E107"/>
    <mergeCell ref="D108:E108"/>
    <mergeCell ref="D109:E109"/>
    <mergeCell ref="D110:E110"/>
    <mergeCell ref="D111:E111"/>
    <mergeCell ref="D112:E112"/>
    <mergeCell ref="D113:E113"/>
    <mergeCell ref="D114:E114"/>
    <mergeCell ref="D115:E115"/>
    <mergeCell ref="D136:E136"/>
    <mergeCell ref="D117:E117"/>
    <mergeCell ref="D120:E120"/>
    <mergeCell ref="D128:E128"/>
    <mergeCell ref="D130:E130"/>
    <mergeCell ref="D132:E132"/>
    <mergeCell ref="D134:E134"/>
    <mergeCell ref="D119:E119"/>
  </mergeCells>
  <dataValidations xWindow="1744" yWindow="959" count="27">
    <dataValidation allowBlank="1" sqref="F106 F114:F115 F17:F72 F87:F102 D109:D110 D112 F112" xr:uid="{00000000-0002-0000-0200-000000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xr:uid="{00000000-0002-0000-0200-000001000000}">
      <formula1>2</formula1>
    </dataValidation>
    <dataValidation type="textLength" operator="equal" showInputMessage="1" showErrorMessage="1" errorTitle="Invalid entry" error="Invalid entry" promptTitle="Please input unit" prompt="Please input currency according to 3-letter ISO currency code." sqref="E137 E129 E127 E131 E135 E104 E124 E5:E10 E56 E12:E14 E16 E20 E22 E64 E58 E60 E68 E66 E62 E82:E84 E18 E70 E72:E78 E80 E24 E26 E28 E30 E32 E34 E36 E38 E40 E42 E44 E46 E48 E50 E52 E54 E86 E88 E90 E92 E94 E96 E98:E102 E133" xr:uid="{00000000-0002-0000-0200-000002000000}">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xr:uid="{00000000-0002-0000-0200-00000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xr:uid="{00000000-0002-0000-0200-00000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xr:uid="{00000000-0002-0000-0200-00000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xr:uid="{00000000-0002-0000-0200-00000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11:D104 D121:D127" xr:uid="{00000000-0002-0000-0200-000007000000}">
      <formula1>0</formula1>
    </dataValidation>
    <dataValidation allowBlank="1" showInputMessage="1" showErrorMessage="1" promptTitle="If no, provide explanation" prompt="If EI revenues are not recorded in government accounts or budgets, please specify why or any additional related comments here." sqref="D106:E106" xr:uid="{00000000-0002-0000-0200-000008000000}"/>
    <dataValidation allowBlank="1" showInputMessage="1" promptTitle="Source" prompt="Please insert source of information, either as section in EITI report, or direct URL to external source." sqref="F103:F105 F5:F16 F73:F86" xr:uid="{00000000-0002-0000-0200-000009000000}"/>
    <dataValidation allowBlank="1" showInputMessage="1" promptTitle="Government accounts/budget" prompt="Please input name of government accounts/budget, containing revenues from extractive industries." sqref="D107:E107" xr:uid="{00000000-0002-0000-0200-00000B000000}"/>
    <dataValidation allowBlank="1" showInputMessage="1" promptTitle="Government accounts/budget URL" prompt="Please input direct URL to government accounts/budget, containing revenues from extractive industries." sqref="F107" xr:uid="{00000000-0002-0000-0200-00000C000000}"/>
    <dataValidation allowBlank="1" showInputMessage="1" promptTitle="Other financial reports" prompt="Please input name of other documents, containing revenues from extractive industries." sqref="D108:E108" xr:uid="{00000000-0002-0000-0200-00000D000000}"/>
    <dataValidation allowBlank="1" showInputMessage="1" promptTitle="Other reports URL" prompt="Please input direct URL to other documents containing revenues from extractive industries." sqref="F108" xr:uid="{00000000-0002-0000-0200-00000E000000}"/>
    <dataValidation allowBlank="1" showInputMessage="1" showErrorMessage="1" promptTitle="Registry URL" prompt="Please insert direct URL to the registry._x000a_Any additional information, please include in comment section" sqref="F109:F110 F113 F116:F117" xr:uid="{00000000-0002-0000-0200-00000F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131" xr:uid="{00000000-0002-0000-0200-00001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133" xr:uid="{00000000-0002-0000-0200-00001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135" xr:uid="{00000000-0002-0000-0200-00001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137" xr:uid="{00000000-0002-0000-0200-00001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xr:uid="{00000000-0002-0000-0200-00001700000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03 E97 E53 E11 E19 E15 E21 E63 E55 E57 E59 E61 E65 E81 E17 E23 E71 E79 E69 E67 E25 E27 E29 E31 E33 E35 E37 E39 E41 E43 E45 E47 E49 E51 E85 E87 E89 E91 E93 E95 E121:E123 E125:E126" xr:uid="{00000000-0002-0000-0200-000018000000}">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129" xr:uid="{0BC27362-0E67-4D1B-BD2D-A0BEEEF93F91}">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105:E105 D130:E130 D120:E120 D128:E128 D132:E132 D134:E134 D114:E115 D136:E136" xr:uid="{00000000-0002-0000-0200-00001A000000}">
      <formula1>"Yes,No,Partially,Not applicable,&lt;choose option&gt;"</formula1>
    </dataValidation>
    <dataValidation allowBlank="1" showInputMessage="1" promptTitle="Name of register" prompt="Please input name of register" sqref="D113:E113 D116:E117" xr:uid="{00000000-0002-0000-0200-00001B000000}"/>
    <dataValidation type="list" showDropDown="1" showInputMessage="1" showErrorMessage="1" errorTitle="Please do not edit these cells" error="Please do not edit these cells" sqref="C105:C116 C5:C10 C120:C121 B1:B1048576 C127:C137" xr:uid="{00000000-0002-0000-0200-00001C000000}">
      <formula1>"#ERROR!"</formula1>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104" xr:uid="{00000000-0002-0000-0200-00000A000000}">
      <formula1>OR(ISNUMBER(SEARCH(", volume",C11)),ISNUMBER(SEARCH(", value",C11)))</formula1>
    </dataValidation>
    <dataValidation allowBlank="1" showInputMessage="1" promptTitle="Source" prompt="Please insert source of information, as section in EITI report" sqref="F120:F137" xr:uid="{00000000-0002-0000-0200-000012000000}"/>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2:DG123"/>
  <sheetViews>
    <sheetView showGridLines="0" tabSelected="1" topLeftCell="B1" zoomScale="85" zoomScaleNormal="85" zoomScalePageLayoutView="85" workbookViewId="0">
      <selection activeCell="I5" sqref="I5"/>
    </sheetView>
  </sheetViews>
  <sheetFormatPr baseColWidth="10" defaultColWidth="10.875" defaultRowHeight="15.75"/>
  <cols>
    <col min="1" max="1" width="3.625" style="71" customWidth="1"/>
    <col min="2" max="2" width="10.25" style="71" bestFit="1" customWidth="1"/>
    <col min="3" max="3" width="62.375" style="71" customWidth="1"/>
    <col min="4" max="4" width="24.25" style="71" customWidth="1"/>
    <col min="5" max="5" width="26.5" style="71" customWidth="1"/>
    <col min="6" max="6" width="18.375" style="71" bestFit="1" customWidth="1"/>
    <col min="7" max="7" width="18.75" style="71" customWidth="1"/>
    <col min="8" max="8" width="16.125" style="71" customWidth="1"/>
    <col min="9" max="11" width="15.5" style="71" bestFit="1" customWidth="1"/>
    <col min="12" max="12" width="14.625" style="71" bestFit="1" customWidth="1"/>
    <col min="13" max="13" width="14.625" style="71" customWidth="1"/>
    <col min="14" max="14" width="15.5" style="71" bestFit="1" customWidth="1"/>
    <col min="15" max="33" width="14.625" style="71" customWidth="1"/>
    <col min="34" max="35" width="15.5" style="71" bestFit="1" customWidth="1"/>
    <col min="36" max="111" width="14.625" style="71" customWidth="1"/>
    <col min="112" max="16384" width="10.875" style="71"/>
  </cols>
  <sheetData>
    <row r="2" spans="2:111" ht="26.25">
      <c r="B2" s="228" t="s">
        <v>195</v>
      </c>
      <c r="C2" s="228"/>
      <c r="D2" s="228"/>
      <c r="G2" s="165" t="s">
        <v>250</v>
      </c>
      <c r="H2" s="185" t="s">
        <v>198</v>
      </c>
      <c r="I2" s="75"/>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row>
    <row r="3" spans="2:111">
      <c r="B3" s="226" t="s">
        <v>196</v>
      </c>
      <c r="C3" s="226"/>
      <c r="D3" s="226"/>
      <c r="G3" s="166" t="s">
        <v>432</v>
      </c>
      <c r="H3" s="128" t="s">
        <v>205</v>
      </c>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c r="CY3" s="81"/>
      <c r="CZ3" s="81"/>
      <c r="DA3" s="81"/>
      <c r="DB3" s="81"/>
      <c r="DC3" s="81"/>
      <c r="DD3" s="81"/>
      <c r="DE3" s="81"/>
      <c r="DF3" s="81"/>
      <c r="DG3" s="81"/>
    </row>
    <row r="4" spans="2:111" ht="63">
      <c r="B4" s="227" t="s">
        <v>202</v>
      </c>
      <c r="C4" s="227"/>
      <c r="D4" s="227"/>
      <c r="G4" s="160" t="s">
        <v>305</v>
      </c>
      <c r="H4" s="84" t="s">
        <v>79</v>
      </c>
      <c r="I4" s="189" t="s">
        <v>433</v>
      </c>
      <c r="J4" s="85" t="s">
        <v>434</v>
      </c>
      <c r="K4" s="85" t="s">
        <v>435</v>
      </c>
      <c r="L4" s="85" t="s">
        <v>436</v>
      </c>
      <c r="M4" s="85" t="s">
        <v>437</v>
      </c>
      <c r="N4" s="85" t="s">
        <v>438</v>
      </c>
      <c r="O4" s="85" t="s">
        <v>503</v>
      </c>
      <c r="P4" s="85" t="s">
        <v>439</v>
      </c>
      <c r="Q4" s="85" t="s">
        <v>440</v>
      </c>
      <c r="R4" s="85" t="s">
        <v>504</v>
      </c>
      <c r="S4" s="85" t="s">
        <v>441</v>
      </c>
      <c r="T4" s="85" t="s">
        <v>505</v>
      </c>
      <c r="U4" s="85" t="s">
        <v>506</v>
      </c>
      <c r="V4" s="85" t="s">
        <v>507</v>
      </c>
      <c r="W4" s="85" t="s">
        <v>508</v>
      </c>
      <c r="X4" s="85" t="s">
        <v>509</v>
      </c>
      <c r="Y4" s="85" t="s">
        <v>442</v>
      </c>
      <c r="Z4" s="85" t="s">
        <v>510</v>
      </c>
      <c r="AA4" s="85" t="s">
        <v>511</v>
      </c>
      <c r="AB4" s="85" t="s">
        <v>512</v>
      </c>
      <c r="AC4" s="85" t="s">
        <v>513</v>
      </c>
      <c r="AD4" s="85" t="s">
        <v>514</v>
      </c>
      <c r="AE4" s="85" t="s">
        <v>515</v>
      </c>
      <c r="AF4" s="85" t="s">
        <v>516</v>
      </c>
      <c r="AG4" s="85" t="s">
        <v>517</v>
      </c>
      <c r="AH4" s="85" t="s">
        <v>443</v>
      </c>
      <c r="AI4" s="85" t="s">
        <v>444</v>
      </c>
      <c r="AJ4" s="85" t="s">
        <v>445</v>
      </c>
      <c r="AK4" s="85" t="s">
        <v>454</v>
      </c>
      <c r="AL4" s="85" t="s">
        <v>446</v>
      </c>
      <c r="AM4" s="85" t="s">
        <v>449</v>
      </c>
      <c r="AN4" s="85" t="s">
        <v>450</v>
      </c>
      <c r="AO4" s="85" t="s">
        <v>518</v>
      </c>
      <c r="AP4" s="85" t="s">
        <v>456</v>
      </c>
      <c r="AQ4" s="85" t="s">
        <v>452</v>
      </c>
      <c r="AR4" s="85" t="s">
        <v>455</v>
      </c>
      <c r="AS4" s="85" t="s">
        <v>451</v>
      </c>
      <c r="AT4" s="85" t="s">
        <v>519</v>
      </c>
      <c r="AU4" s="85" t="s">
        <v>453</v>
      </c>
      <c r="AV4" s="85" t="s">
        <v>447</v>
      </c>
      <c r="AW4" s="85" t="s">
        <v>457</v>
      </c>
      <c r="AX4" s="85" t="s">
        <v>448</v>
      </c>
      <c r="AY4" s="85" t="s">
        <v>458</v>
      </c>
      <c r="AZ4" s="85" t="s">
        <v>586</v>
      </c>
      <c r="BA4" s="85" t="s">
        <v>520</v>
      </c>
      <c r="BB4" s="85" t="s">
        <v>521</v>
      </c>
      <c r="BC4" s="85" t="s">
        <v>522</v>
      </c>
      <c r="BD4" s="85" t="s">
        <v>523</v>
      </c>
      <c r="BE4" s="85" t="s">
        <v>524</v>
      </c>
      <c r="BF4" s="85" t="s">
        <v>525</v>
      </c>
      <c r="BG4" s="85" t="s">
        <v>526</v>
      </c>
      <c r="BH4" s="85" t="s">
        <v>527</v>
      </c>
      <c r="BI4" s="85" t="s">
        <v>528</v>
      </c>
      <c r="BJ4" s="85" t="s">
        <v>529</v>
      </c>
      <c r="BK4" s="85" t="s">
        <v>530</v>
      </c>
      <c r="BL4" s="85" t="s">
        <v>531</v>
      </c>
      <c r="BM4" s="85" t="s">
        <v>532</v>
      </c>
      <c r="BN4" s="85" t="s">
        <v>533</v>
      </c>
      <c r="BO4" s="85" t="s">
        <v>534</v>
      </c>
      <c r="BP4" s="85" t="s">
        <v>535</v>
      </c>
      <c r="BQ4" s="85" t="s">
        <v>536</v>
      </c>
      <c r="BR4" s="85" t="s">
        <v>537</v>
      </c>
      <c r="BS4" s="85" t="s">
        <v>538</v>
      </c>
      <c r="BT4" s="85" t="s">
        <v>539</v>
      </c>
      <c r="BU4" s="85" t="s">
        <v>540</v>
      </c>
      <c r="BV4" s="85" t="s">
        <v>541</v>
      </c>
      <c r="BW4" s="85" t="s">
        <v>542</v>
      </c>
      <c r="BX4" s="85" t="s">
        <v>543</v>
      </c>
      <c r="BY4" s="85" t="s">
        <v>544</v>
      </c>
      <c r="BZ4" s="85" t="s">
        <v>545</v>
      </c>
      <c r="CA4" s="85" t="s">
        <v>546</v>
      </c>
      <c r="CB4" s="85" t="s">
        <v>547</v>
      </c>
      <c r="CC4" s="85" t="s">
        <v>548</v>
      </c>
      <c r="CD4" s="85" t="s">
        <v>549</v>
      </c>
      <c r="CE4" s="85" t="s">
        <v>550</v>
      </c>
      <c r="CF4" s="85" t="s">
        <v>551</v>
      </c>
      <c r="CG4" s="85" t="s">
        <v>552</v>
      </c>
      <c r="CH4" s="85" t="s">
        <v>553</v>
      </c>
      <c r="CI4" s="85" t="s">
        <v>554</v>
      </c>
      <c r="CJ4" s="85" t="s">
        <v>555</v>
      </c>
      <c r="CK4" s="85" t="s">
        <v>556</v>
      </c>
      <c r="CL4" s="85" t="s">
        <v>557</v>
      </c>
      <c r="CM4" s="85" t="s">
        <v>558</v>
      </c>
      <c r="CN4" s="85" t="s">
        <v>559</v>
      </c>
      <c r="CO4" s="85" t="s">
        <v>560</v>
      </c>
      <c r="CP4" s="85" t="s">
        <v>561</v>
      </c>
      <c r="CQ4" s="85" t="s">
        <v>562</v>
      </c>
      <c r="CR4" s="85" t="s">
        <v>563</v>
      </c>
      <c r="CS4" s="85" t="s">
        <v>564</v>
      </c>
      <c r="CT4" s="85" t="s">
        <v>565</v>
      </c>
      <c r="CU4" s="85" t="s">
        <v>566</v>
      </c>
      <c r="CV4" s="85" t="s">
        <v>567</v>
      </c>
      <c r="CW4" s="85" t="s">
        <v>568</v>
      </c>
      <c r="CX4" s="85" t="s">
        <v>569</v>
      </c>
      <c r="CY4" s="85" t="s">
        <v>570</v>
      </c>
      <c r="CZ4" s="85" t="s">
        <v>571</v>
      </c>
      <c r="DA4" s="85" t="s">
        <v>572</v>
      </c>
      <c r="DB4" s="85" t="s">
        <v>573</v>
      </c>
      <c r="DC4" s="85" t="s">
        <v>574</v>
      </c>
      <c r="DD4" s="85" t="s">
        <v>575</v>
      </c>
      <c r="DE4" s="85" t="s">
        <v>576</v>
      </c>
      <c r="DF4" s="85" t="s">
        <v>577</v>
      </c>
      <c r="DG4" s="85" t="s">
        <v>578</v>
      </c>
    </row>
    <row r="5" spans="2:111">
      <c r="B5" s="184"/>
      <c r="G5" s="161"/>
      <c r="H5" s="87" t="s">
        <v>80</v>
      </c>
      <c r="I5" s="163"/>
      <c r="J5" s="163"/>
      <c r="K5" s="163"/>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c r="BE5" s="164"/>
      <c r="BF5" s="164"/>
      <c r="BG5" s="164"/>
      <c r="BH5" s="164"/>
      <c r="BI5" s="164"/>
      <c r="BJ5" s="164"/>
      <c r="BK5" s="164"/>
      <c r="BL5" s="164"/>
      <c r="BM5" s="164"/>
      <c r="BN5" s="164"/>
      <c r="BO5" s="164"/>
      <c r="BP5" s="164"/>
      <c r="BQ5" s="164"/>
      <c r="BR5" s="164"/>
      <c r="BS5" s="164"/>
      <c r="BT5" s="164"/>
      <c r="BU5" s="164"/>
      <c r="BV5" s="164"/>
      <c r="BW5" s="164"/>
      <c r="BX5" s="164"/>
      <c r="BY5" s="164"/>
      <c r="BZ5" s="164"/>
      <c r="CA5" s="164"/>
      <c r="CB5" s="164"/>
      <c r="CC5" s="164"/>
      <c r="CD5" s="164"/>
      <c r="CE5" s="164"/>
      <c r="CF5" s="164"/>
      <c r="CG5" s="164"/>
      <c r="CH5" s="164"/>
      <c r="CI5" s="164"/>
      <c r="CJ5" s="164"/>
      <c r="CK5" s="164"/>
      <c r="CL5" s="164"/>
      <c r="CM5" s="164"/>
      <c r="CN5" s="164"/>
      <c r="CO5" s="164"/>
      <c r="CP5" s="164"/>
      <c r="CQ5" s="164"/>
      <c r="CR5" s="164"/>
      <c r="CS5" s="164"/>
      <c r="CT5" s="164"/>
      <c r="CU5" s="164"/>
      <c r="CV5" s="164"/>
      <c r="CW5" s="164"/>
      <c r="CX5" s="164"/>
      <c r="CY5" s="164"/>
      <c r="CZ5" s="164"/>
      <c r="DA5" s="164"/>
      <c r="DB5" s="164"/>
      <c r="DC5" s="164"/>
      <c r="DD5" s="164"/>
      <c r="DE5" s="164"/>
      <c r="DF5" s="164"/>
      <c r="DG5" s="164"/>
    </row>
    <row r="6" spans="2:111" s="190" customFormat="1">
      <c r="G6" s="161"/>
      <c r="H6" s="84" t="s">
        <v>285</v>
      </c>
      <c r="I6" s="189" t="s">
        <v>286</v>
      </c>
      <c r="J6" s="189" t="s">
        <v>286</v>
      </c>
      <c r="K6" s="189" t="s">
        <v>286</v>
      </c>
      <c r="L6" s="189" t="s">
        <v>286</v>
      </c>
      <c r="M6" s="189" t="s">
        <v>286</v>
      </c>
      <c r="N6" s="189" t="s">
        <v>286</v>
      </c>
      <c r="O6" s="189" t="s">
        <v>286</v>
      </c>
      <c r="P6" s="189" t="s">
        <v>286</v>
      </c>
      <c r="Q6" s="189" t="s">
        <v>286</v>
      </c>
      <c r="R6" s="189" t="s">
        <v>286</v>
      </c>
      <c r="S6" s="189" t="s">
        <v>286</v>
      </c>
      <c r="T6" s="189" t="s">
        <v>286</v>
      </c>
      <c r="U6" s="189" t="s">
        <v>286</v>
      </c>
      <c r="V6" s="189" t="s">
        <v>286</v>
      </c>
      <c r="W6" s="189" t="s">
        <v>286</v>
      </c>
      <c r="X6" s="189" t="s">
        <v>286</v>
      </c>
      <c r="Y6" s="189" t="s">
        <v>286</v>
      </c>
      <c r="Z6" s="189" t="s">
        <v>286</v>
      </c>
      <c r="AA6" s="189" t="s">
        <v>286</v>
      </c>
      <c r="AB6" s="189" t="s">
        <v>286</v>
      </c>
      <c r="AC6" s="189" t="s">
        <v>286</v>
      </c>
      <c r="AD6" s="189" t="s">
        <v>286</v>
      </c>
      <c r="AE6" s="189" t="s">
        <v>286</v>
      </c>
      <c r="AF6" s="189" t="s">
        <v>286</v>
      </c>
      <c r="AG6" s="189" t="s">
        <v>86</v>
      </c>
      <c r="AH6" s="189" t="s">
        <v>86</v>
      </c>
      <c r="AI6" s="189" t="s">
        <v>86</v>
      </c>
      <c r="AJ6" s="189" t="s">
        <v>86</v>
      </c>
      <c r="AK6" s="189" t="s">
        <v>86</v>
      </c>
      <c r="AL6" s="189" t="s">
        <v>86</v>
      </c>
      <c r="AM6" s="189" t="s">
        <v>86</v>
      </c>
      <c r="AN6" s="189" t="s">
        <v>86</v>
      </c>
      <c r="AO6" s="189" t="s">
        <v>86</v>
      </c>
      <c r="AP6" s="189" t="s">
        <v>86</v>
      </c>
      <c r="AQ6" s="189" t="s">
        <v>86</v>
      </c>
      <c r="AR6" s="189" t="s">
        <v>86</v>
      </c>
      <c r="AS6" s="189" t="s">
        <v>86</v>
      </c>
      <c r="AT6" s="189" t="s">
        <v>86</v>
      </c>
      <c r="AU6" s="189" t="s">
        <v>86</v>
      </c>
      <c r="AV6" s="189" t="s">
        <v>86</v>
      </c>
      <c r="AW6" s="189" t="s">
        <v>86</v>
      </c>
      <c r="AX6" s="189" t="s">
        <v>86</v>
      </c>
      <c r="AY6" s="189" t="s">
        <v>86</v>
      </c>
      <c r="AZ6" s="189" t="s">
        <v>86</v>
      </c>
      <c r="BA6" s="189" t="s">
        <v>86</v>
      </c>
      <c r="BB6" s="189" t="s">
        <v>86</v>
      </c>
      <c r="BC6" s="189" t="s">
        <v>86</v>
      </c>
      <c r="BD6" s="189" t="s">
        <v>86</v>
      </c>
      <c r="BE6" s="189" t="s">
        <v>86</v>
      </c>
      <c r="BF6" s="189" t="s">
        <v>86</v>
      </c>
      <c r="BG6" s="189" t="s">
        <v>86</v>
      </c>
      <c r="BH6" s="189" t="s">
        <v>86</v>
      </c>
      <c r="BI6" s="189" t="s">
        <v>86</v>
      </c>
      <c r="BJ6" s="189" t="s">
        <v>86</v>
      </c>
      <c r="BK6" s="189" t="s">
        <v>86</v>
      </c>
      <c r="BL6" s="189" t="s">
        <v>86</v>
      </c>
      <c r="BM6" s="189" t="s">
        <v>86</v>
      </c>
      <c r="BN6" s="189" t="s">
        <v>86</v>
      </c>
      <c r="BO6" s="189" t="s">
        <v>86</v>
      </c>
      <c r="BP6" s="189" t="s">
        <v>86</v>
      </c>
      <c r="BQ6" s="189" t="s">
        <v>86</v>
      </c>
      <c r="BR6" s="189" t="s">
        <v>86</v>
      </c>
      <c r="BS6" s="189" t="s">
        <v>86</v>
      </c>
      <c r="BT6" s="189" t="s">
        <v>86</v>
      </c>
      <c r="BU6" s="189" t="s">
        <v>86</v>
      </c>
      <c r="BV6" s="189" t="s">
        <v>86</v>
      </c>
      <c r="BW6" s="189" t="s">
        <v>86</v>
      </c>
      <c r="BX6" s="189" t="s">
        <v>86</v>
      </c>
      <c r="BY6" s="189" t="s">
        <v>86</v>
      </c>
      <c r="BZ6" s="189" t="s">
        <v>86</v>
      </c>
      <c r="CA6" s="189" t="s">
        <v>86</v>
      </c>
      <c r="CB6" s="189" t="s">
        <v>86</v>
      </c>
      <c r="CC6" s="189" t="s">
        <v>86</v>
      </c>
      <c r="CD6" s="189" t="s">
        <v>86</v>
      </c>
      <c r="CE6" s="189" t="s">
        <v>86</v>
      </c>
      <c r="CF6" s="189" t="s">
        <v>86</v>
      </c>
      <c r="CG6" s="189" t="s">
        <v>86</v>
      </c>
      <c r="CH6" s="189" t="s">
        <v>85</v>
      </c>
      <c r="CI6" s="189" t="s">
        <v>85</v>
      </c>
      <c r="CJ6" s="189" t="s">
        <v>85</v>
      </c>
      <c r="CK6" s="189" t="s">
        <v>85</v>
      </c>
      <c r="CL6" s="189" t="s">
        <v>85</v>
      </c>
      <c r="CM6" s="189" t="s">
        <v>85</v>
      </c>
      <c r="CN6" s="189" t="s">
        <v>85</v>
      </c>
      <c r="CO6" s="189" t="s">
        <v>85</v>
      </c>
      <c r="CP6" s="189" t="s">
        <v>85</v>
      </c>
      <c r="CQ6" s="189" t="s">
        <v>85</v>
      </c>
      <c r="CR6" s="189" t="s">
        <v>85</v>
      </c>
      <c r="CS6" s="189" t="s">
        <v>85</v>
      </c>
      <c r="CT6" s="189" t="s">
        <v>85</v>
      </c>
      <c r="CU6" s="189" t="s">
        <v>85</v>
      </c>
      <c r="CV6" s="189" t="s">
        <v>85</v>
      </c>
      <c r="CW6" s="189" t="s">
        <v>85</v>
      </c>
      <c r="CX6" s="189" t="s">
        <v>85</v>
      </c>
      <c r="CY6" s="189" t="s">
        <v>85</v>
      </c>
      <c r="CZ6" s="189" t="s">
        <v>85</v>
      </c>
      <c r="DA6" s="189" t="s">
        <v>85</v>
      </c>
      <c r="DB6" s="189" t="s">
        <v>85</v>
      </c>
      <c r="DC6" s="189" t="s">
        <v>85</v>
      </c>
      <c r="DD6" s="189" t="s">
        <v>85</v>
      </c>
      <c r="DE6" s="189" t="s">
        <v>85</v>
      </c>
      <c r="DF6" s="189" t="s">
        <v>85</v>
      </c>
      <c r="DG6" s="189" t="s">
        <v>85</v>
      </c>
    </row>
    <row r="7" spans="2:111" ht="31.5">
      <c r="G7" s="162"/>
      <c r="H7" s="92" t="s">
        <v>1</v>
      </c>
      <c r="I7" s="191" t="s">
        <v>459</v>
      </c>
      <c r="J7" s="93" t="s">
        <v>460</v>
      </c>
      <c r="K7" s="93" t="s">
        <v>460</v>
      </c>
      <c r="L7" s="93" t="s">
        <v>83</v>
      </c>
      <c r="M7" s="191" t="s">
        <v>461</v>
      </c>
      <c r="N7" s="191" t="s">
        <v>84</v>
      </c>
      <c r="O7" s="191" t="s">
        <v>461</v>
      </c>
      <c r="P7" s="191" t="s">
        <v>461</v>
      </c>
      <c r="Q7" s="191" t="s">
        <v>461</v>
      </c>
      <c r="R7" s="191" t="s">
        <v>461</v>
      </c>
      <c r="S7" s="191" t="s">
        <v>461</v>
      </c>
      <c r="T7" s="191" t="s">
        <v>461</v>
      </c>
      <c r="U7" s="191" t="s">
        <v>461</v>
      </c>
      <c r="V7" s="191" t="s">
        <v>461</v>
      </c>
      <c r="W7" s="191" t="s">
        <v>461</v>
      </c>
      <c r="X7" s="191" t="s">
        <v>461</v>
      </c>
      <c r="Y7" s="191" t="s">
        <v>461</v>
      </c>
      <c r="Z7" s="191" t="s">
        <v>461</v>
      </c>
      <c r="AA7" s="191" t="s">
        <v>461</v>
      </c>
      <c r="AB7" s="191" t="s">
        <v>461</v>
      </c>
      <c r="AC7" s="191" t="s">
        <v>461</v>
      </c>
      <c r="AD7" s="191" t="s">
        <v>461</v>
      </c>
      <c r="AE7" s="191" t="s">
        <v>461</v>
      </c>
      <c r="AF7" s="191" t="s">
        <v>461</v>
      </c>
      <c r="AG7" s="191" t="s">
        <v>462</v>
      </c>
      <c r="AH7" s="191" t="s">
        <v>462</v>
      </c>
      <c r="AI7" s="191" t="s">
        <v>462</v>
      </c>
      <c r="AJ7" s="191" t="s">
        <v>462</v>
      </c>
      <c r="AK7" s="93" t="s">
        <v>463</v>
      </c>
      <c r="AL7" s="93" t="s">
        <v>463</v>
      </c>
      <c r="AM7" s="93" t="s">
        <v>463</v>
      </c>
      <c r="AN7" s="93" t="s">
        <v>463</v>
      </c>
      <c r="AO7" s="93" t="s">
        <v>463</v>
      </c>
      <c r="AP7" s="93" t="s">
        <v>463</v>
      </c>
      <c r="AQ7" s="93" t="s">
        <v>463</v>
      </c>
      <c r="AR7" s="93" t="s">
        <v>463</v>
      </c>
      <c r="AS7" s="93" t="s">
        <v>463</v>
      </c>
      <c r="AT7" s="93" t="s">
        <v>463</v>
      </c>
      <c r="AU7" s="93" t="s">
        <v>463</v>
      </c>
      <c r="AV7" s="93" t="s">
        <v>463</v>
      </c>
      <c r="AW7" s="93" t="s">
        <v>463</v>
      </c>
      <c r="AX7" s="93" t="s">
        <v>463</v>
      </c>
      <c r="AY7" s="93" t="s">
        <v>463</v>
      </c>
      <c r="AZ7" s="93" t="s">
        <v>463</v>
      </c>
      <c r="BA7" s="93" t="s">
        <v>463</v>
      </c>
      <c r="BB7" s="93" t="s">
        <v>463</v>
      </c>
      <c r="BC7" s="93" t="s">
        <v>463</v>
      </c>
      <c r="BD7" s="93" t="s">
        <v>463</v>
      </c>
      <c r="BE7" s="93" t="s">
        <v>463</v>
      </c>
      <c r="BF7" s="93" t="s">
        <v>463</v>
      </c>
      <c r="BG7" s="93" t="s">
        <v>463</v>
      </c>
      <c r="BH7" s="93" t="s">
        <v>463</v>
      </c>
      <c r="BI7" s="93" t="s">
        <v>463</v>
      </c>
      <c r="BJ7" s="93" t="s">
        <v>463</v>
      </c>
      <c r="BK7" s="93" t="s">
        <v>463</v>
      </c>
      <c r="BL7" s="93" t="s">
        <v>463</v>
      </c>
      <c r="BM7" s="93" t="s">
        <v>463</v>
      </c>
      <c r="BN7" s="93" t="s">
        <v>463</v>
      </c>
      <c r="BO7" s="93" t="s">
        <v>463</v>
      </c>
      <c r="BP7" s="93" t="s">
        <v>463</v>
      </c>
      <c r="BQ7" s="93" t="s">
        <v>463</v>
      </c>
      <c r="BR7" s="93" t="s">
        <v>463</v>
      </c>
      <c r="BS7" s="93" t="s">
        <v>463</v>
      </c>
      <c r="BT7" s="93" t="s">
        <v>463</v>
      </c>
      <c r="BU7" s="93" t="s">
        <v>463</v>
      </c>
      <c r="BV7" s="93" t="s">
        <v>463</v>
      </c>
      <c r="BW7" s="93" t="s">
        <v>463</v>
      </c>
      <c r="BX7" s="93" t="s">
        <v>463</v>
      </c>
      <c r="BY7" s="93" t="s">
        <v>463</v>
      </c>
      <c r="BZ7" s="93" t="s">
        <v>463</v>
      </c>
      <c r="CA7" s="93" t="s">
        <v>463</v>
      </c>
      <c r="CB7" s="93" t="s">
        <v>463</v>
      </c>
      <c r="CC7" s="93" t="s">
        <v>463</v>
      </c>
      <c r="CD7" s="93" t="s">
        <v>463</v>
      </c>
      <c r="CE7" s="93" t="s">
        <v>463</v>
      </c>
      <c r="CF7" s="93" t="s">
        <v>463</v>
      </c>
      <c r="CG7" s="93" t="s">
        <v>463</v>
      </c>
      <c r="CH7" s="93" t="s">
        <v>464</v>
      </c>
      <c r="CI7" s="93" t="s">
        <v>473</v>
      </c>
      <c r="CJ7" s="93" t="s">
        <v>579</v>
      </c>
      <c r="CK7" s="93" t="s">
        <v>580</v>
      </c>
      <c r="CL7" s="93" t="s">
        <v>581</v>
      </c>
      <c r="CM7" s="93" t="s">
        <v>582</v>
      </c>
      <c r="CN7" s="93" t="s">
        <v>466</v>
      </c>
      <c r="CO7" s="93" t="s">
        <v>468</v>
      </c>
      <c r="CP7" s="93" t="s">
        <v>469</v>
      </c>
      <c r="CQ7" s="93" t="s">
        <v>467</v>
      </c>
      <c r="CR7" s="93" t="s">
        <v>287</v>
      </c>
      <c r="CS7" s="93" t="s">
        <v>465</v>
      </c>
      <c r="CT7" s="93" t="s">
        <v>468</v>
      </c>
      <c r="CU7" s="93" t="s">
        <v>472</v>
      </c>
      <c r="CV7" s="93" t="s">
        <v>470</v>
      </c>
      <c r="CW7" s="93" t="s">
        <v>287</v>
      </c>
      <c r="CX7" s="93" t="s">
        <v>287</v>
      </c>
      <c r="CY7" s="93" t="s">
        <v>471</v>
      </c>
      <c r="CZ7" s="93" t="s">
        <v>287</v>
      </c>
      <c r="DA7" s="93" t="s">
        <v>287</v>
      </c>
      <c r="DB7" s="93" t="s">
        <v>287</v>
      </c>
      <c r="DC7" s="93" t="s">
        <v>287</v>
      </c>
      <c r="DD7" s="93" t="s">
        <v>583</v>
      </c>
      <c r="DE7" s="93" t="s">
        <v>584</v>
      </c>
      <c r="DF7" s="93" t="s">
        <v>584</v>
      </c>
      <c r="DG7" s="93" t="s">
        <v>474</v>
      </c>
    </row>
    <row r="8" spans="2:111" ht="21">
      <c r="B8" s="229" t="s">
        <v>197</v>
      </c>
      <c r="C8" s="230"/>
      <c r="D8" s="231"/>
      <c r="E8" s="235" t="s">
        <v>270</v>
      </c>
      <c r="F8" s="236"/>
      <c r="G8" s="237"/>
      <c r="H8" s="222" t="s">
        <v>251</v>
      </c>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223"/>
      <c r="AK8" s="223"/>
      <c r="AL8" s="223"/>
      <c r="AM8" s="223"/>
      <c r="AN8" s="223"/>
      <c r="AO8" s="223"/>
      <c r="AP8" s="223"/>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223"/>
      <c r="BS8" s="223"/>
      <c r="BT8" s="223"/>
      <c r="BU8" s="223"/>
      <c r="BV8" s="223"/>
      <c r="BW8" s="223"/>
      <c r="BX8" s="223"/>
      <c r="BY8" s="223"/>
      <c r="BZ8" s="223"/>
      <c r="CA8" s="223"/>
      <c r="CB8" s="223"/>
      <c r="CC8" s="223"/>
      <c r="CD8" s="223"/>
      <c r="CE8" s="223"/>
      <c r="CF8" s="223"/>
      <c r="CG8" s="223"/>
      <c r="CH8" s="223"/>
      <c r="CI8" s="223"/>
      <c r="CJ8" s="223"/>
      <c r="CK8" s="223"/>
      <c r="CL8" s="223"/>
      <c r="CM8" s="223"/>
      <c r="CN8" s="223"/>
      <c r="CO8" s="223"/>
      <c r="CP8" s="223"/>
      <c r="CQ8" s="223"/>
      <c r="CR8" s="223"/>
      <c r="CS8" s="223"/>
      <c r="CT8" s="223"/>
      <c r="CU8" s="223"/>
      <c r="CV8" s="223"/>
      <c r="CW8" s="223"/>
      <c r="CX8" s="223"/>
      <c r="CY8" s="223"/>
      <c r="CZ8" s="223"/>
      <c r="DA8" s="223"/>
      <c r="DB8" s="223"/>
      <c r="DC8" s="223"/>
      <c r="DD8" s="223"/>
      <c r="DE8" s="223"/>
      <c r="DF8" s="223"/>
      <c r="DG8" s="223"/>
    </row>
    <row r="9" spans="2:111" ht="82.5" customHeight="1">
      <c r="B9" s="232" t="s">
        <v>280</v>
      </c>
      <c r="C9" s="233"/>
      <c r="D9" s="234"/>
      <c r="E9" s="232" t="s">
        <v>281</v>
      </c>
      <c r="F9" s="233"/>
      <c r="G9" s="234"/>
      <c r="H9" s="224" t="s">
        <v>301</v>
      </c>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5"/>
      <c r="AH9" s="225"/>
      <c r="AI9" s="225"/>
      <c r="AJ9" s="225"/>
      <c r="AK9" s="225"/>
      <c r="AL9" s="225"/>
      <c r="AM9" s="225"/>
      <c r="AN9" s="225"/>
      <c r="AO9" s="225"/>
      <c r="AP9" s="225"/>
      <c r="AQ9" s="225"/>
      <c r="AR9" s="225"/>
      <c r="AS9" s="225"/>
      <c r="AT9" s="225"/>
      <c r="AU9" s="225"/>
      <c r="AV9" s="225"/>
      <c r="AW9" s="225"/>
      <c r="AX9" s="225"/>
      <c r="AY9" s="225"/>
      <c r="AZ9" s="225"/>
      <c r="BA9" s="225"/>
      <c r="BB9" s="225"/>
      <c r="BC9" s="225"/>
      <c r="BD9" s="225"/>
      <c r="BE9" s="225"/>
      <c r="BF9" s="225"/>
      <c r="BG9" s="225"/>
      <c r="BH9" s="225"/>
      <c r="BI9" s="225"/>
      <c r="BJ9" s="225"/>
      <c r="BK9" s="225"/>
      <c r="BL9" s="225"/>
      <c r="BM9" s="225"/>
      <c r="BN9" s="225"/>
      <c r="BO9" s="225"/>
      <c r="BP9" s="225"/>
      <c r="BQ9" s="225"/>
      <c r="BR9" s="225"/>
      <c r="BS9" s="225"/>
      <c r="BT9" s="225"/>
      <c r="BU9" s="225"/>
      <c r="BV9" s="225"/>
      <c r="BW9" s="225"/>
      <c r="BX9" s="225"/>
      <c r="BY9" s="225"/>
      <c r="BZ9" s="225"/>
      <c r="CA9" s="225"/>
      <c r="CB9" s="225"/>
      <c r="CC9" s="225"/>
      <c r="CD9" s="225"/>
      <c r="CE9" s="225"/>
      <c r="CF9" s="225"/>
      <c r="CG9" s="225"/>
      <c r="CH9" s="225"/>
      <c r="CI9" s="225"/>
      <c r="CJ9" s="225"/>
      <c r="CK9" s="225"/>
      <c r="CL9" s="225"/>
      <c r="CM9" s="225"/>
      <c r="CN9" s="225"/>
      <c r="CO9" s="225"/>
      <c r="CP9" s="225"/>
      <c r="CQ9" s="225"/>
      <c r="CR9" s="225"/>
      <c r="CS9" s="225"/>
      <c r="CT9" s="225"/>
      <c r="CU9" s="225"/>
      <c r="CV9" s="225"/>
      <c r="CW9" s="225"/>
      <c r="CX9" s="225"/>
      <c r="CY9" s="225"/>
      <c r="CZ9" s="225"/>
      <c r="DA9" s="225"/>
      <c r="DB9" s="225"/>
      <c r="DC9" s="225"/>
      <c r="DD9" s="225"/>
      <c r="DE9" s="225"/>
      <c r="DF9" s="225"/>
      <c r="DG9" s="225"/>
    </row>
    <row r="10" spans="2:111" ht="47.25">
      <c r="B10" s="95" t="s">
        <v>290</v>
      </c>
      <c r="C10" s="144" t="s">
        <v>291</v>
      </c>
      <c r="D10" s="13" t="s">
        <v>111</v>
      </c>
      <c r="E10" s="14" t="s">
        <v>11</v>
      </c>
      <c r="F10" s="20" t="s">
        <v>239</v>
      </c>
      <c r="G10" s="13" t="s">
        <v>247</v>
      </c>
      <c r="H10" s="129" t="s">
        <v>78</v>
      </c>
      <c r="I10" s="98">
        <f>SUM(I13:I67)</f>
        <v>444884690844.21075</v>
      </c>
      <c r="J10" s="98">
        <f>SUM(J13:J67)</f>
        <v>744369911994.33862</v>
      </c>
      <c r="K10" s="98">
        <f>SUM(K13:K67)</f>
        <v>568920117223.94128</v>
      </c>
      <c r="L10" s="98">
        <f>SUM(L13:L67)</f>
        <v>5173627</v>
      </c>
      <c r="M10" s="98">
        <f>SUM(M13:M67)</f>
        <v>8226969740.79</v>
      </c>
      <c r="N10" s="98">
        <f>SUM(N13:N67)</f>
        <v>298462861554.29199</v>
      </c>
      <c r="O10" s="98">
        <f>SUM(O13:O67)</f>
        <v>4519885648.8000002</v>
      </c>
      <c r="P10" s="98">
        <f>SUM(P13:P67)</f>
        <v>18269604253.869999</v>
      </c>
      <c r="Q10" s="98">
        <f>SUM(Q13:Q67)</f>
        <v>6117876447.8764505</v>
      </c>
      <c r="R10" s="98">
        <f>SUM(R13:R67)</f>
        <v>5157369.8455598475</v>
      </c>
      <c r="S10" s="98">
        <f>SUM(S13:S67)</f>
        <v>7689600000</v>
      </c>
      <c r="T10" s="98">
        <f>SUM(T13:T67)</f>
        <v>3548948813.4099998</v>
      </c>
      <c r="U10" s="98">
        <f>SUM(U13:U67)</f>
        <v>2600335089.8899999</v>
      </c>
      <c r="V10" s="98">
        <f>SUM(V13:V67)</f>
        <v>6246279</v>
      </c>
      <c r="W10" s="98">
        <f>SUM(W13:W67)</f>
        <v>3665990065.1399999</v>
      </c>
      <c r="X10" s="98">
        <f>SUM(X13:X67)</f>
        <v>25514240</v>
      </c>
      <c r="Y10" s="98">
        <f>SUM(Y13:Y67)</f>
        <v>1362412800</v>
      </c>
      <c r="Z10" s="98">
        <f>SUM(Z13:Z67)</f>
        <v>514002900.88</v>
      </c>
      <c r="AA10" s="98">
        <f>SUM(AA13:AA67)</f>
        <v>319815012.92000002</v>
      </c>
      <c r="AB10" s="98">
        <f>SUM(AB13:AB67)</f>
        <v>3386172024.0100002</v>
      </c>
      <c r="AC10" s="98">
        <f>SUM(AC13:AC67)</f>
        <v>660662078.90999997</v>
      </c>
      <c r="AD10" s="98">
        <f>SUM(AD13:AD67)</f>
        <v>446964137.63999999</v>
      </c>
      <c r="AE10" s="98">
        <f>SUM(AE13:AE67)</f>
        <v>1294095996.5599999</v>
      </c>
      <c r="AF10" s="98">
        <f>SUM(AF13:AF67)</f>
        <v>448441218.74000001</v>
      </c>
      <c r="AG10" s="98">
        <f>SUM(AG13:AG67)</f>
        <v>2073475687.5320473</v>
      </c>
      <c r="AH10" s="98">
        <f>SUM(AH13:AH67)</f>
        <v>218768014257.46848</v>
      </c>
      <c r="AI10" s="98">
        <f>SUM(AI13:AI67)</f>
        <v>156174308454.64322</v>
      </c>
      <c r="AJ10" s="98">
        <f>SUM(AJ13:AJ67)</f>
        <v>14072959036.167809</v>
      </c>
      <c r="AK10" s="98">
        <f>SUM(AK13:AK69)</f>
        <v>14940090390.779772</v>
      </c>
      <c r="AL10" s="98">
        <f>SUM(AL13:AL69)</f>
        <v>14385924194.670002</v>
      </c>
      <c r="AM10" s="98">
        <f>SUM(AM13:AM69)</f>
        <v>12341069417.939999</v>
      </c>
      <c r="AN10" s="98">
        <f>SUM(AN13:AN69)</f>
        <v>11506774625.540798</v>
      </c>
      <c r="AO10" s="98">
        <f>SUM(AO13:AO69)</f>
        <v>9967597106.0999985</v>
      </c>
      <c r="AP10" s="98">
        <f>SUM(AP13:AP69)</f>
        <v>8709886466.0200005</v>
      </c>
      <c r="AQ10" s="98">
        <f>SUM(AQ13:AQ69)</f>
        <v>9767406629.1000023</v>
      </c>
      <c r="AR10" s="98">
        <f>SUM(AR13:AR69)</f>
        <v>8159318972.7599993</v>
      </c>
      <c r="AS10" s="98">
        <f>SUM(AS13:AS69)</f>
        <v>7863321623.4000006</v>
      </c>
      <c r="AT10" s="98">
        <f>SUM(AT13:AT69)</f>
        <v>7744177119.7799997</v>
      </c>
      <c r="AU10" s="98">
        <f>SUM(AU13:AU69)</f>
        <v>7288004561.1799994</v>
      </c>
      <c r="AV10" s="98">
        <f>SUM(AV13:AV69)</f>
        <v>10583700719.219999</v>
      </c>
      <c r="AW10" s="98">
        <f>SUM(AW13:AW69)</f>
        <v>5504292406.1199989</v>
      </c>
      <c r="AX10" s="98">
        <f>SUM(AX13:AX69)</f>
        <v>8748743974.2999992</v>
      </c>
      <c r="AY10" s="98">
        <f>SUM(AY13:AY69)</f>
        <v>5013978650.54</v>
      </c>
      <c r="AZ10" s="98">
        <f>SUM(AZ13:AZ69)</f>
        <v>5082712402.5199995</v>
      </c>
      <c r="BA10" s="98">
        <f>SUM(BA13:BA69)</f>
        <v>5108544579.2599993</v>
      </c>
      <c r="BB10" s="98">
        <f>SUM(BB13:BB69)</f>
        <v>1042062114.3274</v>
      </c>
      <c r="BC10" s="98">
        <f>SUM(BC13:BC69)</f>
        <v>3226892098.1309996</v>
      </c>
      <c r="BD10" s="98">
        <f>SUM(BD13:BD69)</f>
        <v>2490074849.8199997</v>
      </c>
      <c r="BE10" s="98">
        <f>SUM(BE13:BE69)</f>
        <v>3907555958.2400002</v>
      </c>
      <c r="BF10" s="98">
        <f>SUM(BF13:BF69)</f>
        <v>2226853071.0082002</v>
      </c>
      <c r="BG10" s="98">
        <f>SUM(BG13:BG69)</f>
        <v>1539104818.7000003</v>
      </c>
      <c r="BH10" s="98">
        <f>SUM(BH13:BH69)</f>
        <v>1620212881.9200001</v>
      </c>
      <c r="BI10" s="98">
        <f>SUM(BI13:BI69)</f>
        <v>1430671497.5199997</v>
      </c>
      <c r="BJ10" s="98">
        <f>SUM(BJ13:BJ69)</f>
        <v>577306682.25999999</v>
      </c>
      <c r="BK10" s="98">
        <f>SUM(BK13:BK69)</f>
        <v>5897448778.6999998</v>
      </c>
      <c r="BL10" s="98">
        <f>SUM(BL13:BL69)</f>
        <v>4485939656.2799997</v>
      </c>
      <c r="BM10" s="98">
        <f>SUM(BM13:BM69)</f>
        <v>4129882412.4800005</v>
      </c>
      <c r="BN10" s="98">
        <f>SUM(BN13:BN69)</f>
        <v>7440355729.96</v>
      </c>
      <c r="BO10" s="98">
        <f>SUM(BO13:BO69)</f>
        <v>3056193397.7800002</v>
      </c>
      <c r="BP10" s="98">
        <f>SUM(BP13:BP69)</f>
        <v>3167398811.7599993</v>
      </c>
      <c r="BQ10" s="98">
        <f>SUM(BQ13:BQ69)</f>
        <v>281162000</v>
      </c>
      <c r="BR10" s="98">
        <f>SUM(BR13:BR69)</f>
        <v>2528432060.48</v>
      </c>
      <c r="BS10" s="98">
        <f>SUM(BS13:BS69)</f>
        <v>3216806142.8600001</v>
      </c>
      <c r="BT10" s="98">
        <f>SUM(BT13:BT69)</f>
        <v>2050901668.6599998</v>
      </c>
      <c r="BU10" s="98">
        <f>SUM(BU13:BU69)</f>
        <v>5608963824</v>
      </c>
      <c r="BV10" s="98">
        <f>SUM(BV13:BV69)</f>
        <v>366631572.70000005</v>
      </c>
      <c r="BW10" s="98">
        <f>SUM(BW13:BW69)</f>
        <v>81657659</v>
      </c>
      <c r="BX10" s="98">
        <f>SUM(BX13:BX69)</f>
        <v>2561641757.7799993</v>
      </c>
      <c r="BY10" s="98">
        <f>SUM(BY13:BY69)</f>
        <v>41025688</v>
      </c>
      <c r="BZ10" s="98">
        <f>SUM(BZ13:BZ69)</f>
        <v>4453095228.5446405</v>
      </c>
      <c r="CA10" s="98">
        <f>SUM(CA13:CA69)</f>
        <v>2171170258.3400002</v>
      </c>
      <c r="CB10" s="98">
        <f>SUM(CB13:CB69)</f>
        <v>1182108560.5999999</v>
      </c>
      <c r="CC10" s="98">
        <f>SUM(CC13:CC69)</f>
        <v>1183737914.5600002</v>
      </c>
      <c r="CD10" s="98">
        <f>SUM(CD13:CD69)</f>
        <v>1132607674.6199999</v>
      </c>
      <c r="CE10" s="98">
        <f>SUM(CE13:CE69)</f>
        <v>1621997331.2</v>
      </c>
      <c r="CF10" s="98">
        <f>SUM(CF13:CF69)</f>
        <v>444410222.44</v>
      </c>
      <c r="CG10" s="98">
        <f>SUM(CG13:CG69)</f>
        <v>219802787.74000001</v>
      </c>
      <c r="CH10" s="98">
        <f>SUM(CH13:CH69)</f>
        <v>12362065914.68</v>
      </c>
      <c r="CI10" s="98">
        <f>SUM(CI13:CI69)</f>
        <v>249940599.45200774</v>
      </c>
      <c r="CJ10" s="98">
        <f>SUM(CJ13:CJ69)</f>
        <v>47404418.6722394</v>
      </c>
      <c r="CK10" s="98">
        <f>SUM(CK13:CK69)</f>
        <v>1944170903.3050201</v>
      </c>
      <c r="CL10" s="98">
        <f>SUM(CL13:CL69)</f>
        <v>1132741044.9439771</v>
      </c>
      <c r="CM10" s="98">
        <f>SUM(CM13:CM69)</f>
        <v>12389054.561853286</v>
      </c>
      <c r="CN10" s="98">
        <f>SUM(CN13:CN69)</f>
        <v>1418684892.8663709</v>
      </c>
      <c r="CO10" s="98">
        <f>SUM(CO13:CO69)</f>
        <v>376569067.41999996</v>
      </c>
      <c r="CP10" s="98">
        <f>SUM(CP13:CP69)</f>
        <v>723845750.96000004</v>
      </c>
      <c r="CQ10" s="98">
        <f>SUM(CQ13:CQ69)</f>
        <v>435220000.72586888</v>
      </c>
      <c r="CR10" s="98">
        <f>SUM(CR13:CR69)</f>
        <v>654632396.13</v>
      </c>
      <c r="CS10" s="98">
        <f>SUM(CS13:CS69)</f>
        <v>130381120</v>
      </c>
      <c r="CT10" s="98">
        <f>SUM(CT13:CT69)</f>
        <v>491354089.81999999</v>
      </c>
      <c r="CU10" s="98">
        <f>SUM(CU13:CU69)</f>
        <v>3066032740.8100004</v>
      </c>
      <c r="CV10" s="98">
        <f>SUM(CV13:CV69)</f>
        <v>700358189.49000001</v>
      </c>
      <c r="CW10" s="98">
        <f>SUM(CW13:CW69)</f>
        <v>8765896</v>
      </c>
      <c r="CX10" s="98">
        <f>SUM(CX13:CX69)</f>
        <v>44460698</v>
      </c>
      <c r="CY10" s="98">
        <f>SUM(CY13:CY69)</f>
        <v>24870650.440000001</v>
      </c>
      <c r="CZ10" s="98">
        <f>SUM(CZ13:CZ69)</f>
        <v>842135526.14999998</v>
      </c>
      <c r="DA10" s="98">
        <f>SUM(DA13:DA69)</f>
        <v>48375471.18</v>
      </c>
      <c r="DB10" s="98">
        <f>SUM(DB13:DB69)</f>
        <v>1128414874</v>
      </c>
      <c r="DC10" s="98">
        <f>SUM(DC13:DC69)</f>
        <v>243290347.16</v>
      </c>
      <c r="DD10" s="98">
        <f>SUM(DD13:DD69)</f>
        <v>229842061.07999998</v>
      </c>
      <c r="DE10" s="98">
        <f>SUM(DE13:DE69)</f>
        <v>78122701.719999999</v>
      </c>
      <c r="DF10" s="98">
        <f>SUM(DF13:DF69)</f>
        <v>11788541</v>
      </c>
      <c r="DG10" s="98">
        <f>SUM(DG13:DG69)</f>
        <v>74287778</v>
      </c>
    </row>
    <row r="11" spans="2:111">
      <c r="B11" s="130" t="s">
        <v>118</v>
      </c>
      <c r="C11" s="145" t="s">
        <v>119</v>
      </c>
      <c r="D11" s="3"/>
      <c r="E11" s="16"/>
      <c r="F11" s="21"/>
      <c r="G11" s="25"/>
      <c r="H11" s="126"/>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row>
    <row r="12" spans="2:111">
      <c r="B12" s="132" t="s">
        <v>120</v>
      </c>
      <c r="C12" s="168" t="s">
        <v>121</v>
      </c>
      <c r="D12" s="2"/>
      <c r="E12" s="16"/>
      <c r="F12" s="21"/>
      <c r="G12" s="25"/>
      <c r="H12" s="126"/>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row>
    <row r="13" spans="2:111" ht="31.5">
      <c r="B13" s="133" t="s">
        <v>122</v>
      </c>
      <c r="C13" s="154" t="s">
        <v>123</v>
      </c>
      <c r="D13" s="12" t="s">
        <v>299</v>
      </c>
      <c r="E13" s="16" t="s">
        <v>475</v>
      </c>
      <c r="F13" s="21" t="s">
        <v>587</v>
      </c>
      <c r="G13" s="25">
        <f>40740475148.67+222414717393.26+6134533474+4377920086+1288893524+7501600349</f>
        <v>282458139974.92999</v>
      </c>
      <c r="H13" s="126">
        <f>SUM(I13:DG13)</f>
        <v>270476383099.92999</v>
      </c>
      <c r="I13" s="131"/>
      <c r="J13" s="131">
        <v>164698812</v>
      </c>
      <c r="K13" s="131"/>
      <c r="L13" s="131"/>
      <c r="M13" s="131">
        <v>8226969740.79</v>
      </c>
      <c r="N13" s="131">
        <v>14238110587.4</v>
      </c>
      <c r="O13" s="131"/>
      <c r="P13" s="131">
        <v>18110696008.48</v>
      </c>
      <c r="Q13" s="131"/>
      <c r="R13" s="131"/>
      <c r="S13" s="131"/>
      <c r="T13" s="131"/>
      <c r="U13" s="131"/>
      <c r="V13" s="131"/>
      <c r="W13" s="131"/>
      <c r="X13" s="131"/>
      <c r="Y13" s="131"/>
      <c r="Z13" s="131"/>
      <c r="AA13" s="131"/>
      <c r="AB13" s="131"/>
      <c r="AC13" s="131"/>
      <c r="AD13" s="131"/>
      <c r="AE13" s="131"/>
      <c r="AF13" s="131"/>
      <c r="AG13" s="131"/>
      <c r="AH13" s="131">
        <v>145010895801.87</v>
      </c>
      <c r="AI13" s="131">
        <v>77403821591.389999</v>
      </c>
      <c r="AJ13" s="131"/>
      <c r="AK13" s="131">
        <v>385000000</v>
      </c>
      <c r="AL13" s="131">
        <v>6329607</v>
      </c>
      <c r="AM13" s="131">
        <v>411852019</v>
      </c>
      <c r="AN13" s="131">
        <v>260956292</v>
      </c>
      <c r="AO13" s="131"/>
      <c r="AP13" s="131">
        <v>2503145</v>
      </c>
      <c r="AQ13" s="131">
        <v>179293978</v>
      </c>
      <c r="AR13" s="131">
        <v>68764600</v>
      </c>
      <c r="AS13" s="131">
        <v>5605202</v>
      </c>
      <c r="AT13" s="131"/>
      <c r="AU13" s="131">
        <v>2000000</v>
      </c>
      <c r="AV13" s="131">
        <v>641221710</v>
      </c>
      <c r="AW13" s="131"/>
      <c r="AX13" s="131">
        <v>1800811391</v>
      </c>
      <c r="AY13" s="131">
        <v>3950392</v>
      </c>
      <c r="AZ13" s="131">
        <v>359639988</v>
      </c>
      <c r="BA13" s="131">
        <v>1375645</v>
      </c>
      <c r="BB13" s="131"/>
      <c r="BC13" s="131">
        <v>157692510</v>
      </c>
      <c r="BD13" s="131">
        <v>11089688</v>
      </c>
      <c r="BE13" s="131"/>
      <c r="BF13" s="131">
        <v>2896088</v>
      </c>
      <c r="BG13" s="131"/>
      <c r="BH13" s="131"/>
      <c r="BI13" s="131">
        <v>3157438</v>
      </c>
      <c r="BJ13" s="131"/>
      <c r="BK13" s="131">
        <v>186048501</v>
      </c>
      <c r="BL13" s="131">
        <v>58365973</v>
      </c>
      <c r="BM13" s="131">
        <v>41471670</v>
      </c>
      <c r="BN13" s="131">
        <v>53690889</v>
      </c>
      <c r="BO13" s="131"/>
      <c r="BP13" s="131">
        <v>66953853</v>
      </c>
      <c r="BQ13" s="131"/>
      <c r="BR13" s="131">
        <v>1905703</v>
      </c>
      <c r="BS13" s="131">
        <v>221246275</v>
      </c>
      <c r="BT13" s="131"/>
      <c r="BU13" s="131">
        <v>924569626</v>
      </c>
      <c r="BV13" s="131">
        <v>500000</v>
      </c>
      <c r="BW13" s="131">
        <v>4096188</v>
      </c>
      <c r="BX13" s="131">
        <v>34029837</v>
      </c>
      <c r="BY13" s="131"/>
      <c r="BZ13" s="131">
        <v>191704892</v>
      </c>
      <c r="CA13" s="131">
        <v>38652291</v>
      </c>
      <c r="CB13" s="131"/>
      <c r="CC13" s="131"/>
      <c r="CD13" s="131">
        <v>38427</v>
      </c>
      <c r="CE13" s="131">
        <v>2444877</v>
      </c>
      <c r="CF13" s="131">
        <v>436775</v>
      </c>
      <c r="CG13" s="131">
        <v>3162464</v>
      </c>
      <c r="CH13" s="131">
        <v>395951020</v>
      </c>
      <c r="CI13" s="131">
        <v>60876766</v>
      </c>
      <c r="CJ13" s="131"/>
      <c r="CK13" s="131"/>
      <c r="CL13" s="131"/>
      <c r="CM13" s="131"/>
      <c r="CN13" s="131"/>
      <c r="CO13" s="131">
        <v>4015701</v>
      </c>
      <c r="CP13" s="131"/>
      <c r="CQ13" s="131">
        <v>23581592</v>
      </c>
      <c r="CR13" s="131">
        <v>36549545</v>
      </c>
      <c r="CS13" s="131"/>
      <c r="CT13" s="131"/>
      <c r="CU13" s="131"/>
      <c r="CV13" s="131">
        <v>107061630</v>
      </c>
      <c r="CW13" s="131">
        <v>2713547</v>
      </c>
      <c r="CX13" s="131">
        <v>17091371</v>
      </c>
      <c r="CY13" s="131">
        <v>8506904</v>
      </c>
      <c r="CZ13" s="131">
        <v>119916611</v>
      </c>
      <c r="DA13" s="131">
        <v>12076753</v>
      </c>
      <c r="DB13" s="131">
        <v>272705886</v>
      </c>
      <c r="DC13" s="131">
        <v>52845875</v>
      </c>
      <c r="DD13" s="131">
        <v>39415419</v>
      </c>
      <c r="DE13" s="131">
        <v>24779925</v>
      </c>
      <c r="DF13" s="131">
        <v>8543361</v>
      </c>
      <c r="DG13" s="131">
        <v>1100718</v>
      </c>
    </row>
    <row r="14" spans="2:111" ht="31.5">
      <c r="B14" s="133" t="s">
        <v>122</v>
      </c>
      <c r="C14" s="154" t="s">
        <v>123</v>
      </c>
      <c r="D14" s="12" t="s">
        <v>299</v>
      </c>
      <c r="E14" s="16" t="s">
        <v>476</v>
      </c>
      <c r="F14" s="21" t="s">
        <v>587</v>
      </c>
      <c r="G14" s="25">
        <v>1819717946.4400001</v>
      </c>
      <c r="H14" s="126">
        <f>SUM(I14:DG14)</f>
        <v>1819717946.4400001</v>
      </c>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v>1781683852.5599999</v>
      </c>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v>38034093.880000003</v>
      </c>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c r="CX14" s="131"/>
      <c r="CY14" s="131"/>
      <c r="CZ14" s="131"/>
      <c r="DA14" s="131"/>
      <c r="DB14" s="131"/>
      <c r="DC14" s="131"/>
      <c r="DD14" s="131"/>
      <c r="DE14" s="131"/>
      <c r="DF14" s="131"/>
      <c r="DG14" s="131"/>
    </row>
    <row r="15" spans="2:111" ht="78.75">
      <c r="B15" s="133" t="s">
        <v>122</v>
      </c>
      <c r="C15" s="154" t="s">
        <v>123</v>
      </c>
      <c r="D15" s="12" t="s">
        <v>299</v>
      </c>
      <c r="E15" s="16" t="s">
        <v>477</v>
      </c>
      <c r="F15" s="21" t="s">
        <v>596</v>
      </c>
      <c r="G15" s="25">
        <f>67314749353.1572+6770875537.14224+41353324562+244080055733+3505507700+9320793974</f>
        <v>372345306859.29944</v>
      </c>
      <c r="H15" s="126">
        <f>SUM(I15:DG15)</f>
        <v>77592208130.299438</v>
      </c>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v>4336008301.7797718</v>
      </c>
      <c r="AL15" s="131">
        <v>3962067393.5599999</v>
      </c>
      <c r="AM15" s="131">
        <f>3643304801.08+210109256</f>
        <v>3853414057.0799999</v>
      </c>
      <c r="AN15" s="131">
        <v>3472028901.3000002</v>
      </c>
      <c r="AO15" s="131">
        <v>3035161557.7800002</v>
      </c>
      <c r="AP15" s="131">
        <v>2610227535.0599999</v>
      </c>
      <c r="AQ15" s="131">
        <f>2601503815.28+1561283</f>
        <v>2603065098.2800002</v>
      </c>
      <c r="AR15" s="131">
        <v>2464310128.54</v>
      </c>
      <c r="AS15" s="131">
        <f>2399005097.24+2481298.5</f>
        <v>2401486395.7399998</v>
      </c>
      <c r="AT15" s="131">
        <f>2156137807.44+1075540</f>
        <v>2157213347.4400001</v>
      </c>
      <c r="AU15" s="131">
        <v>2169771043.6399999</v>
      </c>
      <c r="AV15" s="131">
        <f>2363539335.86+1215060</f>
        <v>2364754395.8600001</v>
      </c>
      <c r="AW15" s="131">
        <v>1609873117.0799999</v>
      </c>
      <c r="AX15" s="131">
        <v>4917444532.2600002</v>
      </c>
      <c r="AY15" s="131">
        <f>1613807279.22+692281</f>
        <v>1614499560.22</v>
      </c>
      <c r="AZ15" s="131">
        <v>2585225665.1000004</v>
      </c>
      <c r="BA15" s="131">
        <f>1387408441.46</f>
        <v>1387408441.46</v>
      </c>
      <c r="BB15" s="131">
        <v>64306662.079999998</v>
      </c>
      <c r="BC15" s="131">
        <f>1599376816+273846304.431</f>
        <v>1873223120.431</v>
      </c>
      <c r="BD15" s="131">
        <v>581255446.42000008</v>
      </c>
      <c r="BE15" s="131">
        <v>495886304.46000004</v>
      </c>
      <c r="BF15" s="131">
        <v>455976315.75999999</v>
      </c>
      <c r="BG15" s="131">
        <v>479920681.82000005</v>
      </c>
      <c r="BH15" s="131">
        <v>531203277</v>
      </c>
      <c r="BI15" s="131">
        <v>475185656.60000002</v>
      </c>
      <c r="BJ15" s="131">
        <v>5444568.6600000001</v>
      </c>
      <c r="BK15" s="131">
        <f>1585329858.9+472736790</f>
        <v>2058066648.9000001</v>
      </c>
      <c r="BL15" s="131">
        <f>1281317790.04+141262369</f>
        <v>1422580159.04</v>
      </c>
      <c r="BM15" s="131">
        <v>1034609549.4000001</v>
      </c>
      <c r="BN15" s="131">
        <v>3358860249.9200001</v>
      </c>
      <c r="BO15" s="131">
        <v>891634244.86000001</v>
      </c>
      <c r="BP15" s="131">
        <v>1045862899.26</v>
      </c>
      <c r="BQ15" s="131"/>
      <c r="BR15" s="131">
        <v>774232993.36000001</v>
      </c>
      <c r="BS15" s="131">
        <f>2115688244.9+449089228</f>
        <v>2564777472.9000001</v>
      </c>
      <c r="BT15" s="131">
        <v>617386356.54000008</v>
      </c>
      <c r="BU15" s="131">
        <f>104344+4168910590</f>
        <v>4169014934</v>
      </c>
      <c r="BV15" s="131">
        <v>10235239.220000001</v>
      </c>
      <c r="BW15" s="131">
        <v>54624866.5</v>
      </c>
      <c r="BX15" s="131">
        <f>163194454.54+185710451.76</f>
        <v>348904906.29999995</v>
      </c>
      <c r="BY15" s="131">
        <v>37755446</v>
      </c>
      <c r="BZ15" s="131">
        <f>337493593.5974+738147702.45124</f>
        <v>1075641296.04864</v>
      </c>
      <c r="CA15" s="131">
        <f>363340844.46+125112923</f>
        <v>488453767.45999998</v>
      </c>
      <c r="CB15" s="131">
        <v>725371046.01999998</v>
      </c>
      <c r="CC15" s="131">
        <v>348995392.06</v>
      </c>
      <c r="CD15" s="131">
        <v>169178365.66</v>
      </c>
      <c r="CE15" s="131">
        <v>259819103.20000002</v>
      </c>
      <c r="CF15" s="131">
        <v>53941950.120000005</v>
      </c>
      <c r="CG15" s="131">
        <v>70392038.120000005</v>
      </c>
      <c r="CH15" s="131"/>
      <c r="CI15" s="131">
        <v>30430108</v>
      </c>
      <c r="CJ15" s="131"/>
      <c r="CK15" s="131"/>
      <c r="CL15" s="131">
        <v>26846861</v>
      </c>
      <c r="CM15" s="131"/>
      <c r="CN15" s="131"/>
      <c r="CO15" s="131">
        <v>11907581</v>
      </c>
      <c r="CP15" s="131">
        <v>136413000</v>
      </c>
      <c r="CQ15" s="131"/>
      <c r="CR15" s="131">
        <v>24813807</v>
      </c>
      <c r="CS15" s="131"/>
      <c r="CT15" s="131"/>
      <c r="CU15" s="131">
        <v>2219946000</v>
      </c>
      <c r="CV15" s="131">
        <v>3600879</v>
      </c>
      <c r="CW15" s="131">
        <v>4065715</v>
      </c>
      <c r="CX15" s="131">
        <v>9489621</v>
      </c>
      <c r="CY15" s="131">
        <v>7424431</v>
      </c>
      <c r="CZ15" s="131">
        <v>642559328</v>
      </c>
      <c r="DA15" s="131"/>
      <c r="DB15" s="131">
        <v>204431014</v>
      </c>
      <c r="DC15" s="131">
        <v>183579355</v>
      </c>
      <c r="DD15" s="131"/>
      <c r="DE15" s="131"/>
      <c r="DF15" s="131"/>
      <c r="DG15" s="131"/>
    </row>
    <row r="16" spans="2:111" ht="31.5">
      <c r="B16" s="133" t="s">
        <v>122</v>
      </c>
      <c r="C16" s="154" t="s">
        <v>123</v>
      </c>
      <c r="D16" s="12" t="s">
        <v>299</v>
      </c>
      <c r="E16" s="16" t="s">
        <v>478</v>
      </c>
      <c r="F16" s="21" t="s">
        <v>587</v>
      </c>
      <c r="G16" s="25">
        <v>33708244</v>
      </c>
      <c r="H16" s="126">
        <f>SUM(I16:DG16)</f>
        <v>0</v>
      </c>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131"/>
      <c r="DA16" s="131"/>
      <c r="DB16" s="131"/>
      <c r="DC16" s="131"/>
      <c r="DD16" s="131"/>
      <c r="DE16" s="131"/>
      <c r="DF16" s="131"/>
      <c r="DG16" s="131"/>
    </row>
    <row r="17" spans="2:111">
      <c r="B17" s="133" t="s">
        <v>124</v>
      </c>
      <c r="C17" s="154" t="s">
        <v>125</v>
      </c>
      <c r="D17" s="12" t="s">
        <v>299</v>
      </c>
      <c r="E17" s="16"/>
      <c r="F17" s="81"/>
      <c r="G17" s="25"/>
      <c r="H17" s="126"/>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row>
    <row r="18" spans="2:111">
      <c r="B18" s="133" t="s">
        <v>126</v>
      </c>
      <c r="C18" s="151" t="s">
        <v>127</v>
      </c>
      <c r="D18" s="12" t="s">
        <v>272</v>
      </c>
      <c r="E18" s="16"/>
      <c r="F18" s="21"/>
      <c r="G18" s="25"/>
      <c r="H18" s="126">
        <f>SUM(I18:DG18)</f>
        <v>0</v>
      </c>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131"/>
      <c r="DA18" s="131"/>
      <c r="DB18" s="131"/>
      <c r="DC18" s="131"/>
      <c r="DD18" s="131"/>
      <c r="DE18" s="131"/>
      <c r="DF18" s="131"/>
      <c r="DG18" s="131"/>
    </row>
    <row r="19" spans="2:111">
      <c r="B19" s="133" t="s">
        <v>128</v>
      </c>
      <c r="C19" s="151" t="s">
        <v>129</v>
      </c>
      <c r="D19" s="12" t="s">
        <v>272</v>
      </c>
      <c r="E19" s="16"/>
      <c r="F19" s="21"/>
      <c r="G19" s="25"/>
      <c r="H19" s="126">
        <f>SUM(I19:DG19)</f>
        <v>0</v>
      </c>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c r="CX19" s="131"/>
      <c r="CY19" s="131"/>
      <c r="CZ19" s="131"/>
      <c r="DA19" s="131"/>
      <c r="DB19" s="131"/>
      <c r="DC19" s="131"/>
      <c r="DD19" s="131"/>
      <c r="DE19" s="131"/>
      <c r="DF19" s="131"/>
      <c r="DG19" s="131"/>
    </row>
    <row r="20" spans="2:111">
      <c r="B20" s="134" t="s">
        <v>130</v>
      </c>
      <c r="C20" s="150" t="s">
        <v>131</v>
      </c>
      <c r="D20" s="2"/>
      <c r="E20" s="16"/>
      <c r="F20" s="21"/>
      <c r="G20" s="25"/>
      <c r="H20" s="126"/>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row>
    <row r="21" spans="2:111" ht="31.5">
      <c r="B21" s="133" t="s">
        <v>132</v>
      </c>
      <c r="C21" s="152" t="s">
        <v>133</v>
      </c>
      <c r="D21" s="12" t="s">
        <v>272</v>
      </c>
      <c r="E21" s="16"/>
      <c r="F21" s="21"/>
      <c r="G21" s="25"/>
      <c r="H21" s="126">
        <f>SUM(I21:DG21)</f>
        <v>0</v>
      </c>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c r="CW21" s="131"/>
      <c r="CX21" s="131"/>
      <c r="CY21" s="131"/>
      <c r="CZ21" s="131"/>
      <c r="DA21" s="131"/>
      <c r="DB21" s="131"/>
      <c r="DC21" s="131"/>
      <c r="DD21" s="131"/>
      <c r="DE21" s="131"/>
      <c r="DF21" s="131"/>
      <c r="DG21" s="131"/>
    </row>
    <row r="22" spans="2:111" ht="31.5">
      <c r="B22" s="133" t="s">
        <v>132</v>
      </c>
      <c r="C22" s="152" t="s">
        <v>133</v>
      </c>
      <c r="D22" s="12" t="s">
        <v>299</v>
      </c>
      <c r="E22" s="16" t="s">
        <v>479</v>
      </c>
      <c r="F22" s="21" t="s">
        <v>587</v>
      </c>
      <c r="G22" s="25">
        <v>2619827258.8455601</v>
      </c>
      <c r="H22" s="126">
        <f>SUM(I22:DG22)</f>
        <v>2619827258.8455601</v>
      </c>
      <c r="I22" s="131"/>
      <c r="J22" s="131">
        <v>150000</v>
      </c>
      <c r="K22" s="131">
        <v>2603099983</v>
      </c>
      <c r="L22" s="131">
        <v>5173627</v>
      </c>
      <c r="M22" s="131"/>
      <c r="N22" s="131"/>
      <c r="O22" s="131"/>
      <c r="P22" s="131"/>
      <c r="Q22" s="131"/>
      <c r="R22" s="131">
        <v>5157369.8455598475</v>
      </c>
      <c r="S22" s="131"/>
      <c r="T22" s="131"/>
      <c r="U22" s="131"/>
      <c r="V22" s="131">
        <v>6246279</v>
      </c>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c r="CW22" s="131"/>
      <c r="CX22" s="131"/>
      <c r="CY22" s="131"/>
      <c r="CZ22" s="131"/>
      <c r="DA22" s="131"/>
      <c r="DB22" s="131"/>
      <c r="DC22" s="131"/>
      <c r="DD22" s="131"/>
      <c r="DE22" s="131"/>
      <c r="DF22" s="131"/>
      <c r="DG22" s="131"/>
    </row>
    <row r="23" spans="2:111">
      <c r="B23" s="133" t="s">
        <v>134</v>
      </c>
      <c r="C23" s="152" t="s">
        <v>135</v>
      </c>
      <c r="D23" s="12" t="s">
        <v>272</v>
      </c>
      <c r="E23" s="16"/>
      <c r="F23" s="21"/>
      <c r="G23" s="25"/>
      <c r="H23" s="126">
        <f>SUM(I23:DG23)</f>
        <v>0</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row>
    <row r="24" spans="2:111" ht="31.5">
      <c r="B24" s="134" t="s">
        <v>138</v>
      </c>
      <c r="C24" s="153" t="s">
        <v>139</v>
      </c>
      <c r="D24" s="3"/>
      <c r="E24" s="16"/>
      <c r="F24" s="21"/>
      <c r="G24" s="25"/>
      <c r="H24" s="126"/>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c r="CX24" s="131"/>
      <c r="CY24" s="131"/>
      <c r="CZ24" s="131"/>
      <c r="DA24" s="131"/>
      <c r="DB24" s="131"/>
      <c r="DC24" s="131"/>
      <c r="DD24" s="131"/>
      <c r="DE24" s="131"/>
      <c r="DF24" s="131"/>
      <c r="DG24" s="131"/>
    </row>
    <row r="25" spans="2:111">
      <c r="B25" s="133" t="s">
        <v>140</v>
      </c>
      <c r="C25" s="154" t="s">
        <v>141</v>
      </c>
      <c r="D25" s="12" t="s">
        <v>272</v>
      </c>
      <c r="E25" s="16"/>
      <c r="F25" s="21"/>
      <c r="G25" s="26"/>
      <c r="H25" s="126">
        <f>SUM(I25:DG25)</f>
        <v>0</v>
      </c>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c r="CW25" s="131"/>
      <c r="CX25" s="131"/>
      <c r="CY25" s="131"/>
      <c r="CZ25" s="131"/>
      <c r="DA25" s="131"/>
      <c r="DB25" s="131"/>
      <c r="DC25" s="131"/>
      <c r="DD25" s="131"/>
      <c r="DE25" s="131"/>
      <c r="DF25" s="131"/>
      <c r="DG25" s="131"/>
    </row>
    <row r="26" spans="2:111">
      <c r="B26" s="133" t="s">
        <v>142</v>
      </c>
      <c r="C26" s="154" t="s">
        <v>143</v>
      </c>
      <c r="D26" s="12" t="s">
        <v>272</v>
      </c>
      <c r="E26" s="16"/>
      <c r="F26" s="21"/>
      <c r="G26" s="25"/>
      <c r="H26" s="126">
        <f>SUM(I26:DG26)</f>
        <v>0</v>
      </c>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c r="CW26" s="131"/>
      <c r="CX26" s="131"/>
      <c r="CY26" s="131"/>
      <c r="CZ26" s="131"/>
      <c r="DA26" s="131"/>
      <c r="DB26" s="131"/>
      <c r="DC26" s="131"/>
      <c r="DD26" s="131"/>
      <c r="DE26" s="131"/>
      <c r="DF26" s="131"/>
      <c r="DG26" s="131"/>
    </row>
    <row r="27" spans="2:111">
      <c r="B27" s="133" t="s">
        <v>144</v>
      </c>
      <c r="C27" s="154" t="s">
        <v>145</v>
      </c>
      <c r="D27" s="12" t="s">
        <v>272</v>
      </c>
      <c r="E27" s="16"/>
      <c r="F27" s="21"/>
      <c r="G27" s="25"/>
      <c r="H27" s="126">
        <f>SUM(I27:DG27)</f>
        <v>0</v>
      </c>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c r="CW27" s="131"/>
      <c r="CX27" s="131"/>
      <c r="CY27" s="131"/>
      <c r="CZ27" s="131"/>
      <c r="DA27" s="131"/>
      <c r="DB27" s="131"/>
      <c r="DC27" s="131"/>
      <c r="DD27" s="131"/>
      <c r="DE27" s="131"/>
      <c r="DF27" s="131"/>
      <c r="DG27" s="131"/>
    </row>
    <row r="28" spans="2:111">
      <c r="B28" s="132" t="s">
        <v>146</v>
      </c>
      <c r="C28" s="150" t="s">
        <v>147</v>
      </c>
      <c r="D28" s="3"/>
      <c r="E28" s="16"/>
      <c r="F28" s="21"/>
      <c r="G28" s="25"/>
      <c r="H28" s="126"/>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c r="CW28" s="131"/>
      <c r="CX28" s="131"/>
      <c r="CY28" s="131"/>
      <c r="CZ28" s="131"/>
      <c r="DA28" s="131"/>
      <c r="DB28" s="131"/>
      <c r="DC28" s="131"/>
      <c r="DD28" s="131"/>
      <c r="DE28" s="131"/>
      <c r="DF28" s="131"/>
      <c r="DG28" s="131"/>
    </row>
    <row r="29" spans="2:111">
      <c r="B29" s="133" t="s">
        <v>148</v>
      </c>
      <c r="C29" s="152" t="s">
        <v>149</v>
      </c>
      <c r="D29" s="12" t="s">
        <v>299</v>
      </c>
      <c r="E29" s="16" t="s">
        <v>480</v>
      </c>
      <c r="F29" s="21" t="s">
        <v>481</v>
      </c>
      <c r="G29" s="25">
        <f>499736250+509433245</f>
        <v>1009169495</v>
      </c>
      <c r="H29" s="126">
        <f>SUM(I29:DG29)</f>
        <v>1009169495</v>
      </c>
      <c r="I29" s="131"/>
      <c r="J29" s="131">
        <v>499736250</v>
      </c>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v>478939443</v>
      </c>
      <c r="CV29" s="131"/>
      <c r="CW29" s="131"/>
      <c r="CX29" s="131"/>
      <c r="CY29" s="131"/>
      <c r="CZ29" s="131"/>
      <c r="DA29" s="131">
        <v>30493802</v>
      </c>
      <c r="DB29" s="131"/>
      <c r="DC29" s="131"/>
      <c r="DD29" s="131"/>
      <c r="DE29" s="131"/>
      <c r="DF29" s="131"/>
      <c r="DG29" s="131"/>
    </row>
    <row r="30" spans="2:111">
      <c r="B30" s="133" t="s">
        <v>148</v>
      </c>
      <c r="C30" s="152" t="s">
        <v>149</v>
      </c>
      <c r="D30" s="12" t="s">
        <v>299</v>
      </c>
      <c r="E30" s="16" t="s">
        <v>482</v>
      </c>
      <c r="F30" s="21" t="s">
        <v>481</v>
      </c>
      <c r="G30" s="25">
        <f>27420913+9320937+3318099193+2985923707+1225365997.61+8025002211</f>
        <v>15591132958.610001</v>
      </c>
      <c r="H30" s="126">
        <f>SUM(I30:DG30)</f>
        <v>4580207040.6099997</v>
      </c>
      <c r="I30" s="131"/>
      <c r="J30" s="131"/>
      <c r="K30" s="131">
        <v>27420913</v>
      </c>
      <c r="L30" s="131"/>
      <c r="M30" s="131"/>
      <c r="N30" s="131"/>
      <c r="O30" s="131"/>
      <c r="P30" s="131"/>
      <c r="Q30" s="131"/>
      <c r="R30" s="131"/>
      <c r="S30" s="131"/>
      <c r="T30" s="131"/>
      <c r="U30" s="131"/>
      <c r="V30" s="131"/>
      <c r="W30" s="131"/>
      <c r="X30" s="131"/>
      <c r="Y30" s="131"/>
      <c r="Z30" s="131"/>
      <c r="AA30" s="131"/>
      <c r="AB30" s="131"/>
      <c r="AC30" s="131"/>
      <c r="AD30" s="131"/>
      <c r="AE30" s="131"/>
      <c r="AF30" s="131"/>
      <c r="AG30" s="131">
        <v>9320937</v>
      </c>
      <c r="AH30" s="131"/>
      <c r="AI30" s="131"/>
      <c r="AJ30" s="131"/>
      <c r="AK30" s="131"/>
      <c r="AL30" s="131"/>
      <c r="AM30" s="131">
        <v>106049356</v>
      </c>
      <c r="AN30" s="131">
        <v>5033352</v>
      </c>
      <c r="AO30" s="131"/>
      <c r="AP30" s="131"/>
      <c r="AQ30" s="131">
        <v>66337134</v>
      </c>
      <c r="AR30" s="131">
        <v>71223104</v>
      </c>
      <c r="AS30" s="131">
        <v>1671317</v>
      </c>
      <c r="AT30" s="131"/>
      <c r="AU30" s="131"/>
      <c r="AV30" s="131">
        <v>374823558</v>
      </c>
      <c r="AW30" s="131"/>
      <c r="AX30" s="131">
        <v>4917671</v>
      </c>
      <c r="AY30" s="131">
        <v>11700236</v>
      </c>
      <c r="AZ30" s="131">
        <v>32728989</v>
      </c>
      <c r="BA30" s="131"/>
      <c r="BB30" s="131"/>
      <c r="BC30" s="131">
        <v>44083964</v>
      </c>
      <c r="BD30" s="131"/>
      <c r="BE30" s="131"/>
      <c r="BF30" s="131"/>
      <c r="BG30" s="131"/>
      <c r="BH30" s="131"/>
      <c r="BI30" s="131"/>
      <c r="BJ30" s="131"/>
      <c r="BK30" s="131">
        <v>233631964</v>
      </c>
      <c r="BL30" s="131">
        <v>30985120</v>
      </c>
      <c r="BM30" s="131"/>
      <c r="BN30" s="131">
        <v>2765655</v>
      </c>
      <c r="BO30" s="131"/>
      <c r="BP30" s="131">
        <v>29986697</v>
      </c>
      <c r="BQ30" s="131"/>
      <c r="BR30" s="131"/>
      <c r="BS30" s="131">
        <v>72467674</v>
      </c>
      <c r="BT30" s="131"/>
      <c r="BU30" s="131">
        <v>515205350</v>
      </c>
      <c r="BV30" s="131"/>
      <c r="BW30" s="131">
        <v>596194</v>
      </c>
      <c r="BX30" s="131">
        <v>1706896477</v>
      </c>
      <c r="BY30" s="131"/>
      <c r="BZ30" s="131"/>
      <c r="CA30" s="131">
        <v>651097</v>
      </c>
      <c r="CB30" s="131"/>
      <c r="CC30" s="131"/>
      <c r="CD30" s="131"/>
      <c r="CE30" s="131"/>
      <c r="CF30" s="131"/>
      <c r="CG30" s="131">
        <v>6344284</v>
      </c>
      <c r="CH30" s="131">
        <v>144576001.88</v>
      </c>
      <c r="CI30" s="131">
        <v>57741356.25</v>
      </c>
      <c r="CJ30" s="131"/>
      <c r="CK30" s="131"/>
      <c r="CL30" s="131">
        <v>2640934.25</v>
      </c>
      <c r="CM30" s="131"/>
      <c r="CN30" s="131">
        <v>5803953</v>
      </c>
      <c r="CO30" s="131">
        <v>165025.01999999999</v>
      </c>
      <c r="CP30" s="131">
        <v>53760.959999999999</v>
      </c>
      <c r="CQ30" s="131"/>
      <c r="CR30" s="131">
        <v>124786400</v>
      </c>
      <c r="CS30" s="131">
        <v>124786400</v>
      </c>
      <c r="CT30" s="131">
        <v>168791492.81999999</v>
      </c>
      <c r="CU30" s="131">
        <v>39069065.010000005</v>
      </c>
      <c r="CV30" s="131">
        <v>521414780.49000001</v>
      </c>
      <c r="CW30" s="131"/>
      <c r="CX30" s="131"/>
      <c r="CY30" s="131">
        <v>3886515.44</v>
      </c>
      <c r="CZ30" s="131">
        <v>18874581.149999999</v>
      </c>
      <c r="DA30" s="131">
        <v>5804916.1799999997</v>
      </c>
      <c r="DB30" s="131">
        <v>105698</v>
      </c>
      <c r="DC30" s="131">
        <v>6865117.1600000001</v>
      </c>
      <c r="DD30" s="131"/>
      <c r="DE30" s="131"/>
      <c r="DF30" s="131"/>
      <c r="DG30" s="131"/>
    </row>
    <row r="31" spans="2:111">
      <c r="B31" s="133" t="s">
        <v>150</v>
      </c>
      <c r="C31" s="152" t="s">
        <v>151</v>
      </c>
      <c r="D31" s="12" t="s">
        <v>272</v>
      </c>
      <c r="E31" s="16"/>
      <c r="F31" s="21"/>
      <c r="G31" s="25"/>
      <c r="H31" s="126">
        <f>SUM(I31:DG31)</f>
        <v>0</v>
      </c>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c r="CW31" s="131"/>
      <c r="CX31" s="131"/>
      <c r="CY31" s="131"/>
      <c r="CZ31" s="131"/>
      <c r="DA31" s="194"/>
      <c r="DB31" s="131"/>
      <c r="DC31" s="131"/>
      <c r="DD31" s="131"/>
      <c r="DE31" s="131"/>
      <c r="DF31" s="131"/>
      <c r="DG31" s="131"/>
    </row>
    <row r="32" spans="2:111">
      <c r="B32" s="133" t="s">
        <v>152</v>
      </c>
      <c r="C32" s="152" t="s">
        <v>153</v>
      </c>
      <c r="D32" s="12" t="s">
        <v>272</v>
      </c>
      <c r="E32" s="16"/>
      <c r="F32" s="21"/>
      <c r="G32" s="25"/>
      <c r="H32" s="126">
        <f>SUM(I32:DG32)</f>
        <v>0</v>
      </c>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c r="CX32" s="131"/>
      <c r="CY32" s="131"/>
      <c r="CZ32" s="131"/>
      <c r="DA32" s="131"/>
      <c r="DB32" s="131"/>
      <c r="DC32" s="131"/>
      <c r="DD32" s="131"/>
      <c r="DE32" s="131"/>
      <c r="DF32" s="131"/>
      <c r="DG32" s="131"/>
    </row>
    <row r="33" spans="2:111">
      <c r="B33" s="133" t="s">
        <v>154</v>
      </c>
      <c r="C33" s="151" t="s">
        <v>155</v>
      </c>
      <c r="D33" s="12" t="s">
        <v>272</v>
      </c>
      <c r="E33" s="16"/>
      <c r="F33" s="21"/>
      <c r="G33" s="25"/>
      <c r="H33" s="126">
        <v>0</v>
      </c>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c r="CW33" s="131"/>
      <c r="CX33" s="131"/>
      <c r="CY33" s="131"/>
      <c r="CZ33" s="131"/>
      <c r="DA33" s="131"/>
      <c r="DB33" s="131"/>
      <c r="DC33" s="131"/>
      <c r="DD33" s="131"/>
      <c r="DE33" s="131"/>
      <c r="DF33" s="131"/>
      <c r="DG33" s="131"/>
    </row>
    <row r="34" spans="2:111">
      <c r="B34" s="135"/>
      <c r="C34" s="146"/>
      <c r="D34" s="3"/>
      <c r="E34" s="16"/>
      <c r="F34" s="21"/>
      <c r="G34" s="25"/>
      <c r="H34" s="126"/>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c r="CW34" s="131"/>
      <c r="CX34" s="131"/>
      <c r="CY34" s="131"/>
      <c r="CZ34" s="131"/>
      <c r="DA34" s="131"/>
      <c r="DB34" s="131"/>
      <c r="DC34" s="131"/>
      <c r="DD34" s="131"/>
      <c r="DE34" s="131"/>
      <c r="DF34" s="131"/>
      <c r="DG34" s="131"/>
    </row>
    <row r="35" spans="2:111">
      <c r="B35" s="136" t="s">
        <v>156</v>
      </c>
      <c r="C35" s="145" t="s">
        <v>157</v>
      </c>
      <c r="D35" s="2"/>
      <c r="E35" s="16"/>
      <c r="F35" s="21"/>
      <c r="G35" s="25"/>
      <c r="H35" s="126"/>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c r="CW35" s="131"/>
      <c r="CX35" s="131"/>
      <c r="CY35" s="131"/>
      <c r="CZ35" s="131"/>
      <c r="DA35" s="131"/>
      <c r="DB35" s="131"/>
      <c r="DC35" s="131"/>
      <c r="DD35" s="131"/>
      <c r="DE35" s="131"/>
      <c r="DF35" s="131"/>
      <c r="DG35" s="131"/>
    </row>
    <row r="36" spans="2:111">
      <c r="B36" s="133" t="s">
        <v>158</v>
      </c>
      <c r="C36" s="151" t="s">
        <v>159</v>
      </c>
      <c r="D36" s="12" t="s">
        <v>272</v>
      </c>
      <c r="E36" s="16"/>
      <c r="F36" s="21"/>
      <c r="G36" s="25"/>
      <c r="H36" s="126">
        <f>SUM(I36:DG36)</f>
        <v>0</v>
      </c>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c r="CW36" s="131"/>
      <c r="CX36" s="131"/>
      <c r="CY36" s="131"/>
      <c r="CZ36" s="131"/>
      <c r="DA36" s="131"/>
      <c r="DB36" s="131"/>
      <c r="DC36" s="131"/>
      <c r="DD36" s="131"/>
      <c r="DE36" s="131"/>
      <c r="DF36" s="131"/>
      <c r="DG36" s="131"/>
    </row>
    <row r="37" spans="2:111">
      <c r="B37" s="135"/>
      <c r="C37" s="147"/>
      <c r="D37" s="3"/>
      <c r="E37" s="16"/>
      <c r="F37" s="21"/>
      <c r="G37" s="25"/>
      <c r="H37" s="126"/>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c r="CW37" s="131"/>
      <c r="CX37" s="131"/>
      <c r="CY37" s="131"/>
      <c r="CZ37" s="131"/>
      <c r="DA37" s="131"/>
      <c r="DB37" s="131"/>
      <c r="DC37" s="131"/>
      <c r="DD37" s="131"/>
      <c r="DE37" s="131"/>
      <c r="DF37" s="131"/>
      <c r="DG37" s="131"/>
    </row>
    <row r="38" spans="2:111">
      <c r="B38" s="136" t="s">
        <v>160</v>
      </c>
      <c r="C38" s="145" t="s">
        <v>0</v>
      </c>
      <c r="D38" s="3"/>
      <c r="E38" s="16"/>
      <c r="F38" s="21"/>
      <c r="G38" s="25"/>
      <c r="H38" s="126"/>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c r="CW38" s="131"/>
      <c r="CX38" s="131"/>
      <c r="CY38" s="131"/>
      <c r="CZ38" s="131"/>
      <c r="DA38" s="131"/>
      <c r="DB38" s="131"/>
      <c r="DC38" s="131"/>
      <c r="DD38" s="131"/>
      <c r="DE38" s="131"/>
      <c r="DF38" s="131"/>
      <c r="DG38" s="131"/>
    </row>
    <row r="39" spans="2:111">
      <c r="B39" s="134" t="s">
        <v>161</v>
      </c>
      <c r="C39" s="150" t="s">
        <v>162</v>
      </c>
      <c r="D39" s="3"/>
      <c r="E39" s="16"/>
      <c r="F39" s="21"/>
      <c r="G39" s="25"/>
      <c r="H39" s="126"/>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c r="CW39" s="131"/>
      <c r="CX39" s="131"/>
      <c r="CY39" s="131"/>
      <c r="CZ39" s="131"/>
      <c r="DA39" s="131"/>
      <c r="DB39" s="131"/>
      <c r="DC39" s="131"/>
      <c r="DD39" s="131"/>
      <c r="DE39" s="131"/>
      <c r="DF39" s="131"/>
      <c r="DG39" s="131"/>
    </row>
    <row r="40" spans="2:111">
      <c r="B40" s="134" t="s">
        <v>163</v>
      </c>
      <c r="C40" s="153" t="s">
        <v>164</v>
      </c>
      <c r="D40" s="3"/>
      <c r="E40" s="16"/>
      <c r="F40" s="21"/>
      <c r="G40" s="25"/>
      <c r="H40" s="126"/>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c r="CW40" s="131"/>
      <c r="CX40" s="131"/>
      <c r="CY40" s="131"/>
      <c r="CZ40" s="131"/>
      <c r="DA40" s="131"/>
      <c r="DB40" s="131"/>
      <c r="DC40" s="131"/>
      <c r="DD40" s="131"/>
      <c r="DE40" s="131"/>
      <c r="DF40" s="131"/>
      <c r="DG40" s="131"/>
    </row>
    <row r="41" spans="2:111">
      <c r="B41" s="133" t="s">
        <v>165</v>
      </c>
      <c r="C41" s="154" t="s">
        <v>166</v>
      </c>
      <c r="D41" s="12" t="s">
        <v>272</v>
      </c>
      <c r="E41" s="16"/>
      <c r="F41" s="21"/>
      <c r="G41" s="25"/>
      <c r="H41" s="126">
        <f>SUM(I41:DG41)</f>
        <v>0</v>
      </c>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c r="CW41" s="131"/>
      <c r="CX41" s="131"/>
      <c r="CY41" s="131"/>
      <c r="CZ41" s="131"/>
      <c r="DA41" s="131"/>
      <c r="DB41" s="131"/>
      <c r="DC41" s="131"/>
      <c r="DD41" s="131"/>
      <c r="DE41" s="131"/>
      <c r="DF41" s="131"/>
      <c r="DG41" s="131"/>
    </row>
    <row r="42" spans="2:111">
      <c r="B42" s="133" t="s">
        <v>167</v>
      </c>
      <c r="C42" s="154" t="s">
        <v>168</v>
      </c>
      <c r="D42" s="12" t="s">
        <v>272</v>
      </c>
      <c r="E42" s="16"/>
      <c r="F42" s="21"/>
      <c r="G42" s="25"/>
      <c r="H42" s="126">
        <f>SUM(I42:DG42)</f>
        <v>0</v>
      </c>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c r="CW42" s="131"/>
      <c r="CX42" s="131"/>
      <c r="CY42" s="131"/>
      <c r="CZ42" s="131"/>
      <c r="DA42" s="131"/>
      <c r="DB42" s="131"/>
      <c r="DC42" s="131"/>
      <c r="DD42" s="131"/>
      <c r="DE42" s="131"/>
      <c r="DF42" s="131"/>
      <c r="DG42" s="131"/>
    </row>
    <row r="43" spans="2:111">
      <c r="B43" s="133" t="s">
        <v>169</v>
      </c>
      <c r="C43" s="152" t="s">
        <v>170</v>
      </c>
      <c r="D43" s="12" t="s">
        <v>272</v>
      </c>
      <c r="E43" s="16"/>
      <c r="F43" s="21"/>
      <c r="G43" s="26"/>
      <c r="H43" s="126">
        <f>SUM(I43:DG43)</f>
        <v>0</v>
      </c>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c r="CW43" s="131"/>
      <c r="CX43" s="131"/>
      <c r="CY43" s="131"/>
      <c r="CZ43" s="131"/>
      <c r="DA43" s="131"/>
      <c r="DB43" s="131"/>
      <c r="DC43" s="131"/>
      <c r="DD43" s="131"/>
      <c r="DE43" s="131"/>
      <c r="DF43" s="131"/>
      <c r="DG43" s="131"/>
    </row>
    <row r="44" spans="2:111">
      <c r="B44" s="134" t="s">
        <v>171</v>
      </c>
      <c r="C44" s="153" t="s">
        <v>172</v>
      </c>
      <c r="D44" s="2"/>
      <c r="E44" s="16"/>
      <c r="F44" s="21"/>
      <c r="G44" s="26"/>
      <c r="H44" s="126"/>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c r="CW44" s="131"/>
      <c r="CX44" s="131"/>
      <c r="CY44" s="131"/>
      <c r="CZ44" s="131"/>
      <c r="DA44" s="131"/>
      <c r="DB44" s="131"/>
      <c r="DC44" s="131"/>
      <c r="DD44" s="131"/>
      <c r="DE44" s="131"/>
      <c r="DF44" s="131"/>
      <c r="DG44" s="131"/>
    </row>
    <row r="45" spans="2:111" ht="94.5">
      <c r="B45" s="133" t="s">
        <v>173</v>
      </c>
      <c r="C45" s="154" t="s">
        <v>174</v>
      </c>
      <c r="D45" s="12" t="s">
        <v>299</v>
      </c>
      <c r="E45" s="16" t="s">
        <v>483</v>
      </c>
      <c r="F45" s="21" t="s">
        <v>594</v>
      </c>
      <c r="G45" s="25">
        <f>425592637293.832+6500333109+3110405212+22177562054.21+7627853015+1593381858+76123095911+9898891538.39+713580925</f>
        <v>553337740916.43201</v>
      </c>
      <c r="H45" s="126">
        <f>SUM(I45:DG45)</f>
        <v>468515489822.17206</v>
      </c>
      <c r="I45" s="131">
        <v>86074227031.420029</v>
      </c>
      <c r="J45" s="131">
        <v>130095811305.86221</v>
      </c>
      <c r="K45" s="131">
        <v>140244477484.42816</v>
      </c>
      <c r="L45" s="131"/>
      <c r="M45" s="131"/>
      <c r="N45" s="131">
        <v>69178121472.121796</v>
      </c>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f>81968380+1984740433.42</f>
        <v>2066708813.4200001</v>
      </c>
      <c r="AL45" s="131">
        <f>434263110+1771354936.77</f>
        <v>2205618046.77</v>
      </c>
      <c r="AM45" s="131">
        <f>701945860+1167804131.74</f>
        <v>1869749991.74</v>
      </c>
      <c r="AN45" s="131">
        <f>180176160+1487413341.86</f>
        <v>1667589501.8599999</v>
      </c>
      <c r="AO45" s="131">
        <f>31938480+1406391713.18</f>
        <v>1438330193.1800001</v>
      </c>
      <c r="AP45" s="131">
        <f>73461650+1200665653.78</f>
        <v>1274127303.78</v>
      </c>
      <c r="AQ45" s="131">
        <f>907416320+1037710703.58</f>
        <v>1945127023.5799999</v>
      </c>
      <c r="AR45" s="131">
        <f>86026700+1071891069.12</f>
        <v>1157917769.1199999</v>
      </c>
      <c r="AS45" s="131">
        <f>114550760+1034038231.68</f>
        <v>1148588991.6799998</v>
      </c>
      <c r="AT45" s="131">
        <f>698498790+927543309.88</f>
        <v>1626042099.8800001</v>
      </c>
      <c r="AU45" s="131">
        <f>582410280+756529211.4</f>
        <v>1338939491.4000001</v>
      </c>
      <c r="AV45" s="131">
        <f>233617775+941233581.74</f>
        <v>1174851356.74</v>
      </c>
      <c r="AW45" s="131">
        <f>57484770+724498222.6</f>
        <v>781982992.60000002</v>
      </c>
      <c r="AX45" s="131">
        <f>766787040+289155422.88</f>
        <v>1055942462.88</v>
      </c>
      <c r="AY45" s="131">
        <f>129831160+651207045.82</f>
        <v>781038205.82000005</v>
      </c>
      <c r="AZ45" s="131">
        <f>112935320+1235660614.74+373909040.5</f>
        <v>1722504975.24</v>
      </c>
      <c r="BA45" s="131">
        <f>388774380+631267484.76</f>
        <v>1020041864.76</v>
      </c>
      <c r="BB45" s="131">
        <f>50983040+733141.72</f>
        <v>51716181.719999999</v>
      </c>
      <c r="BC45" s="131">
        <v>67006420</v>
      </c>
      <c r="BD45" s="131">
        <f>173944000+219185026.4</f>
        <v>393129026.39999998</v>
      </c>
      <c r="BE45" s="131">
        <f>68012632+224434699.86</f>
        <v>292447331.86000001</v>
      </c>
      <c r="BF45" s="131">
        <f>84050500+193062456.48</f>
        <v>277112956.48000002</v>
      </c>
      <c r="BG45" s="131">
        <v>205083545.90000001</v>
      </c>
      <c r="BH45" s="131">
        <f>24421780+164905485.92</f>
        <v>189327265.91999999</v>
      </c>
      <c r="BI45" s="131">
        <f>61440940+157717450.68</f>
        <v>219158390.68000001</v>
      </c>
      <c r="BJ45" s="131">
        <v>335220</v>
      </c>
      <c r="BK45" s="131">
        <f>16486100+529773346.98</f>
        <v>546259446.98000002</v>
      </c>
      <c r="BL45" s="131">
        <f>8268660+590736380.52</f>
        <v>599005040.51999998</v>
      </c>
      <c r="BM45" s="131">
        <f>780251320+430392064.12</f>
        <v>1210643384.1199999</v>
      </c>
      <c r="BN45" s="131">
        <v>221416920</v>
      </c>
      <c r="BO45" s="131">
        <f>58654200+416113385.16</f>
        <v>474767585.16000003</v>
      </c>
      <c r="BP45" s="131">
        <f>120363030+361459157.86</f>
        <v>481822187.86000001</v>
      </c>
      <c r="BQ45" s="131">
        <v>657000</v>
      </c>
      <c r="BR45" s="131">
        <f>5420120+361019543.36</f>
        <v>366439663.36000001</v>
      </c>
      <c r="BS45" s="131">
        <v>22545100</v>
      </c>
      <c r="BT45" s="131">
        <f>2448500+284809326.3</f>
        <v>287257826.30000001</v>
      </c>
      <c r="BU45" s="131"/>
      <c r="BV45" s="131">
        <v>5178500</v>
      </c>
      <c r="BW45" s="131">
        <v>6794200</v>
      </c>
      <c r="BX45" s="131">
        <f>43671860+50711223.4</f>
        <v>94383083.400000006</v>
      </c>
      <c r="BY45" s="131">
        <v>892850</v>
      </c>
      <c r="BZ45" s="131">
        <v>949274930</v>
      </c>
      <c r="CA45" s="131">
        <f>63403480+155616769.7</f>
        <v>219020249.69999999</v>
      </c>
      <c r="CB45" s="131">
        <f>21771534+74589730.38</f>
        <v>96361264.379999995</v>
      </c>
      <c r="CC45" s="131">
        <f>1263000+161882290.82</f>
        <v>163145290.81999999</v>
      </c>
      <c r="CD45" s="131">
        <f>606373090+57540803.74</f>
        <v>663913893.74000001</v>
      </c>
      <c r="CE45" s="131">
        <f>537095610+63125936.88</f>
        <v>600221546.88</v>
      </c>
      <c r="CF45" s="131">
        <v>26226850</v>
      </c>
      <c r="CG45" s="131">
        <v>17316753.32</v>
      </c>
      <c r="CH45" s="131">
        <v>9327214108.3500004</v>
      </c>
      <c r="CI45" s="131">
        <v>9228529.4800000004</v>
      </c>
      <c r="CJ45" s="131">
        <v>7760579.29</v>
      </c>
      <c r="CK45" s="131">
        <v>193745604</v>
      </c>
      <c r="CL45" s="131">
        <v>100653957.7</v>
      </c>
      <c r="CM45" s="131">
        <v>1240231.68</v>
      </c>
      <c r="CN45" s="131">
        <v>53977831.890000001</v>
      </c>
      <c r="CO45" s="131">
        <v>13032324</v>
      </c>
      <c r="CP45" s="131">
        <v>23025700</v>
      </c>
      <c r="CQ45" s="131">
        <v>39362200</v>
      </c>
      <c r="CR45" s="131"/>
      <c r="CS45" s="131">
        <v>357120</v>
      </c>
      <c r="CT45" s="131">
        <v>2021148</v>
      </c>
      <c r="CU45" s="131"/>
      <c r="CV45" s="131"/>
      <c r="CW45" s="131"/>
      <c r="CX45" s="131"/>
      <c r="CY45" s="131"/>
      <c r="CZ45" s="131"/>
      <c r="DA45" s="131"/>
      <c r="DB45" s="131">
        <v>127272204</v>
      </c>
      <c r="DC45" s="131"/>
      <c r="DD45" s="131"/>
      <c r="DE45" s="131"/>
      <c r="DF45" s="131"/>
      <c r="DG45" s="131"/>
    </row>
    <row r="46" spans="2:111" ht="31.5">
      <c r="B46" s="133" t="s">
        <v>175</v>
      </c>
      <c r="C46" s="154" t="s">
        <v>176</v>
      </c>
      <c r="D46" s="12" t="s">
        <v>299</v>
      </c>
      <c r="E46" s="16" t="s">
        <v>484</v>
      </c>
      <c r="F46" s="21" t="s">
        <v>588</v>
      </c>
      <c r="G46" s="25"/>
      <c r="H46" s="126">
        <f>SUM(I46:DG46)</f>
        <v>0</v>
      </c>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c r="CW46" s="131"/>
      <c r="CX46" s="131"/>
      <c r="CY46" s="131"/>
      <c r="CZ46" s="131"/>
      <c r="DA46" s="131"/>
      <c r="DB46" s="131"/>
      <c r="DC46" s="131"/>
      <c r="DD46" s="131"/>
      <c r="DE46" s="131"/>
      <c r="DF46" s="131"/>
      <c r="DG46" s="131"/>
    </row>
    <row r="47" spans="2:111" ht="110.25">
      <c r="B47" s="133" t="s">
        <v>175</v>
      </c>
      <c r="C47" s="154" t="s">
        <v>176</v>
      </c>
      <c r="D47" s="12" t="s">
        <v>299</v>
      </c>
      <c r="E47" s="16" t="s">
        <v>485</v>
      </c>
      <c r="F47" s="21" t="s">
        <v>592</v>
      </c>
      <c r="G47" s="25">
        <f>29488775247.737+279759500+5570700000+825000000+233500000+20926009+40000000</f>
        <v>36458660756.737</v>
      </c>
      <c r="H47" s="126">
        <f>SUM(I47:DG47)</f>
        <v>29768534747.73703</v>
      </c>
      <c r="I47" s="131"/>
      <c r="J47" s="131"/>
      <c r="K47" s="131">
        <v>2447150579.1505799</v>
      </c>
      <c r="L47" s="131"/>
      <c r="M47" s="131"/>
      <c r="N47" s="131"/>
      <c r="O47" s="131">
        <v>4519885648.8000002</v>
      </c>
      <c r="P47" s="131"/>
      <c r="Q47" s="131">
        <v>6117876447.8764505</v>
      </c>
      <c r="R47" s="131"/>
      <c r="S47" s="131">
        <v>7689600000</v>
      </c>
      <c r="T47" s="131">
        <v>2447937416.8800001</v>
      </c>
      <c r="U47" s="131">
        <v>2600335089.8899999</v>
      </c>
      <c r="V47" s="131"/>
      <c r="W47" s="131">
        <v>3665990065.1399999</v>
      </c>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v>11160000</v>
      </c>
      <c r="CJ47" s="131"/>
      <c r="CK47" s="131">
        <v>18000000</v>
      </c>
      <c r="CL47" s="131"/>
      <c r="CM47" s="131"/>
      <c r="CN47" s="131"/>
      <c r="CO47" s="131">
        <v>10099500</v>
      </c>
      <c r="CP47" s="131"/>
      <c r="CQ47" s="131"/>
      <c r="CR47" s="131">
        <v>48500000</v>
      </c>
      <c r="CS47" s="131">
        <v>2000000</v>
      </c>
      <c r="CT47" s="131">
        <v>2000000</v>
      </c>
      <c r="CU47" s="131">
        <v>4000000</v>
      </c>
      <c r="CV47" s="131"/>
      <c r="CW47" s="131">
        <v>1500000</v>
      </c>
      <c r="CX47" s="131">
        <v>13500000</v>
      </c>
      <c r="CY47" s="131">
        <v>2000000</v>
      </c>
      <c r="CZ47" s="131"/>
      <c r="DA47" s="131"/>
      <c r="DB47" s="131">
        <v>165000000</v>
      </c>
      <c r="DC47" s="131"/>
      <c r="DD47" s="131"/>
      <c r="DE47" s="131"/>
      <c r="DF47" s="131">
        <v>2000000</v>
      </c>
      <c r="DG47" s="131"/>
    </row>
    <row r="48" spans="2:111">
      <c r="B48" s="134" t="s">
        <v>284</v>
      </c>
      <c r="C48" s="155" t="s">
        <v>177</v>
      </c>
      <c r="D48" s="2"/>
      <c r="E48" s="16"/>
      <c r="F48" s="21"/>
      <c r="G48" s="25"/>
      <c r="H48" s="126"/>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c r="CW48" s="131"/>
      <c r="CX48" s="131"/>
      <c r="CY48" s="131"/>
      <c r="CZ48" s="131"/>
      <c r="DA48" s="131"/>
      <c r="DB48" s="131"/>
      <c r="DC48" s="131"/>
      <c r="DD48" s="131"/>
      <c r="DE48" s="131"/>
      <c r="DF48" s="131"/>
      <c r="DG48" s="131"/>
    </row>
    <row r="49" spans="2:111">
      <c r="B49" s="133" t="s">
        <v>178</v>
      </c>
      <c r="C49" s="156" t="s">
        <v>179</v>
      </c>
      <c r="D49" s="12" t="s">
        <v>272</v>
      </c>
      <c r="E49" s="16"/>
      <c r="F49" s="21"/>
      <c r="G49" s="25"/>
      <c r="H49" s="126">
        <f t="shared" ref="H49:H58" si="0">SUM(I49:DG49)</f>
        <v>0</v>
      </c>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c r="CW49" s="131"/>
      <c r="CX49" s="131"/>
      <c r="CY49" s="131"/>
      <c r="CZ49" s="131"/>
      <c r="DA49" s="131"/>
      <c r="DB49" s="131"/>
      <c r="DC49" s="131"/>
      <c r="DD49" s="131"/>
      <c r="DE49" s="131"/>
      <c r="DF49" s="131"/>
      <c r="DG49" s="131"/>
    </row>
    <row r="50" spans="2:111" ht="63">
      <c r="B50" s="133" t="s">
        <v>180</v>
      </c>
      <c r="C50" s="156" t="s">
        <v>181</v>
      </c>
      <c r="D50" s="12" t="s">
        <v>299</v>
      </c>
      <c r="E50" s="16" t="s">
        <v>486</v>
      </c>
      <c r="F50" s="21" t="s">
        <v>590</v>
      </c>
      <c r="G50" s="25">
        <f>1133623656423.91+7452943652.63734+1131064214+2939252108</f>
        <v>1145146916398.5474</v>
      </c>
      <c r="H50" s="126">
        <f t="shared" si="0"/>
        <v>1141700846853.5913</v>
      </c>
      <c r="I50" s="131">
        <v>263892685879.59454</v>
      </c>
      <c r="J50" s="131">
        <v>515270788654.37756</v>
      </c>
      <c r="K50" s="131">
        <v>241302668372.6221</v>
      </c>
      <c r="L50" s="131"/>
      <c r="M50" s="131"/>
      <c r="N50" s="131">
        <v>113157513517.31998</v>
      </c>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v>624246777.04000008</v>
      </c>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v>2370784784.4499998</v>
      </c>
      <c r="CI50" s="131">
        <v>75516619.722007751</v>
      </c>
      <c r="CJ50" s="131">
        <v>39643839.382239401</v>
      </c>
      <c r="CK50" s="131">
        <v>1670327099.3050201</v>
      </c>
      <c r="CL50" s="131">
        <v>978599291.99397719</v>
      </c>
      <c r="CM50" s="131">
        <v>10148822.881853286</v>
      </c>
      <c r="CN50" s="131">
        <v>600633507.97637093</v>
      </c>
      <c r="CO50" s="131">
        <v>327656206.39999998</v>
      </c>
      <c r="CP50" s="131">
        <v>460721290</v>
      </c>
      <c r="CQ50" s="131">
        <v>324198508.72586888</v>
      </c>
      <c r="CR50" s="131"/>
      <c r="CS50" s="131"/>
      <c r="CT50" s="131">
        <v>274836499</v>
      </c>
      <c r="CU50" s="131">
        <v>319877182.80000001</v>
      </c>
      <c r="CV50" s="131"/>
      <c r="CW50" s="131"/>
      <c r="CX50" s="131"/>
      <c r="CY50" s="131"/>
      <c r="CZ50" s="131"/>
      <c r="DA50" s="131"/>
      <c r="DB50" s="131"/>
      <c r="DC50" s="131"/>
      <c r="DD50" s="131"/>
      <c r="DE50" s="131"/>
      <c r="DF50" s="131"/>
      <c r="DG50" s="131"/>
    </row>
    <row r="51" spans="2:111" ht="31.5">
      <c r="B51" s="133" t="s">
        <v>180</v>
      </c>
      <c r="C51" s="156" t="s">
        <v>181</v>
      </c>
      <c r="D51" s="12" t="s">
        <v>299</v>
      </c>
      <c r="E51" s="16" t="s">
        <v>487</v>
      </c>
      <c r="F51" s="21" t="s">
        <v>588</v>
      </c>
      <c r="G51" s="25">
        <v>477440920774.48572</v>
      </c>
      <c r="H51" s="126">
        <f t="shared" si="0"/>
        <v>477440920774.48566</v>
      </c>
      <c r="I51" s="131">
        <v>94917777933.196167</v>
      </c>
      <c r="J51" s="131">
        <v>98338726972.098816</v>
      </c>
      <c r="K51" s="131">
        <v>182295299891.74048</v>
      </c>
      <c r="L51" s="131"/>
      <c r="M51" s="131"/>
      <c r="N51" s="131">
        <v>101889115977.4502</v>
      </c>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c r="CX51" s="131"/>
      <c r="CY51" s="131"/>
      <c r="CZ51" s="131"/>
      <c r="DA51" s="131"/>
      <c r="DB51" s="131"/>
      <c r="DC51" s="131"/>
      <c r="DD51" s="131"/>
      <c r="DE51" s="131"/>
      <c r="DF51" s="131"/>
      <c r="DG51" s="131"/>
    </row>
    <row r="52" spans="2:111" ht="31.5">
      <c r="B52" s="133" t="s">
        <v>180</v>
      </c>
      <c r="C52" s="156" t="s">
        <v>181</v>
      </c>
      <c r="D52" s="12" t="s">
        <v>300</v>
      </c>
      <c r="E52" s="16" t="s">
        <v>487</v>
      </c>
      <c r="F52" s="21" t="s">
        <v>588</v>
      </c>
      <c r="G52" s="25">
        <v>16069786758.990601</v>
      </c>
      <c r="H52" s="126">
        <f t="shared" si="0"/>
        <v>0</v>
      </c>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c r="CW52" s="131"/>
      <c r="CX52" s="131"/>
      <c r="CY52" s="131"/>
      <c r="CZ52" s="131"/>
      <c r="DA52" s="131"/>
      <c r="DB52" s="131"/>
      <c r="DC52" s="131"/>
      <c r="DD52" s="131"/>
      <c r="DE52" s="131"/>
      <c r="DF52" s="131"/>
      <c r="DG52" s="131"/>
    </row>
    <row r="53" spans="2:111" ht="31.5">
      <c r="B53" s="133" t="s">
        <v>180</v>
      </c>
      <c r="C53" s="156" t="s">
        <v>181</v>
      </c>
      <c r="D53" s="12" t="s">
        <v>299</v>
      </c>
      <c r="E53" s="16" t="s">
        <v>488</v>
      </c>
      <c r="F53" s="21" t="s">
        <v>588</v>
      </c>
      <c r="G53" s="25">
        <v>156255235281.66</v>
      </c>
      <c r="H53" s="126">
        <f t="shared" si="0"/>
        <v>156255235281.66043</v>
      </c>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v>72533543166.023193</v>
      </c>
      <c r="AI53" s="131">
        <v>78097520453.986801</v>
      </c>
      <c r="AJ53" s="131">
        <v>5624171661.6504297</v>
      </c>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row>
    <row r="54" spans="2:111" ht="31.5">
      <c r="B54" s="133" t="s">
        <v>180</v>
      </c>
      <c r="C54" s="156" t="s">
        <v>181</v>
      </c>
      <c r="D54" s="12" t="s">
        <v>299</v>
      </c>
      <c r="E54" s="16" t="s">
        <v>489</v>
      </c>
      <c r="F54" s="21" t="s">
        <v>588</v>
      </c>
      <c r="G54" s="25">
        <v>9121753783.7837906</v>
      </c>
      <c r="H54" s="126">
        <f t="shared" si="0"/>
        <v>9121753783.7837906</v>
      </c>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v>672966409.26640999</v>
      </c>
      <c r="AJ54" s="131">
        <v>8448787374.5173798</v>
      </c>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c r="CX54" s="131"/>
      <c r="CY54" s="131"/>
      <c r="CZ54" s="131"/>
      <c r="DA54" s="131"/>
      <c r="DB54" s="131"/>
      <c r="DC54" s="131"/>
      <c r="DD54" s="131"/>
      <c r="DE54" s="131"/>
      <c r="DF54" s="131"/>
      <c r="DG54" s="131"/>
    </row>
    <row r="55" spans="2:111" ht="31.5">
      <c r="B55" s="133" t="s">
        <v>180</v>
      </c>
      <c r="C55" s="156" t="s">
        <v>181</v>
      </c>
      <c r="D55" s="12" t="s">
        <v>299</v>
      </c>
      <c r="E55" s="16" t="s">
        <v>490</v>
      </c>
      <c r="F55" s="21" t="s">
        <v>589</v>
      </c>
      <c r="G55" s="25">
        <f>74796708464.4874+122565309+5272471367</f>
        <v>80191745140.487396</v>
      </c>
      <c r="H55" s="126">
        <f t="shared" si="0"/>
        <v>72936801072.707367</v>
      </c>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v>6350712339.3000002</v>
      </c>
      <c r="AL55" s="131">
        <v>5919094812.4400005</v>
      </c>
      <c r="AM55" s="131">
        <v>5032759023.2200003</v>
      </c>
      <c r="AN55" s="131">
        <v>4872882568.6199999</v>
      </c>
      <c r="AO55" s="131">
        <v>4466122350.1599998</v>
      </c>
      <c r="AP55" s="131">
        <v>3872030356.7000003</v>
      </c>
      <c r="AQ55" s="131">
        <v>3717404922.9200001</v>
      </c>
      <c r="AR55" s="131">
        <v>3425574502.9200001</v>
      </c>
      <c r="AS55" s="131">
        <v>3345571227.9200001</v>
      </c>
      <c r="AT55" s="131">
        <v>3234747722.9200001</v>
      </c>
      <c r="AU55" s="131">
        <v>3222131476.9000001</v>
      </c>
      <c r="AV55" s="131">
        <v>3571692543.04</v>
      </c>
      <c r="AW55" s="131">
        <v>2377021092.52</v>
      </c>
      <c r="AX55" s="131"/>
      <c r="AY55" s="131">
        <v>2076181745.0400002</v>
      </c>
      <c r="AZ55" s="131"/>
      <c r="BA55" s="131">
        <v>2056951933.9400001</v>
      </c>
      <c r="BB55" s="131">
        <v>13575208.0074</v>
      </c>
      <c r="BC55" s="131"/>
      <c r="BD55" s="131">
        <v>806074550.48000002</v>
      </c>
      <c r="BE55" s="131">
        <v>736384324.62</v>
      </c>
      <c r="BF55" s="131"/>
      <c r="BG55" s="131">
        <v>713472646.74000001</v>
      </c>
      <c r="BH55" s="131">
        <v>526447560.52000004</v>
      </c>
      <c r="BI55" s="131">
        <v>581269749.77999997</v>
      </c>
      <c r="BJ55" s="131"/>
      <c r="BK55" s="131">
        <v>1767915487.2800002</v>
      </c>
      <c r="BL55" s="131">
        <v>1934852507.5</v>
      </c>
      <c r="BM55" s="131">
        <v>1542713409.8400002</v>
      </c>
      <c r="BN55" s="131"/>
      <c r="BO55" s="131">
        <v>1310757298.52</v>
      </c>
      <c r="BP55" s="131">
        <v>1169299987.7</v>
      </c>
      <c r="BQ55" s="131"/>
      <c r="BR55" s="131">
        <v>1138297983.52</v>
      </c>
      <c r="BS55" s="131"/>
      <c r="BT55" s="131">
        <v>908876542.01999998</v>
      </c>
      <c r="BU55" s="131">
        <v>173914</v>
      </c>
      <c r="BV55" s="131"/>
      <c r="BW55" s="131"/>
      <c r="BX55" s="131">
        <v>264990994.04000002</v>
      </c>
      <c r="BY55" s="131"/>
      <c r="BZ55" s="131"/>
      <c r="CA55" s="131">
        <v>511192023.06</v>
      </c>
      <c r="CB55" s="131">
        <v>244259977.84</v>
      </c>
      <c r="CC55" s="131">
        <v>514402426.44000006</v>
      </c>
      <c r="CD55" s="131">
        <v>256962315.68000001</v>
      </c>
      <c r="CE55" s="131">
        <v>343988695.40000004</v>
      </c>
      <c r="CF55" s="131">
        <v>217393</v>
      </c>
      <c r="CG55" s="131">
        <v>109797458.16</v>
      </c>
      <c r="CH55" s="131"/>
      <c r="CI55" s="131"/>
      <c r="CJ55" s="131"/>
      <c r="CK55" s="131"/>
      <c r="CL55" s="131"/>
      <c r="CM55" s="131"/>
      <c r="CN55" s="131"/>
      <c r="CO55" s="131"/>
      <c r="CP55" s="131"/>
      <c r="CQ55" s="131"/>
      <c r="CR55" s="131"/>
      <c r="CS55" s="131"/>
      <c r="CT55" s="131"/>
      <c r="CU55" s="131"/>
      <c r="CV55" s="131"/>
      <c r="CW55" s="131"/>
      <c r="CX55" s="131"/>
      <c r="CY55" s="131"/>
      <c r="CZ55" s="131"/>
      <c r="DA55" s="131"/>
      <c r="DB55" s="131"/>
      <c r="DC55" s="131"/>
      <c r="DD55" s="131"/>
      <c r="DE55" s="131"/>
      <c r="DF55" s="131"/>
      <c r="DG55" s="131"/>
    </row>
    <row r="56" spans="2:111" ht="63">
      <c r="B56" s="133" t="s">
        <v>180</v>
      </c>
      <c r="C56" s="156" t="s">
        <v>181</v>
      </c>
      <c r="D56" s="12" t="s">
        <v>300</v>
      </c>
      <c r="E56" s="16" t="s">
        <v>491</v>
      </c>
      <c r="F56" s="21" t="s">
        <v>593</v>
      </c>
      <c r="G56" s="25">
        <f>28315473111.85+18119100000</f>
        <v>46434573111.849998</v>
      </c>
      <c r="H56" s="126">
        <f t="shared" si="0"/>
        <v>0</v>
      </c>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c r="CW56" s="131"/>
      <c r="CX56" s="131"/>
      <c r="CY56" s="131"/>
      <c r="CZ56" s="131"/>
      <c r="DA56" s="131"/>
      <c r="DB56" s="131"/>
      <c r="DC56" s="131"/>
      <c r="DD56" s="131"/>
      <c r="DE56" s="131"/>
      <c r="DF56" s="131"/>
      <c r="DG56" s="131"/>
    </row>
    <row r="57" spans="2:111" ht="31.5">
      <c r="B57" s="133" t="s">
        <v>182</v>
      </c>
      <c r="C57" s="154" t="s">
        <v>199</v>
      </c>
      <c r="D57" s="12" t="s">
        <v>272</v>
      </c>
      <c r="E57" s="16"/>
      <c r="F57" s="21"/>
      <c r="G57" s="25"/>
      <c r="H57" s="126">
        <f t="shared" si="0"/>
        <v>0</v>
      </c>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c r="CW57" s="131"/>
      <c r="CX57" s="131"/>
      <c r="CY57" s="131"/>
      <c r="CZ57" s="131"/>
      <c r="DA57" s="131"/>
      <c r="DB57" s="131"/>
      <c r="DC57" s="131"/>
      <c r="DD57" s="131"/>
      <c r="DE57" s="131"/>
      <c r="DF57" s="131"/>
      <c r="DG57" s="131"/>
    </row>
    <row r="58" spans="2:111" ht="157.5">
      <c r="B58" s="133" t="s">
        <v>183</v>
      </c>
      <c r="C58" s="154" t="s">
        <v>200</v>
      </c>
      <c r="D58" s="12" t="s">
        <v>299</v>
      </c>
      <c r="E58" s="16" t="s">
        <v>492</v>
      </c>
      <c r="F58" s="21" t="s">
        <v>595</v>
      </c>
      <c r="G58" s="25">
        <f>3287730040.10734+1269550476.08+153278300+2256652471+749633230</f>
        <v>7716844517.1873398</v>
      </c>
      <c r="H58" s="126">
        <f t="shared" si="0"/>
        <v>4710558816.1873369</v>
      </c>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v>2064154750.5320473</v>
      </c>
      <c r="AH58" s="131">
        <v>1223575289.57529</v>
      </c>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v>123540000</v>
      </c>
      <c r="CI58" s="131">
        <f>2483720+2497500</f>
        <v>4981220</v>
      </c>
      <c r="CJ58" s="131"/>
      <c r="CK58" s="131">
        <f>6136200+55950000</f>
        <v>62086200</v>
      </c>
      <c r="CL58" s="131">
        <v>24000000</v>
      </c>
      <c r="CM58" s="131">
        <v>1000000</v>
      </c>
      <c r="CN58" s="131"/>
      <c r="CO58" s="131">
        <v>9687730</v>
      </c>
      <c r="CP58" s="131">
        <f>59542000+44088000</f>
        <v>103630000</v>
      </c>
      <c r="CQ58" s="131">
        <v>48077700</v>
      </c>
      <c r="CR58" s="131">
        <f>398632128+10850000</f>
        <v>409482128</v>
      </c>
      <c r="CS58" s="131">
        <f>637600+2600000</f>
        <v>3237600</v>
      </c>
      <c r="CT58" s="131">
        <f>9365600+34339350</f>
        <v>43704950</v>
      </c>
      <c r="CU58" s="131">
        <f>2243600+1953450</f>
        <v>4197050</v>
      </c>
      <c r="CV58" s="131">
        <v>68280900</v>
      </c>
      <c r="CW58" s="131">
        <v>485634</v>
      </c>
      <c r="CX58" s="131">
        <v>4370706</v>
      </c>
      <c r="CY58" s="131">
        <v>1189800</v>
      </c>
      <c r="CZ58" s="131">
        <v>60785006</v>
      </c>
      <c r="DA58" s="131"/>
      <c r="DB58" s="131">
        <v>358887072</v>
      </c>
      <c r="DC58" s="131"/>
      <c r="DD58" s="131">
        <v>27239100.079999998</v>
      </c>
      <c r="DE58" s="131">
        <v>42643000</v>
      </c>
      <c r="DF58" s="131">
        <v>1242180</v>
      </c>
      <c r="DG58" s="131">
        <v>20080800</v>
      </c>
    </row>
    <row r="59" spans="2:111">
      <c r="B59" s="134" t="s">
        <v>184</v>
      </c>
      <c r="C59" s="153" t="s">
        <v>185</v>
      </c>
      <c r="D59" s="2"/>
      <c r="E59" s="16"/>
      <c r="F59" s="21"/>
      <c r="G59" s="25"/>
      <c r="H59" s="126"/>
      <c r="I59" s="131"/>
      <c r="J59" s="131"/>
      <c r="K59" s="131"/>
      <c r="L59" s="131"/>
      <c r="M59" s="131"/>
      <c r="N59" s="131"/>
      <c r="O59" s="131"/>
      <c r="P59" s="131"/>
      <c r="Q59" s="131"/>
      <c r="R59" s="131"/>
      <c r="S59" s="131"/>
      <c r="T59" s="131"/>
      <c r="U59" s="131"/>
      <c r="V59" s="131"/>
      <c r="W59" s="131"/>
      <c r="X59" s="131"/>
      <c r="Y59" s="131"/>
      <c r="Z59" s="131"/>
      <c r="AA59" s="131"/>
      <c r="AB59" s="131"/>
      <c r="AC59" s="131"/>
      <c r="AD59" s="131"/>
      <c r="AE59" s="194"/>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c r="CW59" s="131"/>
      <c r="CX59" s="131"/>
      <c r="CY59" s="131"/>
      <c r="CZ59" s="131"/>
      <c r="DA59" s="131"/>
      <c r="DB59" s="131"/>
      <c r="DC59" s="131"/>
      <c r="DD59" s="131"/>
      <c r="DE59" s="131"/>
      <c r="DF59" s="131"/>
      <c r="DG59" s="131"/>
    </row>
    <row r="60" spans="2:111" ht="31.5">
      <c r="B60" s="137" t="s">
        <v>186</v>
      </c>
      <c r="C60" s="154" t="s">
        <v>187</v>
      </c>
      <c r="D60" s="12" t="s">
        <v>299</v>
      </c>
      <c r="E60" s="16" t="s">
        <v>493</v>
      </c>
      <c r="F60" s="21" t="s">
        <v>588</v>
      </c>
      <c r="G60" s="25">
        <v>9718000051.5799999</v>
      </c>
      <c r="H60" s="126">
        <f t="shared" ref="H60:H67" si="1">SUM(I60:DG60)</f>
        <v>9718000051.5799999</v>
      </c>
      <c r="I60" s="131"/>
      <c r="J60" s="131"/>
      <c r="K60" s="131"/>
      <c r="L60" s="131"/>
      <c r="M60" s="131"/>
      <c r="N60" s="131"/>
      <c r="O60" s="131"/>
      <c r="P60" s="131">
        <v>158908245.38999999</v>
      </c>
      <c r="Q60" s="131"/>
      <c r="R60" s="131"/>
      <c r="S60" s="131"/>
      <c r="T60" s="131">
        <v>1101011396.53</v>
      </c>
      <c r="U60" s="131"/>
      <c r="V60" s="131"/>
      <c r="W60" s="131"/>
      <c r="X60" s="131">
        <v>25514240</v>
      </c>
      <c r="Y60" s="131">
        <v>1362412800</v>
      </c>
      <c r="Z60" s="131">
        <v>514002900.88</v>
      </c>
      <c r="AA60" s="131">
        <v>319815012.92000002</v>
      </c>
      <c r="AB60" s="131">
        <v>3386172024.0100002</v>
      </c>
      <c r="AC60" s="131">
        <v>660662078.90999997</v>
      </c>
      <c r="AD60" s="131">
        <v>446964137.63999999</v>
      </c>
      <c r="AE60" s="131">
        <v>1294095996.5599999</v>
      </c>
      <c r="AF60" s="131">
        <v>448441218.74000001</v>
      </c>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c r="CW60" s="131"/>
      <c r="CX60" s="131"/>
      <c r="CY60" s="131"/>
      <c r="CZ60" s="131"/>
      <c r="DA60" s="131"/>
      <c r="DB60" s="131"/>
      <c r="DC60" s="131"/>
      <c r="DD60" s="131"/>
      <c r="DE60" s="131"/>
      <c r="DF60" s="131"/>
      <c r="DG60" s="131"/>
    </row>
    <row r="61" spans="2:111" ht="31.5">
      <c r="B61" s="133" t="s">
        <v>188</v>
      </c>
      <c r="C61" s="154" t="s">
        <v>189</v>
      </c>
      <c r="D61" s="12" t="s">
        <v>299</v>
      </c>
      <c r="E61" s="16" t="s">
        <v>494</v>
      </c>
      <c r="F61" s="21" t="s">
        <v>589</v>
      </c>
      <c r="G61" s="25">
        <f>9504669741.66+682734625</f>
        <v>10187404366.66</v>
      </c>
      <c r="H61" s="126">
        <f t="shared" si="1"/>
        <v>9504669741.6599941</v>
      </c>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v>850602656.41999996</v>
      </c>
      <c r="AL61" s="131">
        <v>759152019.13999999</v>
      </c>
      <c r="AM61" s="131">
        <v>500486905.31999999</v>
      </c>
      <c r="AN61" s="131">
        <v>637462667.55999994</v>
      </c>
      <c r="AO61" s="131">
        <v>602738532.70000005</v>
      </c>
      <c r="AP61" s="131">
        <v>514570801.24000001</v>
      </c>
      <c r="AQ61" s="131">
        <v>444732965.44</v>
      </c>
      <c r="AR61" s="131">
        <v>459382273.24000001</v>
      </c>
      <c r="AS61" s="131">
        <v>443159821.86000001</v>
      </c>
      <c r="AT61" s="131">
        <v>397518368.13999999</v>
      </c>
      <c r="AU61" s="131">
        <v>324227191.36000001</v>
      </c>
      <c r="AV61" s="131">
        <v>403386207.22000003</v>
      </c>
      <c r="AW61" s="131">
        <v>310499045.01999998</v>
      </c>
      <c r="AX61" s="131">
        <v>123923945.90000001</v>
      </c>
      <c r="AY61" s="131">
        <v>279088927.16000003</v>
      </c>
      <c r="AZ61" s="131">
        <v>160246924.88</v>
      </c>
      <c r="BA61" s="131">
        <v>270542821.28000003</v>
      </c>
      <c r="BB61" s="131">
        <v>313817.12</v>
      </c>
      <c r="BC61" s="131"/>
      <c r="BD61" s="131">
        <v>93936826.359999999</v>
      </c>
      <c r="BE61" s="131">
        <v>96186299.939999998</v>
      </c>
      <c r="BF61" s="131">
        <v>82740859.540000007</v>
      </c>
      <c r="BG61" s="131">
        <v>87893141.480000004</v>
      </c>
      <c r="BH61" s="131">
        <v>70673779.680000007</v>
      </c>
      <c r="BI61" s="131">
        <v>67593772.859999999</v>
      </c>
      <c r="BJ61" s="131"/>
      <c r="BK61" s="131">
        <v>227045333.66</v>
      </c>
      <c r="BL61" s="131">
        <v>253173314.22000003</v>
      </c>
      <c r="BM61" s="131">
        <v>184454128.24000001</v>
      </c>
      <c r="BN61" s="131"/>
      <c r="BO61" s="131">
        <v>178334694.40000001</v>
      </c>
      <c r="BP61" s="131">
        <v>154910681.18000001</v>
      </c>
      <c r="BQ61" s="131"/>
      <c r="BR61" s="131">
        <v>154722661.44</v>
      </c>
      <c r="BS61" s="131"/>
      <c r="BT61" s="131">
        <v>122061333.08</v>
      </c>
      <c r="BU61" s="131"/>
      <c r="BV61" s="131"/>
      <c r="BW61" s="131"/>
      <c r="BX61" s="131">
        <v>21733188.220000003</v>
      </c>
      <c r="BY61" s="131"/>
      <c r="BZ61" s="131"/>
      <c r="CA61" s="131">
        <v>66692901.299999997</v>
      </c>
      <c r="CB61" s="131">
        <v>31967413.780000001</v>
      </c>
      <c r="CC61" s="131">
        <v>69377931.400000006</v>
      </c>
      <c r="CD61" s="131">
        <v>24660344.460000001</v>
      </c>
      <c r="CE61" s="131">
        <v>27053200</v>
      </c>
      <c r="CF61" s="131"/>
      <c r="CG61" s="131">
        <v>7422045.4200000009</v>
      </c>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row>
    <row r="62" spans="2:111" ht="31.5">
      <c r="B62" s="133" t="s">
        <v>188</v>
      </c>
      <c r="C62" s="154" t="s">
        <v>189</v>
      </c>
      <c r="D62" s="12" t="s">
        <v>299</v>
      </c>
      <c r="E62" s="16" t="s">
        <v>495</v>
      </c>
      <c r="F62" s="21" t="s">
        <v>589</v>
      </c>
      <c r="G62" s="25">
        <f>16931004999+89494475808</f>
        <v>106425480807</v>
      </c>
      <c r="H62" s="126">
        <f t="shared" si="1"/>
        <v>16931004999</v>
      </c>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v>876060000</v>
      </c>
      <c r="AM62" s="131"/>
      <c r="AN62" s="131"/>
      <c r="AO62" s="131">
        <v>63600000</v>
      </c>
      <c r="AP62" s="131"/>
      <c r="AQ62" s="131">
        <v>338170000</v>
      </c>
      <c r="AR62" s="131">
        <v>60160000</v>
      </c>
      <c r="AS62" s="131">
        <v>7200000</v>
      </c>
      <c r="AT62" s="131"/>
      <c r="AU62" s="131"/>
      <c r="AV62" s="131"/>
      <c r="AW62" s="131">
        <v>164200000</v>
      </c>
      <c r="AX62" s="131">
        <v>371800000</v>
      </c>
      <c r="AY62" s="131">
        <v>57300000</v>
      </c>
      <c r="AZ62" s="131">
        <v>5100000</v>
      </c>
      <c r="BA62" s="131">
        <v>28999999</v>
      </c>
      <c r="BB62" s="131">
        <v>897960000</v>
      </c>
      <c r="BC62" s="131">
        <v>836600000</v>
      </c>
      <c r="BD62" s="131">
        <v>540000000</v>
      </c>
      <c r="BE62" s="131">
        <v>2227260000</v>
      </c>
      <c r="BF62" s="131">
        <v>731600000</v>
      </c>
      <c r="BG62" s="131"/>
      <c r="BH62" s="131">
        <v>248000000</v>
      </c>
      <c r="BI62" s="131">
        <v>35000000</v>
      </c>
      <c r="BJ62" s="131">
        <v>570880000</v>
      </c>
      <c r="BK62" s="131">
        <v>575000000</v>
      </c>
      <c r="BL62" s="131">
        <v>25000000</v>
      </c>
      <c r="BM62" s="131">
        <v>4000000</v>
      </c>
      <c r="BN62" s="131">
        <v>3536560000</v>
      </c>
      <c r="BO62" s="131"/>
      <c r="BP62" s="131">
        <v>108000000</v>
      </c>
      <c r="BQ62" s="131">
        <v>280505000</v>
      </c>
      <c r="BR62" s="131"/>
      <c r="BS62" s="131">
        <v>103250000</v>
      </c>
      <c r="BT62" s="131">
        <v>41610000</v>
      </c>
      <c r="BU62" s="131"/>
      <c r="BV62" s="131">
        <v>348100000</v>
      </c>
      <c r="BW62" s="131">
        <v>11900000</v>
      </c>
      <c r="BX62" s="131">
        <v>35000000</v>
      </c>
      <c r="BY62" s="131">
        <v>2000000</v>
      </c>
      <c r="BZ62" s="131">
        <v>2213700000</v>
      </c>
      <c r="CA62" s="131">
        <v>804290000</v>
      </c>
      <c r="CB62" s="131">
        <v>16200000</v>
      </c>
      <c r="CC62" s="131">
        <v>46000000</v>
      </c>
      <c r="CD62" s="131"/>
      <c r="CE62" s="131">
        <v>360000000</v>
      </c>
      <c r="CF62" s="131">
        <v>360000000</v>
      </c>
      <c r="CG62" s="131"/>
      <c r="CH62" s="131"/>
      <c r="CI62" s="131"/>
      <c r="CJ62" s="131"/>
      <c r="CK62" s="131"/>
      <c r="CL62" s="131"/>
      <c r="CM62" s="131"/>
      <c r="CN62" s="131"/>
      <c r="CO62" s="131"/>
      <c r="CP62" s="131"/>
      <c r="CQ62" s="131"/>
      <c r="CR62" s="131"/>
      <c r="CS62" s="131"/>
      <c r="CT62" s="131"/>
      <c r="CU62" s="131"/>
      <c r="CV62" s="131"/>
      <c r="CW62" s="131"/>
      <c r="CX62" s="131"/>
      <c r="CY62" s="131"/>
      <c r="CZ62" s="131"/>
      <c r="DA62" s="131"/>
      <c r="DB62" s="131"/>
      <c r="DC62" s="131"/>
      <c r="DD62" s="131"/>
      <c r="DE62" s="131"/>
      <c r="DF62" s="131"/>
      <c r="DG62" s="131"/>
    </row>
    <row r="63" spans="2:111" ht="31.5">
      <c r="B63" s="133" t="s">
        <v>188</v>
      </c>
      <c r="C63" s="154" t="s">
        <v>189</v>
      </c>
      <c r="D63" s="12" t="s">
        <v>299</v>
      </c>
      <c r="E63" s="16" t="s">
        <v>496</v>
      </c>
      <c r="F63" s="21" t="s">
        <v>589</v>
      </c>
      <c r="G63" s="25">
        <f>2815063537.689+213344561</f>
        <v>3028408098.6890001</v>
      </c>
      <c r="H63" s="126">
        <f t="shared" si="1"/>
        <v>2815063537.6890011</v>
      </c>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v>255180661.66000003</v>
      </c>
      <c r="AL63" s="131">
        <v>227746011.53999999</v>
      </c>
      <c r="AM63" s="131">
        <v>150146612.66</v>
      </c>
      <c r="AN63" s="131">
        <v>191238908.4808</v>
      </c>
      <c r="AO63" s="131">
        <v>180822236.13999999</v>
      </c>
      <c r="AP63" s="131">
        <v>154370969.84</v>
      </c>
      <c r="AQ63" s="131">
        <v>133419619.10000001</v>
      </c>
      <c r="AR63" s="131">
        <v>137814411.44</v>
      </c>
      <c r="AS63" s="131">
        <v>132947540.76000001</v>
      </c>
      <c r="AT63" s="131">
        <v>119255916.23999999</v>
      </c>
      <c r="AU63" s="131">
        <v>97268427.939999998</v>
      </c>
      <c r="AV63" s="131">
        <v>121015726.90000001</v>
      </c>
      <c r="AW63" s="131">
        <v>93149578.239999995</v>
      </c>
      <c r="AX63" s="131"/>
      <c r="AY63" s="131">
        <v>83726948.680000007</v>
      </c>
      <c r="AZ63" s="131">
        <v>48073536.400000006</v>
      </c>
      <c r="BA63" s="131">
        <v>81244817.579999998</v>
      </c>
      <c r="BB63" s="131">
        <v>188019.74000000002</v>
      </c>
      <c r="BC63" s="131"/>
      <c r="BD63" s="131">
        <v>28181318.440000001</v>
      </c>
      <c r="BE63" s="131">
        <v>29099774.579999998</v>
      </c>
      <c r="BF63" s="131">
        <v>24822352.548200004</v>
      </c>
      <c r="BG63" s="131">
        <v>26367401.380000003</v>
      </c>
      <c r="BH63" s="131">
        <v>21201592.84</v>
      </c>
      <c r="BI63" s="131">
        <v>20277726.060000002</v>
      </c>
      <c r="BJ63" s="131"/>
      <c r="BK63" s="131">
        <v>68113194.299999997</v>
      </c>
      <c r="BL63" s="131">
        <v>75951859</v>
      </c>
      <c r="BM63" s="131">
        <v>55335967.940000005</v>
      </c>
      <c r="BN63" s="131"/>
      <c r="BO63" s="131">
        <v>53500408.32</v>
      </c>
      <c r="BP63" s="131">
        <v>46473339.619999997</v>
      </c>
      <c r="BQ63" s="131"/>
      <c r="BR63" s="131">
        <v>46416527.899999999</v>
      </c>
      <c r="BS63" s="131"/>
      <c r="BT63" s="131">
        <v>36617858.859999999</v>
      </c>
      <c r="BU63" s="131"/>
      <c r="BV63" s="131"/>
      <c r="BW63" s="131"/>
      <c r="BX63" s="131">
        <v>6519821.2000000002</v>
      </c>
      <c r="BY63" s="131"/>
      <c r="BZ63" s="131"/>
      <c r="CA63" s="131">
        <v>20007194.059999999</v>
      </c>
      <c r="CB63" s="131">
        <v>10013741.98</v>
      </c>
      <c r="CC63" s="131">
        <v>20813379.420000002</v>
      </c>
      <c r="CD63" s="131">
        <v>7397697.54</v>
      </c>
      <c r="CE63" s="131">
        <v>8115960.0000000009</v>
      </c>
      <c r="CF63" s="131"/>
      <c r="CG63" s="131">
        <v>2226478.3600000003</v>
      </c>
      <c r="CH63" s="131"/>
      <c r="CI63" s="131"/>
      <c r="CJ63" s="131"/>
      <c r="CK63" s="131"/>
      <c r="CL63" s="131"/>
      <c r="CM63" s="131"/>
      <c r="CN63" s="131"/>
      <c r="CO63" s="131"/>
      <c r="CP63" s="131"/>
      <c r="CQ63" s="131"/>
      <c r="CR63" s="131"/>
      <c r="CS63" s="131"/>
      <c r="CT63" s="131"/>
      <c r="CU63" s="131"/>
      <c r="CV63" s="131"/>
      <c r="CW63" s="131"/>
      <c r="CX63" s="131"/>
      <c r="CY63" s="131"/>
      <c r="CZ63" s="131"/>
      <c r="DA63" s="131"/>
      <c r="DB63" s="131"/>
      <c r="DC63" s="131"/>
      <c r="DD63" s="131"/>
      <c r="DE63" s="131"/>
      <c r="DF63" s="131"/>
      <c r="DG63" s="131"/>
    </row>
    <row r="64" spans="2:111">
      <c r="B64" s="133" t="s">
        <v>188</v>
      </c>
      <c r="C64" s="154" t="s">
        <v>189</v>
      </c>
      <c r="D64" s="12" t="s">
        <v>299</v>
      </c>
      <c r="E64" s="16" t="s">
        <v>497</v>
      </c>
      <c r="F64" s="21" t="s">
        <v>498</v>
      </c>
      <c r="G64" s="25">
        <f>4343230992.296+2987472820</f>
        <v>7330703812.2959995</v>
      </c>
      <c r="H64" s="126">
        <f t="shared" si="1"/>
        <v>4343230992.2959986</v>
      </c>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v>270770396.70000005</v>
      </c>
      <c r="AL64" s="131">
        <v>248169097.09999999</v>
      </c>
      <c r="AM64" s="131">
        <v>232303411.96000001</v>
      </c>
      <c r="AN64" s="131">
        <v>212900922.25999999</v>
      </c>
      <c r="AO64" s="131">
        <v>180822236.13999999</v>
      </c>
      <c r="AP64" s="131">
        <v>161961936.26000002</v>
      </c>
      <c r="AQ64" s="131">
        <v>164995236.20000002</v>
      </c>
      <c r="AR64" s="131">
        <v>153424774.41999999</v>
      </c>
      <c r="AS64" s="131">
        <v>152292690.09999999</v>
      </c>
      <c r="AT64" s="131">
        <v>130367350.34</v>
      </c>
      <c r="AU64" s="131">
        <v>133666929.94</v>
      </c>
      <c r="AV64" s="131">
        <v>140797522.90000001</v>
      </c>
      <c r="AW64" s="131">
        <v>98640437.700000003</v>
      </c>
      <c r="AX64" s="131">
        <v>374011382.92000002</v>
      </c>
      <c r="AY64" s="131">
        <v>102304964.62</v>
      </c>
      <c r="AZ64" s="131">
        <v>167554219.90000001</v>
      </c>
      <c r="BA64" s="131">
        <v>89159156.660000011</v>
      </c>
      <c r="BB64" s="131">
        <v>12181741.66</v>
      </c>
      <c r="BC64" s="131">
        <v>118571279</v>
      </c>
      <c r="BD64" s="131">
        <v>35650876.719999999</v>
      </c>
      <c r="BE64" s="131">
        <v>29789882.780000001</v>
      </c>
      <c r="BF64" s="131">
        <v>27457721.640000001</v>
      </c>
      <c r="BG64" s="131">
        <v>26367401.380000003</v>
      </c>
      <c r="BH64" s="131">
        <v>33359405.960000001</v>
      </c>
      <c r="BI64" s="131">
        <v>29028763.540000003</v>
      </c>
      <c r="BJ64" s="131">
        <v>386337.6</v>
      </c>
      <c r="BK64" s="131">
        <v>105016401.2</v>
      </c>
      <c r="BL64" s="131">
        <v>79800373</v>
      </c>
      <c r="BM64" s="131">
        <v>56654302.940000005</v>
      </c>
      <c r="BN64" s="131">
        <v>256746466.04000002</v>
      </c>
      <c r="BO64" s="131">
        <v>55998771.340000004</v>
      </c>
      <c r="BP64" s="131">
        <v>63867805.140000001</v>
      </c>
      <c r="BQ64" s="131"/>
      <c r="BR64" s="131">
        <v>46416527.900000006</v>
      </c>
      <c r="BS64" s="131">
        <v>148604652.54000002</v>
      </c>
      <c r="BT64" s="131">
        <v>37091751.859999999</v>
      </c>
      <c r="BU64" s="131"/>
      <c r="BV64" s="131">
        <v>1695623.48</v>
      </c>
      <c r="BW64" s="131">
        <v>3646210.5</v>
      </c>
      <c r="BX64" s="131">
        <v>11149356.74</v>
      </c>
      <c r="BY64" s="131">
        <v>377392</v>
      </c>
      <c r="BZ64" s="131">
        <v>22523110.496000003</v>
      </c>
      <c r="CA64" s="131">
        <v>22210734.760000002</v>
      </c>
      <c r="CB64" s="131">
        <v>53464161.600000001</v>
      </c>
      <c r="CC64" s="131">
        <v>21003494.420000002</v>
      </c>
      <c r="CD64" s="131">
        <v>10456630.539999999</v>
      </c>
      <c r="CE64" s="131">
        <v>12842628.720000001</v>
      </c>
      <c r="CF64" s="131">
        <v>3587254.3200000003</v>
      </c>
      <c r="CG64" s="131">
        <v>3141266.3600000003</v>
      </c>
      <c r="CH64" s="131"/>
      <c r="CI64" s="131"/>
      <c r="CJ64" s="131"/>
      <c r="CK64" s="131"/>
      <c r="CL64" s="131"/>
      <c r="CM64" s="131"/>
      <c r="CN64" s="131"/>
      <c r="CO64" s="131"/>
      <c r="CP64" s="131"/>
      <c r="CQ64" s="131"/>
      <c r="CR64" s="131"/>
      <c r="CS64" s="131"/>
      <c r="CT64" s="131"/>
      <c r="CU64" s="131"/>
      <c r="CV64" s="131"/>
      <c r="CW64" s="131"/>
      <c r="CX64" s="131"/>
      <c r="CY64" s="131"/>
      <c r="CZ64" s="131"/>
      <c r="DA64" s="131"/>
      <c r="DB64" s="131"/>
      <c r="DC64" s="131"/>
      <c r="DD64" s="131"/>
      <c r="DE64" s="131"/>
      <c r="DF64" s="131"/>
      <c r="DG64" s="131"/>
    </row>
    <row r="65" spans="2:111" ht="63">
      <c r="B65" s="133" t="s">
        <v>188</v>
      </c>
      <c r="C65" s="154" t="s">
        <v>189</v>
      </c>
      <c r="D65" s="12" t="s">
        <v>299</v>
      </c>
      <c r="E65" s="16" t="s">
        <v>585</v>
      </c>
      <c r="F65" s="21" t="s">
        <v>593</v>
      </c>
      <c r="G65" s="25">
        <f>74000+1389100+1721000</f>
        <v>3184100</v>
      </c>
      <c r="H65" s="126">
        <f t="shared" si="1"/>
        <v>74000</v>
      </c>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v>6000</v>
      </c>
      <c r="CJ65" s="131"/>
      <c r="CK65" s="131">
        <v>12000</v>
      </c>
      <c r="CL65" s="131"/>
      <c r="CM65" s="131"/>
      <c r="CN65" s="131"/>
      <c r="CO65" s="131">
        <v>5000</v>
      </c>
      <c r="CP65" s="131">
        <v>2000</v>
      </c>
      <c r="CQ65" s="131"/>
      <c r="CR65" s="131">
        <v>17000</v>
      </c>
      <c r="CS65" s="131"/>
      <c r="CT65" s="131"/>
      <c r="CU65" s="131">
        <v>4000</v>
      </c>
      <c r="CV65" s="131"/>
      <c r="CW65" s="131">
        <v>1000</v>
      </c>
      <c r="CX65" s="131">
        <v>9000</v>
      </c>
      <c r="CY65" s="131">
        <v>2000</v>
      </c>
      <c r="CZ65" s="131"/>
      <c r="DA65" s="131"/>
      <c r="DB65" s="131">
        <v>13000</v>
      </c>
      <c r="DC65" s="131"/>
      <c r="DD65" s="131"/>
      <c r="DE65" s="131"/>
      <c r="DF65" s="131">
        <v>3000</v>
      </c>
      <c r="DG65" s="131"/>
    </row>
    <row r="66" spans="2:111">
      <c r="B66" s="137" t="s">
        <v>190</v>
      </c>
      <c r="C66" s="152" t="s">
        <v>191</v>
      </c>
      <c r="D66" s="12" t="s">
        <v>272</v>
      </c>
      <c r="E66" s="16"/>
      <c r="F66" s="21"/>
      <c r="G66" s="25"/>
      <c r="H66" s="126">
        <f t="shared" si="1"/>
        <v>0</v>
      </c>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c r="CW66" s="131"/>
      <c r="CX66" s="131"/>
      <c r="CY66" s="131"/>
      <c r="CZ66" s="131"/>
      <c r="DA66" s="131"/>
      <c r="DB66" s="131"/>
      <c r="DC66" s="131"/>
      <c r="DD66" s="131"/>
      <c r="DE66" s="131"/>
      <c r="DF66" s="131"/>
      <c r="DG66" s="131"/>
    </row>
    <row r="67" spans="2:111">
      <c r="B67" s="133" t="s">
        <v>192</v>
      </c>
      <c r="C67" s="152" t="s">
        <v>193</v>
      </c>
      <c r="D67" s="12" t="s">
        <v>272</v>
      </c>
      <c r="E67" s="16"/>
      <c r="F67" s="21"/>
      <c r="G67" s="25"/>
      <c r="H67" s="126">
        <f t="shared" si="1"/>
        <v>0</v>
      </c>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row>
    <row r="68" spans="2:111">
      <c r="B68" s="133"/>
      <c r="C68" s="152"/>
      <c r="D68" s="2"/>
      <c r="E68" s="16"/>
      <c r="F68" s="21"/>
      <c r="G68" s="25"/>
      <c r="H68" s="126"/>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row>
    <row r="69" spans="2:111" ht="47.25">
      <c r="B69" s="192" t="s">
        <v>499</v>
      </c>
      <c r="C69" s="152" t="s">
        <v>500</v>
      </c>
      <c r="D69" s="193" t="s">
        <v>299</v>
      </c>
      <c r="E69" s="16" t="s">
        <v>502</v>
      </c>
      <c r="F69" s="21" t="s">
        <v>591</v>
      </c>
      <c r="G69" s="25">
        <f>2562695335.56+2637093845+997607694.85+3149133549+383391115+702843000</f>
        <v>10432764539.41</v>
      </c>
      <c r="H69" s="126">
        <f>SUM(I69:DG69)</f>
        <v>3560303030.4099994</v>
      </c>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v>425107221.5</v>
      </c>
      <c r="AL69" s="131">
        <v>181687207.12</v>
      </c>
      <c r="AM69" s="131">
        <v>184308040.96000001</v>
      </c>
      <c r="AN69" s="131">
        <v>186681511.46000001</v>
      </c>
      <c r="AO69" s="131"/>
      <c r="AP69" s="131">
        <v>120094418.14</v>
      </c>
      <c r="AQ69" s="131">
        <v>174860651.58000001</v>
      </c>
      <c r="AR69" s="131">
        <v>160747409.08000001</v>
      </c>
      <c r="AS69" s="131">
        <v>224798436.34</v>
      </c>
      <c r="AT69" s="131">
        <v>79032314.819999993</v>
      </c>
      <c r="AU69" s="131"/>
      <c r="AV69" s="131">
        <v>9473846</v>
      </c>
      <c r="AW69" s="131">
        <v>68926142.959999993</v>
      </c>
      <c r="AX69" s="131">
        <v>99892588.340000004</v>
      </c>
      <c r="AY69" s="131">
        <v>4187671</v>
      </c>
      <c r="AZ69" s="131">
        <v>1638104</v>
      </c>
      <c r="BA69" s="131">
        <v>172819899.58000001</v>
      </c>
      <c r="BB69" s="131">
        <v>1820484</v>
      </c>
      <c r="BC69" s="131">
        <v>129714804.7</v>
      </c>
      <c r="BD69" s="131">
        <v>757117</v>
      </c>
      <c r="BE69" s="131">
        <v>502040</v>
      </c>
      <c r="BF69" s="131"/>
      <c r="BG69" s="131"/>
      <c r="BH69" s="131"/>
      <c r="BI69" s="131"/>
      <c r="BJ69" s="131">
        <v>260556</v>
      </c>
      <c r="BK69" s="131">
        <v>130351801.38000001</v>
      </c>
      <c r="BL69" s="131">
        <v>6225310</v>
      </c>
      <c r="BM69" s="131"/>
      <c r="BN69" s="131">
        <v>10315550</v>
      </c>
      <c r="BO69" s="131">
        <v>91200395.180000007</v>
      </c>
      <c r="BP69" s="131">
        <v>221361</v>
      </c>
      <c r="BQ69" s="131"/>
      <c r="BR69" s="131"/>
      <c r="BS69" s="131">
        <v>83914968.420000002</v>
      </c>
      <c r="BT69" s="131"/>
      <c r="BU69" s="131"/>
      <c r="BV69" s="131">
        <v>922210</v>
      </c>
      <c r="BW69" s="131"/>
      <c r="BX69" s="131"/>
      <c r="BY69" s="131"/>
      <c r="BZ69" s="131">
        <v>251000</v>
      </c>
      <c r="CA69" s="131"/>
      <c r="CB69" s="131">
        <v>4470955</v>
      </c>
      <c r="CC69" s="131"/>
      <c r="CD69" s="131"/>
      <c r="CE69" s="131">
        <v>7511320</v>
      </c>
      <c r="CF69" s="131"/>
      <c r="CG69" s="131"/>
      <c r="CH69" s="131"/>
      <c r="CI69" s="131"/>
      <c r="CJ69" s="131"/>
      <c r="CK69" s="131"/>
      <c r="CL69" s="131"/>
      <c r="CM69" s="131"/>
      <c r="CN69" s="131">
        <v>758269600</v>
      </c>
      <c r="CO69" s="131"/>
      <c r="CP69" s="131"/>
      <c r="CQ69" s="131"/>
      <c r="CR69" s="131">
        <v>10483516.130000001</v>
      </c>
      <c r="CS69" s="131"/>
      <c r="CT69" s="131"/>
      <c r="CU69" s="131"/>
      <c r="CV69" s="131"/>
      <c r="CW69" s="131"/>
      <c r="CX69" s="131"/>
      <c r="CY69" s="131">
        <v>1861000</v>
      </c>
      <c r="CZ69" s="131"/>
      <c r="DA69" s="131"/>
      <c r="DB69" s="131"/>
      <c r="DC69" s="131"/>
      <c r="DD69" s="131">
        <v>163187542</v>
      </c>
      <c r="DE69" s="131">
        <v>10699776.720000001</v>
      </c>
      <c r="DF69" s="131"/>
      <c r="DG69" s="131">
        <v>53106260</v>
      </c>
    </row>
    <row r="70" spans="2:111">
      <c r="B70" s="133"/>
      <c r="C70" s="152"/>
      <c r="D70" s="193"/>
      <c r="E70" s="16"/>
      <c r="F70" s="21"/>
      <c r="G70" s="25"/>
      <c r="H70" s="126"/>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row>
    <row r="71" spans="2:111">
      <c r="B71" s="148"/>
      <c r="C71" s="149"/>
      <c r="D71" s="4"/>
      <c r="E71" s="18"/>
      <c r="F71" s="23"/>
      <c r="G71" s="28"/>
      <c r="H71" s="127"/>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c r="AY71" s="138"/>
      <c r="AZ71" s="138"/>
      <c r="BA71" s="138"/>
      <c r="BB71" s="138"/>
      <c r="BC71" s="138"/>
      <c r="BD71" s="138"/>
      <c r="BE71" s="138"/>
      <c r="BF71" s="138"/>
      <c r="BG71" s="138"/>
      <c r="BH71" s="138"/>
      <c r="BI71" s="138"/>
      <c r="BJ71" s="138"/>
      <c r="BK71" s="138"/>
      <c r="BL71" s="138"/>
      <c r="BM71" s="138"/>
      <c r="BN71" s="138"/>
      <c r="BO71" s="138"/>
      <c r="BP71" s="138"/>
      <c r="BQ71" s="138"/>
      <c r="BR71" s="138"/>
      <c r="BS71" s="138"/>
      <c r="BT71" s="138"/>
      <c r="BU71" s="138"/>
      <c r="BV71" s="138"/>
      <c r="BW71" s="138"/>
      <c r="BX71" s="138"/>
      <c r="BY71" s="138"/>
      <c r="BZ71" s="138"/>
      <c r="CA71" s="138"/>
      <c r="CB71" s="138"/>
      <c r="CC71" s="138"/>
      <c r="CD71" s="138"/>
      <c r="CE71" s="138"/>
      <c r="CF71" s="138"/>
      <c r="CG71" s="138"/>
      <c r="CH71" s="138"/>
      <c r="CI71" s="138"/>
      <c r="CJ71" s="138"/>
      <c r="CK71" s="138"/>
      <c r="CL71" s="138"/>
      <c r="CM71" s="138"/>
      <c r="CN71" s="138"/>
      <c r="CO71" s="138"/>
      <c r="CP71" s="138"/>
      <c r="CQ71" s="138"/>
      <c r="CR71" s="138"/>
      <c r="CS71" s="138"/>
      <c r="CT71" s="138"/>
      <c r="CU71" s="138"/>
      <c r="CV71" s="138"/>
      <c r="CW71" s="138"/>
      <c r="CX71" s="138"/>
      <c r="CY71" s="138"/>
      <c r="CZ71" s="138"/>
      <c r="DA71" s="138"/>
      <c r="DB71" s="138"/>
      <c r="DC71" s="138"/>
      <c r="DD71" s="138"/>
      <c r="DE71" s="138"/>
      <c r="DF71" s="138"/>
      <c r="DG71" s="138"/>
    </row>
    <row r="72" spans="2:111">
      <c r="G72" s="29"/>
    </row>
    <row r="73" spans="2:111">
      <c r="E73" s="112"/>
      <c r="F73" s="112"/>
      <c r="G73" s="113" t="s">
        <v>248</v>
      </c>
      <c r="H73" s="114" t="s">
        <v>246</v>
      </c>
    </row>
    <row r="74" spans="2:111" ht="21">
      <c r="B74" s="115" t="s">
        <v>201</v>
      </c>
      <c r="G74" s="116">
        <f>SUM(G11:G71)</f>
        <v>3351177125952.9224</v>
      </c>
      <c r="H74" s="116">
        <f>SUM(H11:H71)</f>
        <v>2765420000476.0859</v>
      </c>
    </row>
    <row r="75" spans="2:111">
      <c r="B75" s="71" t="s">
        <v>306</v>
      </c>
    </row>
    <row r="77" spans="2:111">
      <c r="C77" s="242" t="s">
        <v>597</v>
      </c>
      <c r="D77" s="243">
        <v>3404468730241.7305</v>
      </c>
    </row>
    <row r="78" spans="2:111">
      <c r="C78" s="71" t="s">
        <v>598</v>
      </c>
      <c r="D78" s="25">
        <f>28883045852.0674+12725314940+51281036+65172400+96399417</f>
        <v>41821213645.067398</v>
      </c>
    </row>
    <row r="79" spans="2:111">
      <c r="C79" s="71" t="s">
        <v>501</v>
      </c>
      <c r="D79" s="25">
        <f>6605861483.82247+4792665159.91815+71864000</f>
        <v>11470390643.74062</v>
      </c>
    </row>
    <row r="80" spans="2:111">
      <c r="C80" s="242" t="s">
        <v>599</v>
      </c>
      <c r="D80" s="243">
        <f>+D77-D78-D79</f>
        <v>3351177125952.9224</v>
      </c>
    </row>
    <row r="122" spans="3:3">
      <c r="C122" s="71" t="str">
        <f>TRIM(C73)</f>
        <v/>
      </c>
    </row>
    <row r="123" spans="3:3">
      <c r="C123" s="71" t="str">
        <f>TRIM(C74)</f>
        <v/>
      </c>
    </row>
  </sheetData>
  <mergeCells count="9">
    <mergeCell ref="H8:DG8"/>
    <mergeCell ref="H9:DG9"/>
    <mergeCell ref="B3:D3"/>
    <mergeCell ref="B4:D4"/>
    <mergeCell ref="B2:D2"/>
    <mergeCell ref="B8:D8"/>
    <mergeCell ref="B9:D9"/>
    <mergeCell ref="E9:G9"/>
    <mergeCell ref="E8:G8"/>
  </mergeCells>
  <conditionalFormatting sqref="D13 D23:D29 D17:D21 D31:D46 D57:D61 D66:D70 D48:D50">
    <cfRule type="containsText" dxfId="17" priority="18" operator="containsText" text="Including;Not Applicable;Not included">
      <formula>NOT(ISERROR(SEARCH("Including;Not Applicable;Not included",D13)))</formula>
    </cfRule>
  </conditionalFormatting>
  <conditionalFormatting sqref="D22">
    <cfRule type="containsText" dxfId="16" priority="17" operator="containsText" text="Including;Not Applicable;Not included">
      <formula>NOT(ISERROR(SEARCH("Including;Not Applicable;Not included",D22)))</formula>
    </cfRule>
  </conditionalFormatting>
  <conditionalFormatting sqref="D30">
    <cfRule type="containsText" dxfId="14" priority="15" operator="containsText" text="Including;Not Applicable;Not included">
      <formula>NOT(ISERROR(SEARCH("Including;Not Applicable;Not included",D30)))</formula>
    </cfRule>
  </conditionalFormatting>
  <conditionalFormatting sqref="D51">
    <cfRule type="containsText" dxfId="13" priority="14" operator="containsText" text="Including;Not Applicable;Not included">
      <formula>NOT(ISERROR(SEARCH("Including;Not Applicable;Not included",D51)))</formula>
    </cfRule>
  </conditionalFormatting>
  <conditionalFormatting sqref="D52">
    <cfRule type="containsText" dxfId="12" priority="13" operator="containsText" text="Including;Not Applicable;Not included">
      <formula>NOT(ISERROR(SEARCH("Including;Not Applicable;Not included",D52)))</formula>
    </cfRule>
  </conditionalFormatting>
  <conditionalFormatting sqref="D53:D54">
    <cfRule type="containsText" dxfId="11" priority="11" operator="containsText" text="Including;Not Applicable;Not included">
      <formula>NOT(ISERROR(SEARCH("Including;Not Applicable;Not included",D53)))</formula>
    </cfRule>
  </conditionalFormatting>
  <conditionalFormatting sqref="D55">
    <cfRule type="containsText" dxfId="10" priority="10" operator="containsText" text="Including;Not Applicable;Not included">
      <formula>NOT(ISERROR(SEARCH("Including;Not Applicable;Not included",D55)))</formula>
    </cfRule>
  </conditionalFormatting>
  <conditionalFormatting sqref="D62">
    <cfRule type="containsText" dxfId="9" priority="9" operator="containsText" text="Including;Not Applicable;Not included">
      <formula>NOT(ISERROR(SEARCH("Including;Not Applicable;Not included",D62)))</formula>
    </cfRule>
  </conditionalFormatting>
  <conditionalFormatting sqref="D63">
    <cfRule type="containsText" dxfId="8" priority="8" operator="containsText" text="Including;Not Applicable;Not included">
      <formula>NOT(ISERROR(SEARCH("Including;Not Applicable;Not included",D63)))</formula>
    </cfRule>
  </conditionalFormatting>
  <conditionalFormatting sqref="D14">
    <cfRule type="containsText" dxfId="7" priority="7" operator="containsText" text="Including;Not Applicable;Not included">
      <formula>NOT(ISERROR(SEARCH("Including;Not Applicable;Not included",D14)))</formula>
    </cfRule>
  </conditionalFormatting>
  <conditionalFormatting sqref="D64">
    <cfRule type="containsText" dxfId="6" priority="6" operator="containsText" text="Including;Not Applicable;Not included">
      <formula>NOT(ISERROR(SEARCH("Including;Not Applicable;Not included",D64)))</formula>
    </cfRule>
  </conditionalFormatting>
  <conditionalFormatting sqref="D15">
    <cfRule type="containsText" dxfId="5" priority="5" operator="containsText" text="Including;Not Applicable;Not included">
      <formula>NOT(ISERROR(SEARCH("Including;Not Applicable;Not included",D15)))</formula>
    </cfRule>
  </conditionalFormatting>
  <conditionalFormatting sqref="D16">
    <cfRule type="containsText" dxfId="4" priority="4" operator="containsText" text="Including;Not Applicable;Not included">
      <formula>NOT(ISERROR(SEARCH("Including;Not Applicable;Not included",D16)))</formula>
    </cfRule>
  </conditionalFormatting>
  <conditionalFormatting sqref="D47">
    <cfRule type="containsText" dxfId="3" priority="3" operator="containsText" text="Including;Not Applicable;Not included">
      <formula>NOT(ISERROR(SEARCH("Including;Not Applicable;Not included",D47)))</formula>
    </cfRule>
  </conditionalFormatting>
  <conditionalFormatting sqref="D65">
    <cfRule type="containsText" dxfId="2" priority="2" operator="containsText" text="Including;Not Applicable;Not included">
      <formula>NOT(ISERROR(SEARCH("Including;Not Applicable;Not included",D65)))</formula>
    </cfRule>
  </conditionalFormatting>
  <conditionalFormatting sqref="D56">
    <cfRule type="containsText" dxfId="1" priority="1" operator="containsText" text="Including;Not Applicable;Not included">
      <formula>NOT(ISERROR(SEARCH("Including;Not Applicable;Not included",D56)))</formula>
    </cfRule>
  </conditionalFormatting>
  <dataValidations count="19">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5:D47 D25:D27 D21:D23 D36 D41:D43 D29:D33 D60:D67 D49:D58 D69:D70 D13:D19" xr:uid="{79DC867D-1E4A-488C-A23D-2813087BB548}">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AG6:DG6" xr:uid="{076C49A5-5DB3-4A77-8AED-FC87BD3ABA88}">
      <formula1>"&lt;Choose sector&gt;,Oil,Gas,Mining,NA,Oil and Gas,Other"</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4 I6:AF6" xr:uid="{D1246C49-D781-497B-8A9C-5F4FAFF30F51}">
      <formula1>"&lt;Choose sector&gt;,Oil,Gas,Mining,NA,Oil &amp; Gas,Oil, Gas &amp; Mining,Other"</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xr:uid="{1E0413AB-93F4-4EBD-8C67-1B1A1868425D}">
      <formula1>3</formula1>
      <formula2>3</formula2>
    </dataValidation>
    <dataValidation type="decimal" operator="greaterThan" allowBlank="1" showErrorMessage="1" errorTitle="Non-numeric value detected" error="Only include numbers in this section._x000a__x000a_Other information or comments, please include under E. Notes" sqref="J11:J12 DA32:DA71 AE60:AE71 J17:J71 I11:I71 K11:AD71 DB11:DG71 AF11:CZ71 DA11:DA30 AE11:AE58" xr:uid="{56575B36-D23A-4B64-9A96-F766B8C1362C}">
      <formula1>-1000000000000000000</formula1>
    </dataValidation>
    <dataValidation type="list" showDropDown="1" showErrorMessage="1" errorTitle="Editing attempt detected" error="Please do not edit these descriptions" sqref="G73:H73" xr:uid="{24980959-4753-4923-9E77-FA34F9CEA29B}">
      <formula1>"#ERROR!"</formula1>
    </dataValidation>
    <dataValidation type="list" showDropDown="1" showInputMessage="1" showErrorMessage="1" errorTitle="Please do not edit these cells" error="Please do not edit these cells" sqref="B2:D10 E2:G2 H2:H7 E10:H10 D11:D12 D20 D24 D28 D34:D35 D37:D40 D44 D48 D59 D71 D68 E8:DG9" xr:uid="{CE871B59-42AF-47F4-B934-8AF9C8F81D81}">
      <formula1>"#ERROR!"</formula1>
    </dataValidation>
    <dataValidation type="list" showDropDown="1" showErrorMessage="1" errorTitle="Please do not edit these cells" error="Please do not edit these cells" sqref="E6:F7 G4" xr:uid="{AE15C205-862F-43D4-830A-0F16CAB5C169}">
      <formula1>"#ERROR!"</formula1>
    </dataValidation>
    <dataValidation type="custom" allowBlank="1" showInputMessage="1" promptTitle="Name of identifier" prompt="Please input name of identifier, such as &quot;Taxpayer Identification Number&quot; or similar." sqref="G5" xr:uid="{CFA87B2B-5C0E-488B-B109-D9863C750EFF}">
      <formula1>IFERROR(OR(ISNUMBER(SEARCH("Example:",G5)),ISNUMBER(SEARCH("Example:",G5))),TRUE)</formula1>
    </dataValidation>
    <dataValidation allowBlank="1" showInputMessage="1" promptTitle="Name of register" prompt="Please input name of register or agency" sqref="G6" xr:uid="{F680BD2E-8578-481E-A482-0C835BD55AEF}"/>
    <dataValidation allowBlank="1" showInputMessage="1" showErrorMessage="1" promptTitle="Registry URL" prompt="Please insert direct URL to the registry or agency" sqref="G7" xr:uid="{E85AE8C6-8C79-45A9-84DB-DCB23DB60C9D}"/>
    <dataValidation type="list" showDropDown="1" showErrorMessage="1" errorTitle="Editing attempt detected" error="Please do not edit GFS Codes or Descriptions." sqref="B70:B71 C11:C71 B11:B68" xr:uid="{137F2FDD-36CF-42B2-A496-BDC6A986ECA5}">
      <formula1>"#ERROR!"</formula1>
    </dataValidation>
    <dataValidation type="decimal" operator="greaterThan" allowBlank="1" showErrorMessage="1" errorTitle="Non-numeric value detected" error="Please only input numeric values" sqref="D78:D79 G11:G71" xr:uid="{999E9C73-F3ED-435F-91C4-039F1885978F}">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1:E12 E70:E71 E17:E68" xr:uid="{09682127-D776-402E-8E57-BB8DE9230E5E}"/>
    <dataValidation allowBlank="1" showInputMessage="1" promptTitle="Receiving government agency" prompt="Input the name of the government recipient here._x000a__x000a_Please refrain from using acronyms, and input complete name" sqref="F11:F12 F70:F71 F17:F21 F23:F68" xr:uid="{B6AF8CFB-37F3-4AA6-81A2-597B55D3A265}"/>
    <dataValidation allowBlank="1" showInputMessage="1" promptTitle="Identification #" prompt="Please input unique identification number, such as TIN, organisational number or similar" sqref="I5:DG5" xr:uid="{8C224483-5FA3-4828-BC9E-F9664F59A2E5}"/>
    <dataValidation allowBlank="1" showInputMessage="1" promptTitle="Company name" prompt="Input company name here_x000a__x000a_Please refrain from using acronyms, and input complete name" sqref="J4:DG4" xr:uid="{5E8AAF86-F2EB-4516-B8E2-6D38AC325799}"/>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DG7" xr:uid="{8511E1F6-6C72-48F6-A83E-CADAE38B6370}">
      <formula1>1</formula1>
      <formula2>30</formula2>
    </dataValidation>
    <dataValidation type="decimal" operator="greaterThanOrEqual" allowBlank="1" showErrorMessage="1" errorTitle="Non-numeric value detected" error="Only include numbers in this section._x000a__x000a_Other information or comments, please include under E. Notes" sqref="J13:J16" xr:uid="{A254912D-798D-4E20-9C34-29E664795A41}">
      <formula1>-1000000000000000000</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BY57"/>
  <sheetViews>
    <sheetView showGridLines="0" zoomScale="55" zoomScaleNormal="55" zoomScalePageLayoutView="55" workbookViewId="0"/>
  </sheetViews>
  <sheetFormatPr baseColWidth="10" defaultColWidth="10.875" defaultRowHeight="15.75"/>
  <cols>
    <col min="1" max="1" width="3.625" style="71" customWidth="1"/>
    <col min="2" max="2" width="7.375" style="71" customWidth="1"/>
    <col min="3" max="3" width="77.625" style="71" customWidth="1"/>
    <col min="4" max="4" width="46.375" style="71" customWidth="1"/>
    <col min="5" max="5" width="50.875" style="71" customWidth="1"/>
    <col min="6" max="6" width="53.625" style="71" customWidth="1"/>
    <col min="7" max="7" width="50.125" style="71" customWidth="1"/>
    <col min="8" max="8" width="16.125" style="71" customWidth="1"/>
    <col min="9" max="9" width="11.5" style="71" bestFit="1" customWidth="1"/>
    <col min="10" max="10" width="15.125" style="71" bestFit="1" customWidth="1"/>
    <col min="11" max="11" width="11.5" style="71" bestFit="1" customWidth="1"/>
    <col min="12" max="13" width="11.5" style="71" customWidth="1"/>
    <col min="14" max="14" width="12.5" style="71" bestFit="1" customWidth="1"/>
    <col min="15" max="16384" width="10.875" style="71"/>
  </cols>
  <sheetData>
    <row r="1" spans="2:77" ht="15.95" customHeight="1"/>
    <row r="2" spans="2:77" ht="26.25">
      <c r="B2" s="72" t="s">
        <v>195</v>
      </c>
      <c r="G2" s="73" t="s">
        <v>250</v>
      </c>
      <c r="H2" s="74" t="s">
        <v>198</v>
      </c>
      <c r="I2" s="75"/>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7"/>
    </row>
    <row r="3" spans="2:77">
      <c r="B3" s="78" t="s">
        <v>215</v>
      </c>
      <c r="G3" s="79" t="s">
        <v>288</v>
      </c>
      <c r="H3" s="80" t="s">
        <v>203</v>
      </c>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2"/>
    </row>
    <row r="4" spans="2:77" ht="78.75">
      <c r="B4" s="83" t="s">
        <v>249</v>
      </c>
      <c r="H4" s="84" t="s">
        <v>79</v>
      </c>
      <c r="I4" s="85" t="s">
        <v>2</v>
      </c>
      <c r="J4" s="85" t="s">
        <v>3</v>
      </c>
      <c r="K4" s="85" t="s">
        <v>4</v>
      </c>
      <c r="L4" s="85" t="s">
        <v>12</v>
      </c>
      <c r="M4" s="85" t="s">
        <v>13</v>
      </c>
      <c r="N4" s="85" t="s">
        <v>14</v>
      </c>
      <c r="O4" s="85" t="s">
        <v>15</v>
      </c>
      <c r="P4" s="85" t="s">
        <v>16</v>
      </c>
      <c r="Q4" s="85" t="s">
        <v>17</v>
      </c>
      <c r="R4" s="85" t="s">
        <v>18</v>
      </c>
      <c r="S4" s="85" t="s">
        <v>19</v>
      </c>
      <c r="T4" s="85" t="s">
        <v>20</v>
      </c>
      <c r="U4" s="85" t="s">
        <v>21</v>
      </c>
      <c r="V4" s="85" t="s">
        <v>22</v>
      </c>
      <c r="W4" s="85" t="s">
        <v>23</v>
      </c>
      <c r="X4" s="85" t="s">
        <v>24</v>
      </c>
      <c r="Y4" s="85" t="s">
        <v>25</v>
      </c>
      <c r="Z4" s="85" t="s">
        <v>26</v>
      </c>
      <c r="AA4" s="85" t="s">
        <v>27</v>
      </c>
      <c r="AB4" s="85" t="s">
        <v>28</v>
      </c>
      <c r="AC4" s="85" t="s">
        <v>29</v>
      </c>
      <c r="AD4" s="85" t="s">
        <v>30</v>
      </c>
      <c r="AE4" s="85" t="s">
        <v>31</v>
      </c>
      <c r="AF4" s="85" t="s">
        <v>32</v>
      </c>
      <c r="AG4" s="85" t="s">
        <v>33</v>
      </c>
      <c r="AH4" s="85" t="s">
        <v>34</v>
      </c>
      <c r="AI4" s="85" t="s">
        <v>35</v>
      </c>
      <c r="AJ4" s="85" t="s">
        <v>36</v>
      </c>
      <c r="AK4" s="85" t="s">
        <v>37</v>
      </c>
      <c r="AL4" s="85" t="s">
        <v>38</v>
      </c>
      <c r="AM4" s="85" t="s">
        <v>39</v>
      </c>
      <c r="AN4" s="85" t="s">
        <v>40</v>
      </c>
      <c r="AO4" s="85" t="s">
        <v>41</v>
      </c>
      <c r="AP4" s="85" t="s">
        <v>42</v>
      </c>
      <c r="AQ4" s="85" t="s">
        <v>43</v>
      </c>
      <c r="AR4" s="85" t="s">
        <v>44</v>
      </c>
      <c r="AS4" s="85" t="s">
        <v>45</v>
      </c>
      <c r="AT4" s="85" t="s">
        <v>46</v>
      </c>
      <c r="AU4" s="85" t="s">
        <v>47</v>
      </c>
      <c r="AV4" s="85" t="s">
        <v>48</v>
      </c>
      <c r="AW4" s="85" t="s">
        <v>49</v>
      </c>
      <c r="AX4" s="85" t="s">
        <v>50</v>
      </c>
      <c r="AY4" s="85" t="s">
        <v>51</v>
      </c>
      <c r="AZ4" s="85" t="s">
        <v>52</v>
      </c>
      <c r="BA4" s="85" t="s">
        <v>53</v>
      </c>
      <c r="BB4" s="85" t="s">
        <v>54</v>
      </c>
      <c r="BC4" s="85" t="s">
        <v>55</v>
      </c>
      <c r="BD4" s="85" t="s">
        <v>56</v>
      </c>
      <c r="BE4" s="85" t="s">
        <v>57</v>
      </c>
      <c r="BF4" s="85" t="s">
        <v>58</v>
      </c>
      <c r="BG4" s="85" t="s">
        <v>59</v>
      </c>
      <c r="BH4" s="85" t="s">
        <v>60</v>
      </c>
      <c r="BI4" s="85" t="s">
        <v>61</v>
      </c>
      <c r="BJ4" s="85" t="s">
        <v>62</v>
      </c>
      <c r="BK4" s="85" t="s">
        <v>63</v>
      </c>
      <c r="BL4" s="85" t="s">
        <v>64</v>
      </c>
      <c r="BM4" s="85" t="s">
        <v>65</v>
      </c>
      <c r="BN4" s="85" t="s">
        <v>66</v>
      </c>
      <c r="BO4" s="85" t="s">
        <v>67</v>
      </c>
      <c r="BP4" s="85" t="s">
        <v>68</v>
      </c>
      <c r="BQ4" s="85" t="s">
        <v>69</v>
      </c>
      <c r="BR4" s="85" t="s">
        <v>70</v>
      </c>
      <c r="BS4" s="85" t="s">
        <v>71</v>
      </c>
      <c r="BT4" s="85" t="s">
        <v>72</v>
      </c>
      <c r="BU4" s="85" t="s">
        <v>73</v>
      </c>
      <c r="BV4" s="85" t="s">
        <v>74</v>
      </c>
      <c r="BW4" s="85" t="s">
        <v>75</v>
      </c>
      <c r="BX4" s="85" t="s">
        <v>76</v>
      </c>
      <c r="BY4" s="86" t="s">
        <v>77</v>
      </c>
    </row>
    <row r="5" spans="2:77">
      <c r="B5" s="83"/>
      <c r="H5" s="87" t="s">
        <v>80</v>
      </c>
      <c r="I5" s="88">
        <v>891083092</v>
      </c>
      <c r="J5" s="88">
        <v>914807077</v>
      </c>
      <c r="K5" s="88">
        <v>989490168</v>
      </c>
      <c r="L5" s="89"/>
      <c r="M5" s="89"/>
      <c r="N5" s="90"/>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91"/>
    </row>
    <row r="6" spans="2:77">
      <c r="H6" s="92" t="s">
        <v>1</v>
      </c>
      <c r="I6" s="93" t="s">
        <v>10</v>
      </c>
      <c r="J6" s="93" t="s">
        <v>10</v>
      </c>
      <c r="K6" s="93" t="s">
        <v>10</v>
      </c>
      <c r="L6" s="93" t="s">
        <v>10</v>
      </c>
      <c r="M6" s="93" t="s">
        <v>10</v>
      </c>
      <c r="N6" s="93" t="s">
        <v>10</v>
      </c>
      <c r="O6" s="93" t="s">
        <v>10</v>
      </c>
      <c r="P6" s="93" t="s">
        <v>10</v>
      </c>
      <c r="Q6" s="93" t="s">
        <v>10</v>
      </c>
      <c r="R6" s="93" t="s">
        <v>10</v>
      </c>
      <c r="S6" s="93" t="s">
        <v>10</v>
      </c>
      <c r="T6" s="93" t="s">
        <v>10</v>
      </c>
      <c r="U6" s="93" t="s">
        <v>10</v>
      </c>
      <c r="V6" s="93" t="s">
        <v>10</v>
      </c>
      <c r="W6" s="93" t="s">
        <v>10</v>
      </c>
      <c r="X6" s="93" t="s">
        <v>10</v>
      </c>
      <c r="Y6" s="93" t="s">
        <v>10</v>
      </c>
      <c r="Z6" s="93" t="s">
        <v>10</v>
      </c>
      <c r="AA6" s="93" t="s">
        <v>10</v>
      </c>
      <c r="AB6" s="93" t="s">
        <v>10</v>
      </c>
      <c r="AC6" s="93" t="s">
        <v>10</v>
      </c>
      <c r="AD6" s="93" t="s">
        <v>10</v>
      </c>
      <c r="AE6" s="93" t="s">
        <v>10</v>
      </c>
      <c r="AF6" s="93" t="s">
        <v>10</v>
      </c>
      <c r="AG6" s="93" t="s">
        <v>10</v>
      </c>
      <c r="AH6" s="93" t="s">
        <v>10</v>
      </c>
      <c r="AI6" s="93" t="s">
        <v>10</v>
      </c>
      <c r="AJ6" s="93" t="s">
        <v>10</v>
      </c>
      <c r="AK6" s="93" t="s">
        <v>10</v>
      </c>
      <c r="AL6" s="93" t="s">
        <v>10</v>
      </c>
      <c r="AM6" s="93" t="s">
        <v>10</v>
      </c>
      <c r="AN6" s="93" t="s">
        <v>10</v>
      </c>
      <c r="AO6" s="93" t="s">
        <v>10</v>
      </c>
      <c r="AP6" s="93" t="s">
        <v>10</v>
      </c>
      <c r="AQ6" s="93" t="s">
        <v>10</v>
      </c>
      <c r="AR6" s="93" t="s">
        <v>10</v>
      </c>
      <c r="AS6" s="93" t="s">
        <v>10</v>
      </c>
      <c r="AT6" s="93" t="s">
        <v>10</v>
      </c>
      <c r="AU6" s="93" t="s">
        <v>10</v>
      </c>
      <c r="AV6" s="93" t="s">
        <v>10</v>
      </c>
      <c r="AW6" s="93" t="s">
        <v>10</v>
      </c>
      <c r="AX6" s="93" t="s">
        <v>10</v>
      </c>
      <c r="AY6" s="93" t="s">
        <v>10</v>
      </c>
      <c r="AZ6" s="93" t="s">
        <v>10</v>
      </c>
      <c r="BA6" s="93" t="s">
        <v>10</v>
      </c>
      <c r="BB6" s="93" t="s">
        <v>10</v>
      </c>
      <c r="BC6" s="93" t="s">
        <v>10</v>
      </c>
      <c r="BD6" s="93" t="s">
        <v>10</v>
      </c>
      <c r="BE6" s="93" t="s">
        <v>10</v>
      </c>
      <c r="BF6" s="93" t="s">
        <v>10</v>
      </c>
      <c r="BG6" s="93" t="s">
        <v>10</v>
      </c>
      <c r="BH6" s="93" t="s">
        <v>10</v>
      </c>
      <c r="BI6" s="93" t="s">
        <v>10</v>
      </c>
      <c r="BJ6" s="93" t="s">
        <v>10</v>
      </c>
      <c r="BK6" s="93" t="s">
        <v>10</v>
      </c>
      <c r="BL6" s="93" t="s">
        <v>10</v>
      </c>
      <c r="BM6" s="93" t="s">
        <v>10</v>
      </c>
      <c r="BN6" s="93" t="s">
        <v>10</v>
      </c>
      <c r="BO6" s="93" t="s">
        <v>10</v>
      </c>
      <c r="BP6" s="93" t="s">
        <v>10</v>
      </c>
      <c r="BQ6" s="93" t="s">
        <v>10</v>
      </c>
      <c r="BR6" s="93" t="s">
        <v>10</v>
      </c>
      <c r="BS6" s="93" t="s">
        <v>10</v>
      </c>
      <c r="BT6" s="93" t="s">
        <v>10</v>
      </c>
      <c r="BU6" s="93" t="s">
        <v>10</v>
      </c>
      <c r="BV6" s="93" t="s">
        <v>10</v>
      </c>
      <c r="BW6" s="93" t="s">
        <v>10</v>
      </c>
      <c r="BX6" s="93" t="s">
        <v>10</v>
      </c>
      <c r="BY6" s="94" t="s">
        <v>10</v>
      </c>
    </row>
    <row r="7" spans="2:77" ht="62.1" customHeight="1">
      <c r="B7" s="74" t="s">
        <v>197</v>
      </c>
      <c r="C7" s="76"/>
      <c r="D7" s="76"/>
      <c r="E7" s="239" t="s">
        <v>264</v>
      </c>
      <c r="F7" s="240"/>
      <c r="G7" s="241"/>
      <c r="H7" s="238" t="s">
        <v>251</v>
      </c>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c r="BD7" s="223"/>
      <c r="BE7" s="223"/>
      <c r="BF7" s="223"/>
      <c r="BG7" s="223"/>
      <c r="BH7" s="223"/>
      <c r="BI7" s="223"/>
      <c r="BJ7" s="223"/>
      <c r="BK7" s="223"/>
      <c r="BL7" s="223"/>
      <c r="BM7" s="223"/>
      <c r="BN7" s="223"/>
      <c r="BO7" s="223"/>
      <c r="BP7" s="223"/>
      <c r="BQ7" s="223"/>
      <c r="BR7" s="223"/>
      <c r="BS7" s="223"/>
      <c r="BT7" s="223"/>
      <c r="BU7" s="223"/>
      <c r="BV7" s="223"/>
      <c r="BW7" s="223"/>
      <c r="BX7" s="223"/>
      <c r="BY7" s="223"/>
    </row>
    <row r="8" spans="2:77" ht="57.75" customHeight="1">
      <c r="B8" s="232" t="s">
        <v>206</v>
      </c>
      <c r="C8" s="233"/>
      <c r="D8" s="234"/>
      <c r="E8" s="232" t="s">
        <v>252</v>
      </c>
      <c r="F8" s="233"/>
      <c r="G8" s="234"/>
      <c r="H8" s="224" t="s">
        <v>207</v>
      </c>
      <c r="I8" s="196"/>
      <c r="J8" s="196"/>
      <c r="K8" s="196"/>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c r="BF8" s="196"/>
      <c r="BG8" s="196"/>
      <c r="BH8" s="196"/>
      <c r="BI8" s="196"/>
      <c r="BJ8" s="196"/>
      <c r="BK8" s="196"/>
      <c r="BL8" s="196"/>
      <c r="BM8" s="196"/>
      <c r="BN8" s="196"/>
      <c r="BO8" s="196"/>
      <c r="BP8" s="196"/>
      <c r="BQ8" s="196"/>
      <c r="BR8" s="196"/>
      <c r="BS8" s="196"/>
      <c r="BT8" s="196"/>
      <c r="BU8" s="196"/>
      <c r="BV8" s="196"/>
      <c r="BW8" s="196"/>
      <c r="BX8" s="196"/>
      <c r="BY8" s="196"/>
    </row>
    <row r="9" spans="2:77">
      <c r="B9" s="95" t="s">
        <v>194</v>
      </c>
      <c r="C9" s="96"/>
      <c r="D9" s="13" t="s">
        <v>111</v>
      </c>
      <c r="E9" s="14" t="s">
        <v>11</v>
      </c>
      <c r="F9" s="13" t="s">
        <v>239</v>
      </c>
      <c r="G9" s="13" t="s">
        <v>247</v>
      </c>
      <c r="H9" s="97" t="s">
        <v>78</v>
      </c>
      <c r="I9" s="98">
        <f t="shared" ref="I9:N9" si="0">SUM(I11:I54)</f>
        <v>-22762</v>
      </c>
      <c r="J9" s="98">
        <f t="shared" si="0"/>
        <v>10341612</v>
      </c>
      <c r="K9" s="98">
        <f t="shared" si="0"/>
        <v>-18710</v>
      </c>
      <c r="L9" s="98">
        <f t="shared" si="0"/>
        <v>4779</v>
      </c>
      <c r="M9" s="98">
        <f t="shared" si="0"/>
        <v>-589625</v>
      </c>
      <c r="N9" s="98">
        <f t="shared" si="0"/>
        <v>33305</v>
      </c>
      <c r="O9" s="98">
        <f t="shared" ref="O9:BY9" si="1">SUM(O11:O54)</f>
        <v>-38891</v>
      </c>
      <c r="P9" s="98">
        <f t="shared" si="1"/>
        <v>-47810</v>
      </c>
      <c r="Q9" s="98">
        <f t="shared" si="1"/>
        <v>1852737</v>
      </c>
      <c r="R9" s="98">
        <f t="shared" si="1"/>
        <v>187192.58</v>
      </c>
      <c r="S9" s="98">
        <f t="shared" si="1"/>
        <v>-122270.41</v>
      </c>
      <c r="T9" s="98">
        <f t="shared" si="1"/>
        <v>15436034</v>
      </c>
      <c r="U9" s="98">
        <f t="shared" si="1"/>
        <v>176068</v>
      </c>
      <c r="V9" s="98">
        <f t="shared" si="1"/>
        <v>-77620</v>
      </c>
      <c r="W9" s="98">
        <f t="shared" si="1"/>
        <v>-1429916.44</v>
      </c>
      <c r="X9" s="98">
        <f t="shared" si="1"/>
        <v>2642755</v>
      </c>
      <c r="Y9" s="98">
        <f t="shared" si="1"/>
        <v>-7985</v>
      </c>
      <c r="Z9" s="98">
        <f t="shared" si="1"/>
        <v>-365272</v>
      </c>
      <c r="AA9" s="98">
        <f t="shared" si="1"/>
        <v>-137362</v>
      </c>
      <c r="AB9" s="98">
        <f t="shared" si="1"/>
        <v>9264035</v>
      </c>
      <c r="AC9" s="98">
        <f t="shared" si="1"/>
        <v>0</v>
      </c>
      <c r="AD9" s="98">
        <f t="shared" si="1"/>
        <v>1179842</v>
      </c>
      <c r="AE9" s="98">
        <f t="shared" si="1"/>
        <v>-14519</v>
      </c>
      <c r="AF9" s="98">
        <f t="shared" si="1"/>
        <v>32517725</v>
      </c>
      <c r="AG9" s="98">
        <f t="shared" si="1"/>
        <v>157583</v>
      </c>
      <c r="AH9" s="98">
        <f t="shared" si="1"/>
        <v>-84686</v>
      </c>
      <c r="AI9" s="98">
        <f t="shared" si="1"/>
        <v>-379675</v>
      </c>
      <c r="AJ9" s="98">
        <f t="shared" si="1"/>
        <v>2707073</v>
      </c>
      <c r="AK9" s="98">
        <f t="shared" si="1"/>
        <v>-12791</v>
      </c>
      <c r="AL9" s="98">
        <f t="shared" si="1"/>
        <v>1437624</v>
      </c>
      <c r="AM9" s="98">
        <f t="shared" si="1"/>
        <v>487678</v>
      </c>
      <c r="AN9" s="98">
        <f t="shared" si="1"/>
        <v>-50878</v>
      </c>
      <c r="AO9" s="98">
        <f t="shared" si="1"/>
        <v>0</v>
      </c>
      <c r="AP9" s="98">
        <f t="shared" si="1"/>
        <v>2323280</v>
      </c>
      <c r="AQ9" s="98">
        <f t="shared" si="1"/>
        <v>-707208</v>
      </c>
      <c r="AR9" s="98">
        <f t="shared" si="1"/>
        <v>13689053</v>
      </c>
      <c r="AS9" s="98">
        <f t="shared" si="1"/>
        <v>-268927</v>
      </c>
      <c r="AT9" s="98">
        <f t="shared" si="1"/>
        <v>569316.17000000004</v>
      </c>
      <c r="AU9" s="98">
        <f t="shared" si="1"/>
        <v>2</v>
      </c>
      <c r="AV9" s="98">
        <f t="shared" si="1"/>
        <v>311</v>
      </c>
      <c r="AW9" s="98">
        <f t="shared" si="1"/>
        <v>228751</v>
      </c>
      <c r="AX9" s="98">
        <f t="shared" si="1"/>
        <v>-26715</v>
      </c>
      <c r="AY9" s="98">
        <f t="shared" si="1"/>
        <v>-539013</v>
      </c>
      <c r="AZ9" s="98">
        <f t="shared" si="1"/>
        <v>-524337</v>
      </c>
      <c r="BA9" s="98">
        <f t="shared" si="1"/>
        <v>-646001</v>
      </c>
      <c r="BB9" s="98">
        <f t="shared" si="1"/>
        <v>146929996</v>
      </c>
      <c r="BC9" s="98">
        <f t="shared" si="1"/>
        <v>-11919</v>
      </c>
      <c r="BD9" s="98">
        <f t="shared" si="1"/>
        <v>-230237</v>
      </c>
      <c r="BE9" s="98">
        <f t="shared" si="1"/>
        <v>-328388</v>
      </c>
      <c r="BF9" s="98">
        <f t="shared" si="1"/>
        <v>4854</v>
      </c>
      <c r="BG9" s="98">
        <f t="shared" si="1"/>
        <v>-229425</v>
      </c>
      <c r="BH9" s="98">
        <f t="shared" si="1"/>
        <v>0</v>
      </c>
      <c r="BI9" s="98">
        <f t="shared" si="1"/>
        <v>-518272.41</v>
      </c>
      <c r="BJ9" s="98">
        <f t="shared" si="1"/>
        <v>916705.57</v>
      </c>
      <c r="BK9" s="98">
        <f t="shared" si="1"/>
        <v>869556</v>
      </c>
      <c r="BL9" s="98">
        <f t="shared" si="1"/>
        <v>-113336</v>
      </c>
      <c r="BM9" s="98">
        <f t="shared" si="1"/>
        <v>-156575.28</v>
      </c>
      <c r="BN9" s="98">
        <f t="shared" si="1"/>
        <v>3097146</v>
      </c>
      <c r="BO9" s="98">
        <f t="shared" si="1"/>
        <v>128248457</v>
      </c>
      <c r="BP9" s="98">
        <f t="shared" si="1"/>
        <v>-13773</v>
      </c>
      <c r="BQ9" s="98">
        <f t="shared" si="1"/>
        <v>-354802</v>
      </c>
      <c r="BR9" s="98">
        <f t="shared" si="1"/>
        <v>-191267</v>
      </c>
      <c r="BS9" s="98">
        <f t="shared" si="1"/>
        <v>403140</v>
      </c>
      <c r="BT9" s="98">
        <f t="shared" si="1"/>
        <v>27646632</v>
      </c>
      <c r="BU9" s="98">
        <f t="shared" si="1"/>
        <v>-79993</v>
      </c>
      <c r="BV9" s="98">
        <f t="shared" si="1"/>
        <v>-464900</v>
      </c>
      <c r="BW9" s="98">
        <f t="shared" si="1"/>
        <v>-108028</v>
      </c>
      <c r="BX9" s="98">
        <f t="shared" si="1"/>
        <v>-252258.15000000002</v>
      </c>
      <c r="BY9" s="98">
        <f t="shared" si="1"/>
        <v>-662887</v>
      </c>
    </row>
    <row r="10" spans="2:77">
      <c r="B10" s="99" t="s">
        <v>118</v>
      </c>
      <c r="C10" s="100" t="s">
        <v>119</v>
      </c>
      <c r="D10" s="3"/>
      <c r="E10" s="16"/>
      <c r="F10" s="24"/>
      <c r="G10" s="25"/>
      <c r="H10" s="15">
        <f t="shared" ref="H10:H53" si="2">SUM(I10:BY10)</f>
        <v>0</v>
      </c>
    </row>
    <row r="11" spans="2:77">
      <c r="B11" s="101" t="s">
        <v>120</v>
      </c>
      <c r="C11" s="102" t="s">
        <v>121</v>
      </c>
      <c r="D11" s="2"/>
      <c r="E11" s="16"/>
      <c r="F11" s="21"/>
      <c r="G11" s="25"/>
      <c r="H11" s="15">
        <f t="shared" si="2"/>
        <v>0</v>
      </c>
    </row>
    <row r="12" spans="2:77">
      <c r="B12" s="103" t="s">
        <v>122</v>
      </c>
      <c r="C12" s="1" t="s">
        <v>123</v>
      </c>
      <c r="D12" s="12" t="s">
        <v>7</v>
      </c>
      <c r="E12" s="16" t="s">
        <v>293</v>
      </c>
      <c r="F12" s="21" t="s">
        <v>240</v>
      </c>
      <c r="G12" s="25"/>
      <c r="H12" s="15">
        <f t="shared" si="2"/>
        <v>0</v>
      </c>
    </row>
    <row r="13" spans="2:77">
      <c r="B13" s="103" t="s">
        <v>124</v>
      </c>
      <c r="C13" s="1" t="s">
        <v>125</v>
      </c>
      <c r="D13" s="12" t="s">
        <v>7</v>
      </c>
      <c r="E13" s="16" t="s">
        <v>294</v>
      </c>
      <c r="F13" s="21" t="s">
        <v>240</v>
      </c>
      <c r="G13" s="25">
        <v>228670845.63</v>
      </c>
      <c r="H13" s="15">
        <f>SUM(I13:BY13)</f>
        <v>228670845.63</v>
      </c>
      <c r="I13" s="71">
        <v>-22762</v>
      </c>
      <c r="J13" s="71">
        <v>10281480</v>
      </c>
      <c r="K13" s="71">
        <v>-18710</v>
      </c>
      <c r="L13" s="71">
        <v>4779</v>
      </c>
      <c r="M13" s="71">
        <v>-652825</v>
      </c>
      <c r="N13" s="71">
        <v>-101407</v>
      </c>
      <c r="O13" s="71">
        <v>-38891</v>
      </c>
      <c r="P13" s="71">
        <v>-47810</v>
      </c>
      <c r="Q13" s="71">
        <v>1786015</v>
      </c>
      <c r="R13" s="71">
        <v>187192.58</v>
      </c>
      <c r="S13" s="71">
        <v>-122270.41</v>
      </c>
      <c r="T13" s="71">
        <v>15145455</v>
      </c>
      <c r="U13" s="71">
        <v>176068</v>
      </c>
      <c r="V13" s="71">
        <v>-77620</v>
      </c>
      <c r="W13" s="71">
        <v>-1467636.44</v>
      </c>
      <c r="X13" s="71">
        <v>2625595</v>
      </c>
      <c r="Y13" s="71">
        <v>-7985</v>
      </c>
      <c r="Z13" s="71">
        <v>-370914</v>
      </c>
      <c r="AA13" s="71">
        <v>-137362</v>
      </c>
      <c r="AB13" s="71">
        <v>9212315</v>
      </c>
      <c r="AC13" s="71">
        <v>0</v>
      </c>
      <c r="AD13" s="71">
        <v>1179842</v>
      </c>
      <c r="AE13" s="71">
        <v>-14519</v>
      </c>
      <c r="AF13" s="71">
        <v>32463676</v>
      </c>
      <c r="AG13" s="71">
        <v>157583</v>
      </c>
      <c r="AH13" s="71">
        <v>-84686</v>
      </c>
      <c r="AI13" s="71">
        <v>-379675</v>
      </c>
      <c r="AJ13" s="71">
        <v>2677933</v>
      </c>
      <c r="AK13" s="71">
        <v>-10391</v>
      </c>
      <c r="AL13" s="71">
        <v>1437624</v>
      </c>
      <c r="AM13" s="71">
        <v>487678</v>
      </c>
      <c r="AN13" s="71">
        <v>-50878</v>
      </c>
      <c r="AO13" s="71">
        <v>0</v>
      </c>
      <c r="AP13" s="71">
        <v>2247582</v>
      </c>
      <c r="AQ13" s="71">
        <v>-707103</v>
      </c>
      <c r="AR13" s="71">
        <v>13617787</v>
      </c>
      <c r="AS13" s="71">
        <v>-268927</v>
      </c>
      <c r="AT13" s="71">
        <v>569316.17000000004</v>
      </c>
      <c r="AU13" s="71">
        <v>2</v>
      </c>
      <c r="AV13" s="71">
        <v>311</v>
      </c>
      <c r="AW13" s="71">
        <v>228751</v>
      </c>
      <c r="AX13" s="71">
        <v>-26715</v>
      </c>
      <c r="AY13" s="71">
        <v>-540156</v>
      </c>
      <c r="AZ13" s="71">
        <v>-524337</v>
      </c>
      <c r="BA13" s="71">
        <v>-646001</v>
      </c>
      <c r="BB13" s="71">
        <v>0</v>
      </c>
      <c r="BC13" s="71">
        <v>-11919</v>
      </c>
      <c r="BD13" s="71">
        <v>-230237</v>
      </c>
      <c r="BE13" s="71">
        <v>-328641</v>
      </c>
      <c r="BF13" s="71">
        <v>4854</v>
      </c>
      <c r="BG13" s="71">
        <v>-229425</v>
      </c>
      <c r="BH13" s="71">
        <v>0</v>
      </c>
      <c r="BI13" s="71">
        <v>-518272.41</v>
      </c>
      <c r="BJ13" s="71">
        <v>809615.57</v>
      </c>
      <c r="BK13" s="71">
        <v>869556</v>
      </c>
      <c r="BL13" s="71">
        <v>-113336</v>
      </c>
      <c r="BM13" s="71">
        <v>-156575.28</v>
      </c>
      <c r="BN13" s="71">
        <v>3097146</v>
      </c>
      <c r="BO13" s="71">
        <v>111686465</v>
      </c>
      <c r="BP13" s="71">
        <v>-13773</v>
      </c>
      <c r="BQ13" s="71">
        <v>-410584</v>
      </c>
      <c r="BR13" s="71">
        <v>-191267</v>
      </c>
      <c r="BS13" s="71">
        <v>321288</v>
      </c>
      <c r="BT13" s="71">
        <v>27570912</v>
      </c>
      <c r="BU13" s="71">
        <v>-79993</v>
      </c>
      <c r="BV13" s="71">
        <v>-464900</v>
      </c>
      <c r="BW13" s="71">
        <v>-108028</v>
      </c>
      <c r="BX13" s="71">
        <v>-281178.15000000002</v>
      </c>
      <c r="BY13" s="71">
        <v>-718266</v>
      </c>
    </row>
    <row r="14" spans="2:77">
      <c r="B14" s="103" t="s">
        <v>126</v>
      </c>
      <c r="C14" s="1" t="s">
        <v>127</v>
      </c>
      <c r="D14" s="12" t="s">
        <v>5</v>
      </c>
      <c r="E14" s="16"/>
      <c r="F14" s="21"/>
      <c r="G14" s="25"/>
      <c r="H14" s="15">
        <f t="shared" si="2"/>
        <v>0</v>
      </c>
    </row>
    <row r="15" spans="2:77">
      <c r="B15" s="103" t="s">
        <v>128</v>
      </c>
      <c r="C15" s="1" t="s">
        <v>129</v>
      </c>
      <c r="D15" s="12" t="s">
        <v>6</v>
      </c>
      <c r="E15" s="16"/>
      <c r="F15" s="21"/>
      <c r="G15" s="25"/>
      <c r="H15" s="15">
        <f t="shared" si="2"/>
        <v>0</v>
      </c>
    </row>
    <row r="16" spans="2:77">
      <c r="B16" s="104" t="s">
        <v>130</v>
      </c>
      <c r="C16" s="102" t="s">
        <v>131</v>
      </c>
      <c r="D16" s="2"/>
      <c r="E16" s="16"/>
      <c r="F16" s="21"/>
      <c r="G16" s="25"/>
      <c r="H16" s="15">
        <f t="shared" si="2"/>
        <v>0</v>
      </c>
    </row>
    <row r="17" spans="2:77">
      <c r="B17" s="103" t="s">
        <v>132</v>
      </c>
      <c r="C17" s="1" t="s">
        <v>133</v>
      </c>
      <c r="D17" s="12" t="s">
        <v>6</v>
      </c>
      <c r="E17" s="16"/>
      <c r="F17" s="21"/>
      <c r="G17" s="25"/>
      <c r="H17" s="15">
        <f t="shared" si="2"/>
        <v>0</v>
      </c>
    </row>
    <row r="18" spans="2:77">
      <c r="B18" s="103" t="s">
        <v>134</v>
      </c>
      <c r="C18" s="1" t="s">
        <v>135</v>
      </c>
      <c r="D18" s="12" t="s">
        <v>6</v>
      </c>
      <c r="E18" s="16"/>
      <c r="F18" s="21"/>
      <c r="G18" s="25"/>
      <c r="H18" s="15">
        <f t="shared" si="2"/>
        <v>0</v>
      </c>
    </row>
    <row r="19" spans="2:77">
      <c r="B19" s="103" t="s">
        <v>136</v>
      </c>
      <c r="C19" s="1" t="s">
        <v>137</v>
      </c>
      <c r="D19" s="12" t="s">
        <v>6</v>
      </c>
      <c r="E19" s="16"/>
      <c r="F19" s="21"/>
      <c r="G19" s="25"/>
      <c r="H19" s="15">
        <f t="shared" si="2"/>
        <v>0</v>
      </c>
    </row>
    <row r="20" spans="2:77">
      <c r="B20" s="104" t="s">
        <v>138</v>
      </c>
      <c r="C20" s="102" t="s">
        <v>139</v>
      </c>
      <c r="D20" s="3"/>
      <c r="E20" s="16"/>
      <c r="F20" s="21"/>
      <c r="G20" s="25"/>
      <c r="H20" s="15">
        <f t="shared" si="2"/>
        <v>0</v>
      </c>
    </row>
    <row r="21" spans="2:77">
      <c r="B21" s="103" t="s">
        <v>140</v>
      </c>
      <c r="C21" s="1" t="s">
        <v>141</v>
      </c>
      <c r="D21" s="12" t="s">
        <v>7</v>
      </c>
      <c r="E21" s="16" t="s">
        <v>245</v>
      </c>
      <c r="F21" s="21" t="s">
        <v>241</v>
      </c>
      <c r="G21" s="25">
        <v>1781115</v>
      </c>
      <c r="H21" s="15">
        <f t="shared" si="2"/>
        <v>1781115</v>
      </c>
      <c r="J21" s="71">
        <v>34860</v>
      </c>
      <c r="M21" s="71">
        <v>61499</v>
      </c>
      <c r="N21" s="71">
        <v>62064</v>
      </c>
      <c r="Q21" s="71">
        <v>66722</v>
      </c>
      <c r="T21" s="71">
        <v>63687</v>
      </c>
      <c r="W21" s="71">
        <v>37720</v>
      </c>
      <c r="X21" s="71">
        <v>17160</v>
      </c>
      <c r="Z21" s="71">
        <v>5642</v>
      </c>
      <c r="AB21" s="71">
        <v>51720</v>
      </c>
      <c r="AF21" s="71">
        <v>8720</v>
      </c>
      <c r="AJ21" s="71">
        <v>9240</v>
      </c>
      <c r="AK21" s="71">
        <v>-2400</v>
      </c>
      <c r="AP21" s="71">
        <v>75698</v>
      </c>
      <c r="AQ21" s="71">
        <v>-1740</v>
      </c>
      <c r="AR21" s="71">
        <v>36546</v>
      </c>
      <c r="BJ21" s="71">
        <v>107090</v>
      </c>
      <c r="BO21" s="71">
        <v>877497</v>
      </c>
      <c r="BQ21" s="71">
        <v>55782</v>
      </c>
      <c r="BS21" s="71">
        <v>59874</v>
      </c>
      <c r="BT21" s="71">
        <v>75720</v>
      </c>
      <c r="BX21" s="71">
        <v>28920</v>
      </c>
      <c r="BY21" s="71">
        <v>49094</v>
      </c>
    </row>
    <row r="22" spans="2:77">
      <c r="B22" s="103" t="s">
        <v>142</v>
      </c>
      <c r="C22" s="1" t="s">
        <v>143</v>
      </c>
      <c r="D22" s="12" t="s">
        <v>7</v>
      </c>
      <c r="E22" s="16" t="s">
        <v>244</v>
      </c>
      <c r="F22" s="21" t="s">
        <v>241</v>
      </c>
      <c r="G22" s="25">
        <v>2251322</v>
      </c>
      <c r="H22" s="15">
        <f t="shared" si="2"/>
        <v>2251322</v>
      </c>
      <c r="I22" s="105"/>
      <c r="J22" s="105">
        <v>26460</v>
      </c>
      <c r="K22" s="105"/>
      <c r="L22" s="105"/>
      <c r="M22" s="105"/>
      <c r="N22" s="105">
        <v>72648</v>
      </c>
      <c r="O22" s="105"/>
      <c r="P22" s="105"/>
      <c r="Q22" s="105"/>
      <c r="R22" s="105"/>
      <c r="S22" s="105"/>
      <c r="T22" s="105">
        <v>226892</v>
      </c>
      <c r="U22" s="105"/>
      <c r="V22" s="105"/>
      <c r="W22" s="105"/>
      <c r="X22" s="105"/>
      <c r="Y22" s="105"/>
      <c r="Z22" s="105"/>
      <c r="AA22" s="105"/>
      <c r="AB22" s="105"/>
      <c r="AC22" s="105"/>
      <c r="AD22" s="105"/>
      <c r="AE22" s="105"/>
      <c r="AF22" s="105">
        <v>45329</v>
      </c>
      <c r="AG22" s="105"/>
      <c r="AH22" s="105"/>
      <c r="AI22" s="105"/>
      <c r="AJ22" s="105">
        <v>19900</v>
      </c>
      <c r="AK22" s="105"/>
      <c r="AL22" s="105"/>
      <c r="AM22" s="105"/>
      <c r="AN22" s="105"/>
      <c r="AO22" s="105"/>
      <c r="AP22" s="105"/>
      <c r="AQ22" s="105"/>
      <c r="AR22" s="105">
        <v>34720</v>
      </c>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v>1797495</v>
      </c>
      <c r="BP22" s="105"/>
      <c r="BQ22" s="105"/>
      <c r="BR22" s="105"/>
      <c r="BS22" s="105">
        <v>21978</v>
      </c>
      <c r="BT22" s="105"/>
      <c r="BU22" s="105"/>
      <c r="BV22" s="105"/>
      <c r="BW22" s="105"/>
      <c r="BX22" s="105"/>
      <c r="BY22" s="105">
        <v>5900</v>
      </c>
    </row>
    <row r="23" spans="2:77">
      <c r="B23" s="103" t="s">
        <v>142</v>
      </c>
      <c r="C23" s="1" t="s">
        <v>143</v>
      </c>
      <c r="D23" s="12" t="s">
        <v>7</v>
      </c>
      <c r="E23" s="16" t="s">
        <v>243</v>
      </c>
      <c r="F23" s="1" t="s">
        <v>242</v>
      </c>
      <c r="G23" s="26">
        <v>3929</v>
      </c>
      <c r="H23" s="15">
        <f t="shared" si="2"/>
        <v>3929</v>
      </c>
      <c r="I23" s="105"/>
      <c r="J23" s="105">
        <v>-1188</v>
      </c>
      <c r="K23" s="105"/>
      <c r="L23" s="105"/>
      <c r="M23" s="105">
        <v>1701</v>
      </c>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v>1635</v>
      </c>
      <c r="AR23" s="105"/>
      <c r="AS23" s="105"/>
      <c r="AT23" s="105"/>
      <c r="AU23" s="105"/>
      <c r="AV23" s="105"/>
      <c r="AW23" s="105"/>
      <c r="AX23" s="105"/>
      <c r="AY23" s="105">
        <v>1143</v>
      </c>
      <c r="AZ23" s="105"/>
      <c r="BA23" s="105"/>
      <c r="BB23" s="105"/>
      <c r="BC23" s="105"/>
      <c r="BD23" s="105"/>
      <c r="BE23" s="105">
        <v>253</v>
      </c>
      <c r="BF23" s="105"/>
      <c r="BG23" s="105"/>
      <c r="BH23" s="105"/>
      <c r="BI23" s="105"/>
      <c r="BJ23" s="105"/>
      <c r="BK23" s="105"/>
      <c r="BL23" s="105"/>
      <c r="BM23" s="105"/>
      <c r="BN23" s="105"/>
      <c r="BO23" s="105"/>
      <c r="BP23" s="105"/>
      <c r="BQ23" s="105"/>
      <c r="BR23" s="105"/>
      <c r="BS23" s="105"/>
      <c r="BT23" s="105"/>
      <c r="BU23" s="105"/>
      <c r="BV23" s="105"/>
      <c r="BW23" s="105"/>
      <c r="BX23" s="105"/>
      <c r="BY23" s="105">
        <v>385</v>
      </c>
    </row>
    <row r="24" spans="2:77">
      <c r="B24" s="103" t="s">
        <v>144</v>
      </c>
      <c r="C24" s="1" t="s">
        <v>145</v>
      </c>
      <c r="D24" s="12" t="s">
        <v>6</v>
      </c>
      <c r="E24" s="16"/>
      <c r="F24" s="21"/>
      <c r="G24" s="25"/>
      <c r="H24" s="15">
        <f t="shared" si="2"/>
        <v>0</v>
      </c>
    </row>
    <row r="25" spans="2:77">
      <c r="B25" s="101" t="s">
        <v>146</v>
      </c>
      <c r="C25" s="102" t="s">
        <v>147</v>
      </c>
      <c r="D25" s="3"/>
      <c r="E25" s="16"/>
      <c r="F25" s="21"/>
      <c r="G25" s="25"/>
      <c r="H25" s="15">
        <f t="shared" si="2"/>
        <v>0</v>
      </c>
    </row>
    <row r="26" spans="2:77">
      <c r="B26" s="103" t="s">
        <v>148</v>
      </c>
      <c r="C26" s="1" t="s">
        <v>149</v>
      </c>
      <c r="D26" s="12" t="s">
        <v>6</v>
      </c>
      <c r="E26" s="16"/>
      <c r="F26" s="21"/>
      <c r="G26" s="25"/>
      <c r="H26" s="15">
        <f t="shared" si="2"/>
        <v>0</v>
      </c>
    </row>
    <row r="27" spans="2:77">
      <c r="B27" s="103" t="s">
        <v>150</v>
      </c>
      <c r="C27" s="1" t="s">
        <v>151</v>
      </c>
      <c r="D27" s="12" t="s">
        <v>6</v>
      </c>
      <c r="E27" s="16"/>
      <c r="F27" s="21"/>
      <c r="G27" s="25"/>
      <c r="H27" s="15">
        <f t="shared" si="2"/>
        <v>0</v>
      </c>
    </row>
    <row r="28" spans="2:77">
      <c r="B28" s="103" t="s">
        <v>152</v>
      </c>
      <c r="C28" s="1" t="s">
        <v>153</v>
      </c>
      <c r="D28" s="19" t="s">
        <v>6</v>
      </c>
      <c r="E28" s="16"/>
      <c r="F28" s="21"/>
      <c r="G28" s="25"/>
      <c r="H28" s="15">
        <f t="shared" si="2"/>
        <v>0</v>
      </c>
    </row>
    <row r="29" spans="2:77">
      <c r="B29" s="103" t="s">
        <v>154</v>
      </c>
      <c r="C29" s="1" t="s">
        <v>155</v>
      </c>
      <c r="D29" s="12" t="s">
        <v>6</v>
      </c>
      <c r="E29" s="16"/>
      <c r="F29" s="21"/>
      <c r="G29" s="25"/>
      <c r="H29" s="15">
        <f t="shared" si="2"/>
        <v>0</v>
      </c>
    </row>
    <row r="30" spans="2:77">
      <c r="B30" s="106"/>
      <c r="C30" s="1"/>
      <c r="D30" s="3"/>
      <c r="E30" s="16"/>
      <c r="F30" s="21"/>
      <c r="G30" s="25"/>
      <c r="H30" s="15">
        <f t="shared" si="2"/>
        <v>0</v>
      </c>
    </row>
    <row r="31" spans="2:77">
      <c r="B31" s="107" t="s">
        <v>156</v>
      </c>
      <c r="C31" s="100" t="s">
        <v>157</v>
      </c>
      <c r="D31" s="2"/>
      <c r="E31" s="16"/>
      <c r="F31" s="21"/>
      <c r="G31" s="25"/>
      <c r="H31" s="15">
        <f t="shared" si="2"/>
        <v>0</v>
      </c>
    </row>
    <row r="32" spans="2:77">
      <c r="B32" s="103" t="s">
        <v>158</v>
      </c>
      <c r="C32" s="1" t="s">
        <v>159</v>
      </c>
      <c r="D32" s="12" t="s">
        <v>5</v>
      </c>
      <c r="E32" s="16"/>
      <c r="F32" s="21"/>
      <c r="G32" s="25"/>
      <c r="H32" s="15">
        <f t="shared" si="2"/>
        <v>0</v>
      </c>
    </row>
    <row r="33" spans="2:77">
      <c r="B33" s="106"/>
      <c r="C33" s="108"/>
      <c r="D33" s="3"/>
      <c r="E33" s="16"/>
      <c r="F33" s="21"/>
      <c r="G33" s="25"/>
      <c r="H33" s="15">
        <f t="shared" si="2"/>
        <v>0</v>
      </c>
    </row>
    <row r="34" spans="2:77">
      <c r="B34" s="107" t="s">
        <v>160</v>
      </c>
      <c r="C34" s="100" t="s">
        <v>0</v>
      </c>
      <c r="D34" s="3"/>
      <c r="E34" s="16"/>
      <c r="F34" s="21"/>
      <c r="G34" s="25"/>
      <c r="H34" s="15">
        <f t="shared" si="2"/>
        <v>0</v>
      </c>
    </row>
    <row r="35" spans="2:77">
      <c r="B35" s="104" t="s">
        <v>161</v>
      </c>
      <c r="C35" s="102" t="s">
        <v>162</v>
      </c>
      <c r="D35" s="3"/>
      <c r="E35" s="16"/>
      <c r="F35" s="21"/>
      <c r="G35" s="25"/>
      <c r="H35" s="15">
        <f t="shared" si="2"/>
        <v>0</v>
      </c>
    </row>
    <row r="36" spans="2:77">
      <c r="B36" s="104" t="s">
        <v>163</v>
      </c>
      <c r="C36" s="102" t="s">
        <v>164</v>
      </c>
      <c r="D36" s="3"/>
      <c r="E36" s="16"/>
      <c r="F36" s="21"/>
      <c r="G36" s="25"/>
      <c r="H36" s="15">
        <f t="shared" si="2"/>
        <v>0</v>
      </c>
    </row>
    <row r="37" spans="2:77">
      <c r="B37" s="103" t="s">
        <v>165</v>
      </c>
      <c r="C37" s="1" t="s">
        <v>166</v>
      </c>
      <c r="D37" s="12" t="s">
        <v>6</v>
      </c>
      <c r="E37" s="16"/>
      <c r="F37" s="21"/>
      <c r="G37" s="25"/>
      <c r="H37" s="15">
        <f t="shared" si="2"/>
        <v>0</v>
      </c>
    </row>
    <row r="38" spans="2:77">
      <c r="B38" s="103" t="s">
        <v>167</v>
      </c>
      <c r="C38" s="1" t="s">
        <v>168</v>
      </c>
      <c r="D38" s="12" t="s">
        <v>7</v>
      </c>
      <c r="E38" s="5" t="s">
        <v>9</v>
      </c>
      <c r="F38" s="1" t="s">
        <v>112</v>
      </c>
      <c r="G38" s="26">
        <v>13887000</v>
      </c>
      <c r="H38" s="15">
        <f t="shared" si="2"/>
        <v>13887000</v>
      </c>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v>13887000</v>
      </c>
      <c r="BP38" s="105"/>
      <c r="BQ38" s="105"/>
      <c r="BR38" s="105"/>
      <c r="BS38" s="105"/>
      <c r="BT38" s="105"/>
      <c r="BU38" s="105"/>
      <c r="BV38" s="105"/>
      <c r="BW38" s="105"/>
      <c r="BX38" s="105"/>
      <c r="BY38" s="105"/>
    </row>
    <row r="39" spans="2:77">
      <c r="B39" s="103" t="s">
        <v>169</v>
      </c>
      <c r="C39" s="1" t="s">
        <v>170</v>
      </c>
      <c r="D39" s="12" t="s">
        <v>7</v>
      </c>
      <c r="E39" s="5" t="s">
        <v>8</v>
      </c>
      <c r="F39" s="1" t="s">
        <v>112</v>
      </c>
      <c r="G39" s="26">
        <v>146929996</v>
      </c>
      <c r="H39" s="15">
        <f t="shared" si="2"/>
        <v>146929996</v>
      </c>
      <c r="BB39" s="71">
        <v>146929996</v>
      </c>
    </row>
    <row r="40" spans="2:77">
      <c r="B40" s="104" t="s">
        <v>171</v>
      </c>
      <c r="C40" s="102" t="s">
        <v>172</v>
      </c>
      <c r="D40" s="2"/>
      <c r="E40" s="16"/>
      <c r="F40" s="21"/>
      <c r="G40" s="25"/>
      <c r="H40" s="15">
        <f t="shared" si="2"/>
        <v>0</v>
      </c>
    </row>
    <row r="41" spans="2:77">
      <c r="B41" s="103" t="s">
        <v>173</v>
      </c>
      <c r="C41" s="1" t="s">
        <v>174</v>
      </c>
      <c r="D41" s="12" t="s">
        <v>6</v>
      </c>
      <c r="E41" s="16"/>
      <c r="F41" s="21"/>
      <c r="G41" s="25"/>
      <c r="H41" s="15">
        <f t="shared" si="2"/>
        <v>0</v>
      </c>
    </row>
    <row r="42" spans="2:77">
      <c r="B42" s="103" t="s">
        <v>175</v>
      </c>
      <c r="C42" s="1" t="s">
        <v>176</v>
      </c>
      <c r="D42" s="12" t="s">
        <v>6</v>
      </c>
      <c r="E42" s="16"/>
      <c r="F42" s="21"/>
      <c r="G42" s="25"/>
      <c r="H42" s="15">
        <f t="shared" si="2"/>
        <v>0</v>
      </c>
    </row>
    <row r="43" spans="2:77">
      <c r="B43" s="104" t="s">
        <v>171</v>
      </c>
      <c r="C43" s="102" t="s">
        <v>177</v>
      </c>
      <c r="D43" s="2"/>
      <c r="E43" s="16"/>
      <c r="F43" s="21"/>
      <c r="G43" s="25"/>
      <c r="H43" s="15">
        <f t="shared" si="2"/>
        <v>0</v>
      </c>
    </row>
    <row r="44" spans="2:77">
      <c r="B44" s="103" t="s">
        <v>178</v>
      </c>
      <c r="C44" s="1" t="s">
        <v>179</v>
      </c>
      <c r="D44" s="12" t="s">
        <v>6</v>
      </c>
      <c r="E44" s="16"/>
      <c r="F44" s="21"/>
      <c r="G44" s="25"/>
      <c r="H44" s="15">
        <f t="shared" si="2"/>
        <v>0</v>
      </c>
    </row>
    <row r="45" spans="2:77">
      <c r="B45" s="103" t="s">
        <v>180</v>
      </c>
      <c r="C45" s="1" t="s">
        <v>181</v>
      </c>
      <c r="D45" s="12" t="s">
        <v>6</v>
      </c>
      <c r="E45" s="16"/>
      <c r="F45" s="21"/>
      <c r="G45" s="25"/>
      <c r="H45" s="15">
        <f t="shared" si="2"/>
        <v>0</v>
      </c>
    </row>
    <row r="46" spans="2:77">
      <c r="B46" s="103" t="s">
        <v>182</v>
      </c>
      <c r="C46" s="1" t="s">
        <v>199</v>
      </c>
      <c r="D46" s="12" t="s">
        <v>6</v>
      </c>
      <c r="E46" s="16"/>
      <c r="F46" s="21"/>
      <c r="G46" s="25"/>
      <c r="H46" s="15">
        <f t="shared" si="2"/>
        <v>0</v>
      </c>
    </row>
    <row r="47" spans="2:77">
      <c r="B47" s="103" t="s">
        <v>183</v>
      </c>
      <c r="C47" s="1" t="s">
        <v>200</v>
      </c>
      <c r="D47" s="12" t="s">
        <v>6</v>
      </c>
      <c r="E47" s="16"/>
      <c r="F47" s="21"/>
      <c r="G47" s="25"/>
      <c r="H47" s="15">
        <f t="shared" si="2"/>
        <v>0</v>
      </c>
    </row>
    <row r="48" spans="2:77">
      <c r="B48" s="104" t="s">
        <v>184</v>
      </c>
      <c r="C48" s="102" t="s">
        <v>185</v>
      </c>
      <c r="D48" s="2"/>
      <c r="E48" s="16"/>
      <c r="F48" s="21"/>
      <c r="G48" s="25"/>
      <c r="H48" s="15">
        <f t="shared" si="2"/>
        <v>0</v>
      </c>
    </row>
    <row r="49" spans="2:8">
      <c r="B49" s="109" t="s">
        <v>186</v>
      </c>
      <c r="C49" s="1" t="s">
        <v>187</v>
      </c>
      <c r="D49" s="12" t="s">
        <v>6</v>
      </c>
      <c r="E49" s="17"/>
      <c r="F49" s="22"/>
      <c r="G49" s="27"/>
      <c r="H49" s="15">
        <f t="shared" si="2"/>
        <v>0</v>
      </c>
    </row>
    <row r="50" spans="2:8">
      <c r="B50" s="103" t="s">
        <v>188</v>
      </c>
      <c r="C50" s="1" t="s">
        <v>189</v>
      </c>
      <c r="D50" s="12" t="s">
        <v>5</v>
      </c>
      <c r="E50" s="16"/>
      <c r="F50" s="21"/>
      <c r="G50" s="25"/>
      <c r="H50" s="15">
        <f t="shared" si="2"/>
        <v>0</v>
      </c>
    </row>
    <row r="51" spans="2:8">
      <c r="B51" s="109" t="s">
        <v>190</v>
      </c>
      <c r="C51" s="1" t="s">
        <v>191</v>
      </c>
      <c r="D51" s="12" t="s">
        <v>6</v>
      </c>
      <c r="E51" s="16"/>
      <c r="F51" s="21"/>
      <c r="G51" s="25"/>
      <c r="H51" s="15">
        <f t="shared" si="2"/>
        <v>0</v>
      </c>
    </row>
    <row r="52" spans="2:8">
      <c r="B52" s="103" t="s">
        <v>192</v>
      </c>
      <c r="C52" s="1" t="s">
        <v>193</v>
      </c>
      <c r="D52" s="12" t="s">
        <v>6</v>
      </c>
      <c r="E52" s="16"/>
      <c r="F52" s="21"/>
      <c r="G52" s="25"/>
      <c r="H52" s="15">
        <f t="shared" si="2"/>
        <v>0</v>
      </c>
    </row>
    <row r="53" spans="2:8">
      <c r="B53" s="110"/>
      <c r="C53" s="111"/>
      <c r="D53" s="4"/>
      <c r="E53" s="18"/>
      <c r="F53" s="23"/>
      <c r="G53" s="28"/>
      <c r="H53" s="15">
        <f t="shared" si="2"/>
        <v>0</v>
      </c>
    </row>
    <row r="55" spans="2:8">
      <c r="E55" s="112"/>
      <c r="F55" s="112"/>
      <c r="G55" s="113" t="s">
        <v>248</v>
      </c>
      <c r="H55" s="114" t="s">
        <v>246</v>
      </c>
    </row>
    <row r="56" spans="2:8" ht="21">
      <c r="B56" s="115" t="s">
        <v>201</v>
      </c>
      <c r="G56" s="116">
        <f>SUM(G10:G52)</f>
        <v>393524207.63</v>
      </c>
      <c r="H56" s="116">
        <f>SUM(H10:H53)</f>
        <v>393524207.63</v>
      </c>
    </row>
    <row r="57" spans="2:8">
      <c r="B57" s="71">
        <v>1</v>
      </c>
      <c r="C57" s="71" t="s">
        <v>204</v>
      </c>
    </row>
  </sheetData>
  <mergeCells count="5">
    <mergeCell ref="B8:D8"/>
    <mergeCell ref="E8:G8"/>
    <mergeCell ref="H7:BY7"/>
    <mergeCell ref="H8:BY8"/>
    <mergeCell ref="E7:G7"/>
  </mergeCells>
  <conditionalFormatting sqref="I13:BY13 I21:BY21 I39:BY39">
    <cfRule type="expression" dxfId="0" priority="6">
      <formula>AND(ISTEXT($E13),ISTEXT(I$4))</formula>
    </cfRule>
  </conditionalFormatting>
  <pageMargins left="0.75" right="0.75" top="1" bottom="1" header="0.5" footer="0.5"/>
  <pageSetup paperSize="9" scale="42" fitToWidth="0" orientation="landscape" horizontalDpi="2400" verticalDpi="24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E42"/>
  <sheetViews>
    <sheetView showGridLines="0" workbookViewId="0"/>
  </sheetViews>
  <sheetFormatPr baseColWidth="10" defaultColWidth="3.5" defaultRowHeight="24" customHeight="1"/>
  <cols>
    <col min="1" max="1" width="3.5" style="31"/>
    <col min="2" max="2" width="10.375" style="31" customWidth="1"/>
    <col min="3" max="3" width="8" style="31" customWidth="1"/>
    <col min="4" max="4" width="60.375" style="31" customWidth="1"/>
    <col min="5" max="5" width="2" style="34" customWidth="1"/>
    <col min="6" max="16384" width="3.5" style="31"/>
  </cols>
  <sheetData>
    <row r="1" spans="2:5" ht="15.95" customHeight="1">
      <c r="E1" s="31"/>
    </row>
    <row r="2" spans="2:5" ht="24.95" customHeight="1">
      <c r="B2" s="32" t="s">
        <v>253</v>
      </c>
      <c r="E2" s="31"/>
    </row>
    <row r="3" spans="2:5" ht="15.95" customHeight="1">
      <c r="B3" s="33" t="s">
        <v>109</v>
      </c>
      <c r="E3" s="31"/>
    </row>
    <row r="4" spans="2:5" ht="15.95" customHeight="1">
      <c r="B4" s="38" t="s">
        <v>256</v>
      </c>
      <c r="C4" s="38" t="s">
        <v>255</v>
      </c>
      <c r="D4" s="6" t="s">
        <v>257</v>
      </c>
      <c r="E4" s="31"/>
    </row>
    <row r="5" spans="2:5" ht="15.95" customHeight="1">
      <c r="B5" s="35">
        <v>42023</v>
      </c>
      <c r="C5" s="36" t="s">
        <v>259</v>
      </c>
      <c r="D5" s="39" t="s">
        <v>260</v>
      </c>
      <c r="E5" s="31"/>
    </row>
    <row r="6" spans="2:5" ht="15.95" customHeight="1" thickBot="1">
      <c r="B6" s="30">
        <v>41991</v>
      </c>
      <c r="C6" s="37" t="s">
        <v>254</v>
      </c>
      <c r="D6" s="43" t="s">
        <v>258</v>
      </c>
      <c r="E6" s="31"/>
    </row>
    <row r="7" spans="2:5" ht="15.95" customHeight="1" thickBot="1">
      <c r="B7" s="30">
        <v>42061</v>
      </c>
      <c r="C7" s="42" t="s">
        <v>282</v>
      </c>
      <c r="D7" s="44" t="s">
        <v>267</v>
      </c>
      <c r="E7" s="31"/>
    </row>
    <row r="8" spans="2:5" ht="15.95" customHeight="1">
      <c r="D8" s="45" t="s">
        <v>268</v>
      </c>
      <c r="E8" s="31"/>
    </row>
    <row r="9" spans="2:5" ht="15.95" customHeight="1">
      <c r="D9" s="31" t="s">
        <v>271</v>
      </c>
      <c r="E9" s="31"/>
    </row>
    <row r="10" spans="2:5" ht="15.95" customHeight="1">
      <c r="B10" s="30">
        <v>42068</v>
      </c>
      <c r="C10" s="42" t="s">
        <v>266</v>
      </c>
      <c r="D10" s="31" t="s">
        <v>283</v>
      </c>
      <c r="E10" s="31"/>
    </row>
    <row r="11" spans="2:5" ht="15.95" customHeight="1">
      <c r="E11" s="31"/>
    </row>
    <row r="12" spans="2:5" ht="15.95" customHeight="1">
      <c r="E12" s="31"/>
    </row>
    <row r="13" spans="2:5" ht="15.95" customHeight="1">
      <c r="E13" s="31"/>
    </row>
    <row r="14" spans="2:5" ht="15.95" customHeight="1">
      <c r="E14" s="31"/>
    </row>
    <row r="15" spans="2:5" ht="15.95" customHeight="1">
      <c r="E15" s="31"/>
    </row>
    <row r="16" spans="2:5" ht="15.95" customHeight="1">
      <c r="E16" s="31"/>
    </row>
    <row r="17" spans="5:5" ht="15.95" customHeight="1">
      <c r="E17" s="31"/>
    </row>
    <row r="18" spans="5:5" ht="15.95" customHeight="1">
      <c r="E18" s="31"/>
    </row>
    <row r="19" spans="5:5" ht="15.95" customHeight="1">
      <c r="E19" s="31"/>
    </row>
    <row r="20" spans="5:5" ht="15.95" customHeight="1">
      <c r="E20" s="31"/>
    </row>
    <row r="21" spans="5:5" ht="15.95" customHeight="1">
      <c r="E21" s="31"/>
    </row>
    <row r="22" spans="5:5" ht="15.95" customHeight="1">
      <c r="E22" s="31"/>
    </row>
    <row r="23" spans="5:5" ht="15.95" customHeight="1">
      <c r="E23" s="31"/>
    </row>
    <row r="24" spans="5:5" ht="15.95" customHeight="1">
      <c r="E24" s="31"/>
    </row>
    <row r="25" spans="5:5" ht="15.95" customHeight="1">
      <c r="E25" s="31"/>
    </row>
    <row r="26" spans="5:5" ht="15.95" customHeight="1">
      <c r="E26" s="31"/>
    </row>
    <row r="27" spans="5:5" ht="15.95" customHeight="1">
      <c r="E27" s="31"/>
    </row>
    <row r="28" spans="5:5" ht="15.95" customHeight="1">
      <c r="E28" s="31"/>
    </row>
    <row r="29" spans="5:5" ht="15.95" customHeight="1">
      <c r="E29" s="31"/>
    </row>
    <row r="30" spans="5:5" ht="15.95" customHeight="1">
      <c r="E30" s="31"/>
    </row>
    <row r="31" spans="5:5" ht="15.95" customHeight="1">
      <c r="E31" s="31"/>
    </row>
    <row r="32" spans="5:5" ht="15.95" customHeight="1">
      <c r="E32" s="31"/>
    </row>
    <row r="33" spans="5:5" ht="15.95" customHeight="1">
      <c r="E33" s="31"/>
    </row>
    <row r="34" spans="5:5" ht="15.95" customHeight="1"/>
    <row r="35" spans="5:5" ht="15.95" customHeight="1"/>
    <row r="36" spans="5:5" ht="15.95" customHeight="1">
      <c r="E36" s="31"/>
    </row>
    <row r="37" spans="5:5" ht="15.95" customHeight="1">
      <c r="E37" s="31"/>
    </row>
    <row r="38" spans="5:5" ht="15.95" customHeight="1">
      <c r="E38" s="31"/>
    </row>
    <row r="39" spans="5:5" ht="15.95" customHeight="1">
      <c r="E39" s="31"/>
    </row>
    <row r="40" spans="5:5" ht="15.95" customHeight="1">
      <c r="E40" s="31"/>
    </row>
    <row r="41" spans="5:5" ht="15.95" customHeight="1">
      <c r="E41" s="31"/>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Introduction</vt:lpstr>
      <vt:lpstr>1. About</vt:lpstr>
      <vt:lpstr>2. Contextual</vt:lpstr>
      <vt:lpstr>3. Revenues</vt:lpstr>
      <vt:lpstr>Revenues - example Norway</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Lenovo</cp:lastModifiedBy>
  <cp:lastPrinted>2015-03-05T09:58:56Z</cp:lastPrinted>
  <dcterms:created xsi:type="dcterms:W3CDTF">2014-08-29T11:25:27Z</dcterms:created>
  <dcterms:modified xsi:type="dcterms:W3CDTF">2018-04-17T11:48:13Z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